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theme/themeOverride1.xml" ContentType="application/vnd.openxmlformats-officedocument.themeOverride+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defaultThemeVersion="124226"/>
  <bookViews>
    <workbookView xWindow="435" yWindow="135" windowWidth="13680" windowHeight="11640" firstSheet="1" activeTab="2"/>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25725"/>
</workbook>
</file>

<file path=xl/calcChain.xml><?xml version="1.0" encoding="utf-8"?>
<calcChain xmlns="http://schemas.openxmlformats.org/spreadsheetml/2006/main">
  <c r="T45" i="7"/>
  <c r="J43" i="5"/>
  <c r="E69" i="7"/>
  <c r="F69"/>
  <c r="G69"/>
  <c r="H69"/>
  <c r="E70"/>
  <c r="F70"/>
  <c r="G70"/>
  <c r="H70"/>
  <c r="G3" i="9" l="1"/>
  <c r="C3"/>
  <c r="C2"/>
  <c r="I146" i="10"/>
  <c r="I147"/>
  <c r="I148"/>
  <c r="I149"/>
  <c r="I150"/>
  <c r="I151"/>
  <c r="I152"/>
  <c r="I153"/>
  <c r="I154"/>
  <c r="I155"/>
  <c r="I156"/>
  <c r="I157"/>
  <c r="I158"/>
  <c r="I159"/>
  <c r="I160"/>
  <c r="I161"/>
  <c r="I162"/>
  <c r="I163"/>
  <c r="I164"/>
  <c r="I165"/>
  <c r="I166"/>
  <c r="I167"/>
  <c r="I168"/>
  <c r="I145"/>
  <c r="I117"/>
  <c r="I118"/>
  <c r="I119"/>
  <c r="I120"/>
  <c r="I121"/>
  <c r="I122"/>
  <c r="I123"/>
  <c r="I124"/>
  <c r="I125"/>
  <c r="I126"/>
  <c r="I127"/>
  <c r="I128"/>
  <c r="I129"/>
  <c r="I130"/>
  <c r="I131"/>
  <c r="I132"/>
  <c r="I133"/>
  <c r="I134"/>
  <c r="I135"/>
  <c r="I136"/>
  <c r="I137"/>
  <c r="I138"/>
  <c r="I139"/>
  <c r="I140"/>
  <c r="I116"/>
  <c r="I88"/>
  <c r="I89"/>
  <c r="I90"/>
  <c r="I91"/>
  <c r="I92"/>
  <c r="I93"/>
  <c r="I94"/>
  <c r="I95"/>
  <c r="I96"/>
  <c r="I97"/>
  <c r="I98"/>
  <c r="I99"/>
  <c r="I100"/>
  <c r="I101"/>
  <c r="I102"/>
  <c r="I103"/>
  <c r="I104"/>
  <c r="I105"/>
  <c r="I106"/>
  <c r="I107"/>
  <c r="I108"/>
  <c r="I109"/>
  <c r="I110"/>
  <c r="I111"/>
  <c r="I87"/>
  <c r="I57"/>
  <c r="I58"/>
  <c r="I59"/>
  <c r="I60"/>
  <c r="I61"/>
  <c r="I62"/>
  <c r="I63"/>
  <c r="I64"/>
  <c r="I65"/>
  <c r="I66"/>
  <c r="I67"/>
  <c r="I68"/>
  <c r="I69"/>
  <c r="I70"/>
  <c r="I71"/>
  <c r="I72"/>
  <c r="I73"/>
  <c r="I74"/>
  <c r="I75"/>
  <c r="I76"/>
  <c r="I77"/>
  <c r="I78"/>
  <c r="I79"/>
  <c r="I80"/>
  <c r="I81"/>
  <c r="I82"/>
  <c r="I56"/>
  <c r="I28"/>
  <c r="I29"/>
  <c r="I30"/>
  <c r="I31"/>
  <c r="I32"/>
  <c r="I33"/>
  <c r="I34"/>
  <c r="I35"/>
  <c r="I36"/>
  <c r="I37"/>
  <c r="I38"/>
  <c r="I39"/>
  <c r="I40"/>
  <c r="I41"/>
  <c r="I42"/>
  <c r="I43"/>
  <c r="I44"/>
  <c r="I45"/>
  <c r="I46"/>
  <c r="I47"/>
  <c r="I48"/>
  <c r="I49"/>
  <c r="I50"/>
  <c r="I27"/>
  <c r="I6"/>
  <c r="I5"/>
  <c r="I4"/>
  <c r="I3"/>
  <c r="I2"/>
  <c r="J147" s="1"/>
  <c r="C3"/>
  <c r="C4"/>
  <c r="C5"/>
  <c r="C6"/>
  <c r="C2"/>
  <c r="F3" i="7"/>
  <c r="C6" s="1"/>
  <c r="C3"/>
  <c r="C2"/>
  <c r="L7" i="11"/>
  <c r="L4"/>
  <c r="L5"/>
  <c r="L6"/>
  <c r="L3"/>
  <c r="L2"/>
  <c r="C4"/>
  <c r="C5"/>
  <c r="C6"/>
  <c r="C7"/>
  <c r="C3"/>
  <c r="C2"/>
  <c r="C10" i="8"/>
  <c r="C11"/>
  <c r="C12"/>
  <c r="C13"/>
  <c r="C9"/>
  <c r="C7"/>
  <c r="C6"/>
  <c r="C5"/>
  <c r="C4"/>
  <c r="C3"/>
  <c r="C2"/>
  <c r="D42"/>
  <c r="E42"/>
  <c r="F42"/>
  <c r="G42"/>
  <c r="H42"/>
  <c r="I42"/>
  <c r="J42"/>
  <c r="K42"/>
  <c r="L42"/>
  <c r="M42"/>
  <c r="N42"/>
  <c r="D43"/>
  <c r="E43"/>
  <c r="F43"/>
  <c r="G43"/>
  <c r="H43"/>
  <c r="I43"/>
  <c r="J43"/>
  <c r="K43"/>
  <c r="L43"/>
  <c r="M43"/>
  <c r="N43"/>
  <c r="C43"/>
  <c r="C42"/>
  <c r="D37"/>
  <c r="E37"/>
  <c r="F37"/>
  <c r="G37"/>
  <c r="H37"/>
  <c r="I37"/>
  <c r="J37"/>
  <c r="K37"/>
  <c r="L37"/>
  <c r="M37"/>
  <c r="N37"/>
  <c r="D38"/>
  <c r="E38"/>
  <c r="F38"/>
  <c r="G38"/>
  <c r="H38"/>
  <c r="I38"/>
  <c r="J38"/>
  <c r="K38"/>
  <c r="L38"/>
  <c r="M38"/>
  <c r="N38"/>
  <c r="C38"/>
  <c r="C37"/>
  <c r="D36"/>
  <c r="E36"/>
  <c r="F36"/>
  <c r="G36"/>
  <c r="H36"/>
  <c r="I36"/>
  <c r="J36"/>
  <c r="K36"/>
  <c r="L36"/>
  <c r="M36"/>
  <c r="N36"/>
  <c r="C36"/>
  <c r="E88" i="5"/>
  <c r="F86"/>
  <c r="G86"/>
  <c r="H86"/>
  <c r="I86"/>
  <c r="J86"/>
  <c r="K86"/>
  <c r="L86"/>
  <c r="M86"/>
  <c r="N86"/>
  <c r="O86"/>
  <c r="P86"/>
  <c r="E86"/>
  <c r="E85"/>
  <c r="E83"/>
  <c r="E81"/>
  <c r="O36" i="8" l="1"/>
  <c r="O37"/>
  <c r="N17"/>
  <c r="C12" i="10"/>
  <c r="J12" s="1"/>
  <c r="J50"/>
  <c r="J48"/>
  <c r="J46"/>
  <c r="J44"/>
  <c r="J42"/>
  <c r="J81"/>
  <c r="J79"/>
  <c r="J77"/>
  <c r="J75"/>
  <c r="J73"/>
  <c r="J71"/>
  <c r="J69"/>
  <c r="J67"/>
  <c r="J65"/>
  <c r="J63"/>
  <c r="J110"/>
  <c r="J108"/>
  <c r="J106"/>
  <c r="J104"/>
  <c r="J102"/>
  <c r="J100"/>
  <c r="J98"/>
  <c r="J96"/>
  <c r="J94"/>
  <c r="J92"/>
  <c r="J139"/>
  <c r="J137"/>
  <c r="J135"/>
  <c r="J133"/>
  <c r="J131"/>
  <c r="J129"/>
  <c r="J127"/>
  <c r="J125"/>
  <c r="J123"/>
  <c r="J121"/>
  <c r="J168"/>
  <c r="J166"/>
  <c r="J164"/>
  <c r="J162"/>
  <c r="J160"/>
  <c r="J158"/>
  <c r="J156"/>
  <c r="J154"/>
  <c r="J152"/>
  <c r="J150"/>
  <c r="J148"/>
  <c r="J146"/>
  <c r="C13"/>
  <c r="J51"/>
  <c r="J49"/>
  <c r="J47"/>
  <c r="J45"/>
  <c r="J43"/>
  <c r="J82"/>
  <c r="J80"/>
  <c r="J78"/>
  <c r="J76"/>
  <c r="J74"/>
  <c r="J72"/>
  <c r="J70"/>
  <c r="J68"/>
  <c r="J66"/>
  <c r="J64"/>
  <c r="J62"/>
  <c r="J111"/>
  <c r="J109"/>
  <c r="J107"/>
  <c r="J105"/>
  <c r="J103"/>
  <c r="J101"/>
  <c r="J99"/>
  <c r="J97"/>
  <c r="J95"/>
  <c r="J93"/>
  <c r="J140"/>
  <c r="J138"/>
  <c r="J136"/>
  <c r="J134"/>
  <c r="J132"/>
  <c r="J130"/>
  <c r="J128"/>
  <c r="J126"/>
  <c r="J124"/>
  <c r="J122"/>
  <c r="J120"/>
  <c r="J145"/>
  <c r="J167"/>
  <c r="J165"/>
  <c r="J163"/>
  <c r="J161"/>
  <c r="J159"/>
  <c r="J157"/>
  <c r="J155"/>
  <c r="J153"/>
  <c r="J151"/>
  <c r="J149"/>
  <c r="O42" i="8"/>
  <c r="O43"/>
  <c r="O38"/>
  <c r="C14" i="10" l="1"/>
  <c r="M21"/>
  <c r="D39" i="11"/>
  <c r="E39"/>
  <c r="F39"/>
  <c r="G39"/>
  <c r="H39"/>
  <c r="I39"/>
  <c r="J39"/>
  <c r="K39"/>
  <c r="L39"/>
  <c r="M39"/>
  <c r="N39"/>
  <c r="C39"/>
  <c r="D60"/>
  <c r="E60"/>
  <c r="F60"/>
  <c r="G60"/>
  <c r="H60"/>
  <c r="I60"/>
  <c r="J60"/>
  <c r="K60"/>
  <c r="L60"/>
  <c r="M60"/>
  <c r="N60"/>
  <c r="C60"/>
  <c r="F88" i="5"/>
  <c r="G82"/>
  <c r="H82"/>
  <c r="I82"/>
  <c r="J82"/>
  <c r="K82"/>
  <c r="L82"/>
  <c r="M82"/>
  <c r="N82"/>
  <c r="O82"/>
  <c r="P82"/>
  <c r="G81"/>
  <c r="H81"/>
  <c r="I81"/>
  <c r="J81"/>
  <c r="K81"/>
  <c r="L81"/>
  <c r="M81"/>
  <c r="N81"/>
  <c r="O81"/>
  <c r="P81"/>
  <c r="F81"/>
  <c r="F83"/>
  <c r="C15" i="10" l="1"/>
  <c r="F77" i="5"/>
  <c r="G77"/>
  <c r="H77"/>
  <c r="I77"/>
  <c r="J77"/>
  <c r="K77"/>
  <c r="L77"/>
  <c r="M77"/>
  <c r="N77"/>
  <c r="O77"/>
  <c r="P77"/>
  <c r="E77"/>
  <c r="D135" i="11"/>
  <c r="E135"/>
  <c r="F135"/>
  <c r="G135"/>
  <c r="H135"/>
  <c r="I135"/>
  <c r="J135"/>
  <c r="K135"/>
  <c r="L135"/>
  <c r="M135"/>
  <c r="N135"/>
  <c r="D136"/>
  <c r="E136"/>
  <c r="F136"/>
  <c r="G136"/>
  <c r="H136"/>
  <c r="I136"/>
  <c r="J136"/>
  <c r="K136"/>
  <c r="L136"/>
  <c r="M136"/>
  <c r="N136"/>
  <c r="D137"/>
  <c r="E137"/>
  <c r="F137"/>
  <c r="G137"/>
  <c r="H137"/>
  <c r="I137"/>
  <c r="J137"/>
  <c r="K137"/>
  <c r="L137"/>
  <c r="M137"/>
  <c r="N137"/>
  <c r="C137"/>
  <c r="C136"/>
  <c r="C135"/>
  <c r="D113"/>
  <c r="E113"/>
  <c r="F113"/>
  <c r="G113"/>
  <c r="H113"/>
  <c r="I113"/>
  <c r="J113"/>
  <c r="K113"/>
  <c r="L113"/>
  <c r="M113"/>
  <c r="N113"/>
  <c r="D114"/>
  <c r="E114"/>
  <c r="F114"/>
  <c r="G114"/>
  <c r="H114"/>
  <c r="I114"/>
  <c r="J114"/>
  <c r="K114"/>
  <c r="L114"/>
  <c r="M114"/>
  <c r="N114"/>
  <c r="C114"/>
  <c r="C113"/>
  <c r="D92"/>
  <c r="E92"/>
  <c r="F92"/>
  <c r="G92"/>
  <c r="H92"/>
  <c r="I92"/>
  <c r="J92"/>
  <c r="K92"/>
  <c r="L92"/>
  <c r="M92"/>
  <c r="N92"/>
  <c r="D93"/>
  <c r="E93"/>
  <c r="F93"/>
  <c r="G93"/>
  <c r="H93"/>
  <c r="I93"/>
  <c r="J93"/>
  <c r="K93"/>
  <c r="L93"/>
  <c r="M93"/>
  <c r="N93"/>
  <c r="C93"/>
  <c r="C92"/>
  <c r="D50"/>
  <c r="E50"/>
  <c r="F50"/>
  <c r="G50"/>
  <c r="H50"/>
  <c r="I50"/>
  <c r="J50"/>
  <c r="K50"/>
  <c r="L50"/>
  <c r="M50"/>
  <c r="N50"/>
  <c r="C50"/>
  <c r="D49"/>
  <c r="E49"/>
  <c r="F49"/>
  <c r="G49"/>
  <c r="H49"/>
  <c r="I49"/>
  <c r="J49"/>
  <c r="K49"/>
  <c r="L49"/>
  <c r="M49"/>
  <c r="N49"/>
  <c r="C49"/>
  <c r="D48"/>
  <c r="E48"/>
  <c r="F48"/>
  <c r="G48"/>
  <c r="H48"/>
  <c r="I48"/>
  <c r="J48"/>
  <c r="K48"/>
  <c r="L48"/>
  <c r="M48"/>
  <c r="N48"/>
  <c r="C48"/>
  <c r="D71"/>
  <c r="E71"/>
  <c r="F71"/>
  <c r="G71"/>
  <c r="H71"/>
  <c r="I71"/>
  <c r="J71"/>
  <c r="K71"/>
  <c r="L71"/>
  <c r="M71"/>
  <c r="N71"/>
  <c r="C71"/>
  <c r="D70"/>
  <c r="E70"/>
  <c r="F70"/>
  <c r="G70"/>
  <c r="H70"/>
  <c r="I70"/>
  <c r="J70"/>
  <c r="K70"/>
  <c r="L70"/>
  <c r="M70"/>
  <c r="N70"/>
  <c r="C70"/>
  <c r="D69"/>
  <c r="E69"/>
  <c r="F69"/>
  <c r="G69"/>
  <c r="H69"/>
  <c r="I69"/>
  <c r="J69"/>
  <c r="K69"/>
  <c r="L69"/>
  <c r="M69"/>
  <c r="N69"/>
  <c r="C69"/>
  <c r="Q68" i="5"/>
  <c r="Q69"/>
  <c r="Q70"/>
  <c r="Q71"/>
  <c r="C71" s="1"/>
  <c r="Q72"/>
  <c r="Q73"/>
  <c r="Q74"/>
  <c r="Q75"/>
  <c r="Q76"/>
  <c r="C67" i="11"/>
  <c r="C16" i="10" l="1"/>
  <c r="O113" i="11"/>
  <c r="O135"/>
  <c r="O92"/>
  <c r="O70"/>
  <c r="O136"/>
  <c r="O49"/>
  <c r="K47" i="9"/>
  <c r="K48"/>
  <c r="K49"/>
  <c r="K50"/>
  <c r="K51"/>
  <c r="K52"/>
  <c r="K53"/>
  <c r="K54"/>
  <c r="K55"/>
  <c r="K56"/>
  <c r="K57"/>
  <c r="K58"/>
  <c r="K59"/>
  <c r="K60"/>
  <c r="K61"/>
  <c r="K62"/>
  <c r="K63"/>
  <c r="K64"/>
  <c r="K65"/>
  <c r="K46"/>
  <c r="D217" i="8"/>
  <c r="U76"/>
  <c r="R70"/>
  <c r="R76"/>
  <c r="R85"/>
  <c r="R86"/>
  <c r="R93"/>
  <c r="L70"/>
  <c r="L76"/>
  <c r="C17" i="10" l="1"/>
  <c r="F101" i="5"/>
  <c r="G101"/>
  <c r="H101"/>
  <c r="I101"/>
  <c r="J101"/>
  <c r="K101"/>
  <c r="L101"/>
  <c r="M101"/>
  <c r="N101"/>
  <c r="O101"/>
  <c r="P101"/>
  <c r="F102"/>
  <c r="G102"/>
  <c r="H102"/>
  <c r="I102"/>
  <c r="J102"/>
  <c r="K102"/>
  <c r="L102"/>
  <c r="M102"/>
  <c r="N102"/>
  <c r="O102"/>
  <c r="P102"/>
  <c r="F103"/>
  <c r="G103"/>
  <c r="H103"/>
  <c r="I103"/>
  <c r="J103"/>
  <c r="K103"/>
  <c r="L103"/>
  <c r="M103"/>
  <c r="N103"/>
  <c r="O103"/>
  <c r="P103"/>
  <c r="F104"/>
  <c r="G104"/>
  <c r="H104"/>
  <c r="I104"/>
  <c r="J104"/>
  <c r="K104"/>
  <c r="L104"/>
  <c r="M104"/>
  <c r="N104"/>
  <c r="O104"/>
  <c r="P104"/>
  <c r="E104"/>
  <c r="E103"/>
  <c r="E101"/>
  <c r="E102"/>
  <c r="E179" i="8"/>
  <c r="F179"/>
  <c r="G179"/>
  <c r="H179"/>
  <c r="I179"/>
  <c r="J179"/>
  <c r="K179"/>
  <c r="L179"/>
  <c r="M179"/>
  <c r="N179"/>
  <c r="O179"/>
  <c r="E180"/>
  <c r="F180"/>
  <c r="G180"/>
  <c r="H180"/>
  <c r="I180"/>
  <c r="J180"/>
  <c r="K180"/>
  <c r="L180"/>
  <c r="M180"/>
  <c r="N180"/>
  <c r="O180"/>
  <c r="D180"/>
  <c r="D179"/>
  <c r="E176"/>
  <c r="F176"/>
  <c r="G176"/>
  <c r="H176"/>
  <c r="I176"/>
  <c r="J176"/>
  <c r="K176"/>
  <c r="L176"/>
  <c r="M176"/>
  <c r="N176"/>
  <c r="O176"/>
  <c r="E177"/>
  <c r="F177"/>
  <c r="G177"/>
  <c r="H177"/>
  <c r="I177"/>
  <c r="J177"/>
  <c r="K177"/>
  <c r="L177"/>
  <c r="M177"/>
  <c r="N177"/>
  <c r="O177"/>
  <c r="D177"/>
  <c r="D176"/>
  <c r="E173"/>
  <c r="F173"/>
  <c r="G173"/>
  <c r="H173"/>
  <c r="I173"/>
  <c r="J173"/>
  <c r="K173"/>
  <c r="L173"/>
  <c r="M173"/>
  <c r="N173"/>
  <c r="O173"/>
  <c r="E174"/>
  <c r="F174"/>
  <c r="G174"/>
  <c r="H174"/>
  <c r="I174"/>
  <c r="J174"/>
  <c r="K174"/>
  <c r="L174"/>
  <c r="M174"/>
  <c r="N174"/>
  <c r="O174"/>
  <c r="D174"/>
  <c r="D173"/>
  <c r="E171"/>
  <c r="F171"/>
  <c r="G171"/>
  <c r="H171"/>
  <c r="I171"/>
  <c r="J171"/>
  <c r="K171"/>
  <c r="L171"/>
  <c r="M171"/>
  <c r="N171"/>
  <c r="O171"/>
  <c r="D171"/>
  <c r="E170"/>
  <c r="F170"/>
  <c r="G170"/>
  <c r="H170"/>
  <c r="I170"/>
  <c r="J170"/>
  <c r="K170"/>
  <c r="L170"/>
  <c r="M170"/>
  <c r="N170"/>
  <c r="O170"/>
  <c r="D170"/>
  <c r="E217"/>
  <c r="F217"/>
  <c r="G217"/>
  <c r="H217"/>
  <c r="I217"/>
  <c r="J217"/>
  <c r="K217"/>
  <c r="L217"/>
  <c r="M217"/>
  <c r="N217"/>
  <c r="O217"/>
  <c r="E218"/>
  <c r="F218"/>
  <c r="G218"/>
  <c r="H218"/>
  <c r="I218"/>
  <c r="J218"/>
  <c r="K218"/>
  <c r="L218"/>
  <c r="M218"/>
  <c r="N218"/>
  <c r="O218"/>
  <c r="E219"/>
  <c r="F219"/>
  <c r="G219"/>
  <c r="H219"/>
  <c r="I219"/>
  <c r="J219"/>
  <c r="K219"/>
  <c r="L219"/>
  <c r="M219"/>
  <c r="N219"/>
  <c r="O219"/>
  <c r="D219"/>
  <c r="D218"/>
  <c r="E210"/>
  <c r="F210"/>
  <c r="G210"/>
  <c r="H210"/>
  <c r="I210"/>
  <c r="J210"/>
  <c r="K210"/>
  <c r="L210"/>
  <c r="M210"/>
  <c r="N210"/>
  <c r="O210"/>
  <c r="E211"/>
  <c r="F211"/>
  <c r="G211"/>
  <c r="H211"/>
  <c r="I211"/>
  <c r="J211"/>
  <c r="K211"/>
  <c r="L211"/>
  <c r="M211"/>
  <c r="N211"/>
  <c r="O211"/>
  <c r="E212"/>
  <c r="F212"/>
  <c r="G212"/>
  <c r="H212"/>
  <c r="I212"/>
  <c r="J212"/>
  <c r="K212"/>
  <c r="L212"/>
  <c r="M212"/>
  <c r="N212"/>
  <c r="O212"/>
  <c r="E213"/>
  <c r="F213"/>
  <c r="G213"/>
  <c r="H213"/>
  <c r="I213"/>
  <c r="J213"/>
  <c r="K213"/>
  <c r="L213"/>
  <c r="M213"/>
  <c r="N213"/>
  <c r="O213"/>
  <c r="D213"/>
  <c r="D212"/>
  <c r="D211"/>
  <c r="D210"/>
  <c r="E209"/>
  <c r="F209"/>
  <c r="G209"/>
  <c r="H209"/>
  <c r="I209"/>
  <c r="J209"/>
  <c r="K209"/>
  <c r="L209"/>
  <c r="M209"/>
  <c r="N209"/>
  <c r="O209"/>
  <c r="D209"/>
  <c r="L21" i="5"/>
  <c r="M20"/>
  <c r="L17"/>
  <c r="M16"/>
  <c r="C18" i="10" l="1"/>
  <c r="D181" i="8"/>
  <c r="D404" s="1"/>
  <c r="Q103" i="5"/>
  <c r="J105"/>
  <c r="Q102"/>
  <c r="Q101"/>
  <c r="Q104"/>
  <c r="O181" i="8"/>
  <c r="K181"/>
  <c r="G181"/>
  <c r="N181"/>
  <c r="J181"/>
  <c r="F181"/>
  <c r="M181"/>
  <c r="I181"/>
  <c r="E181"/>
  <c r="L181"/>
  <c r="H181"/>
  <c r="K105" i="5"/>
  <c r="N105"/>
  <c r="F105"/>
  <c r="I105"/>
  <c r="M105"/>
  <c r="P105"/>
  <c r="H105"/>
  <c r="L105"/>
  <c r="O105"/>
  <c r="G105"/>
  <c r="I178" i="8"/>
  <c r="H175"/>
  <c r="H178"/>
  <c r="M175"/>
  <c r="M178"/>
  <c r="E175"/>
  <c r="E178"/>
  <c r="K178"/>
  <c r="N178"/>
  <c r="F178"/>
  <c r="O178"/>
  <c r="G178"/>
  <c r="E105" i="5"/>
  <c r="L172" i="8"/>
  <c r="O175"/>
  <c r="P171"/>
  <c r="G175"/>
  <c r="J172"/>
  <c r="P170"/>
  <c r="P177"/>
  <c r="L178"/>
  <c r="K172"/>
  <c r="I175"/>
  <c r="E172"/>
  <c r="M172"/>
  <c r="N172"/>
  <c r="F172"/>
  <c r="J175"/>
  <c r="O172"/>
  <c r="G172"/>
  <c r="K175"/>
  <c r="N175"/>
  <c r="F175"/>
  <c r="J178"/>
  <c r="H172"/>
  <c r="L175"/>
  <c r="I172"/>
  <c r="P179"/>
  <c r="P176"/>
  <c r="P173"/>
  <c r="P174"/>
  <c r="D175"/>
  <c r="P180"/>
  <c r="D178"/>
  <c r="D172"/>
  <c r="C19" i="10" l="1"/>
  <c r="D105" i="5"/>
  <c r="J403" i="8"/>
  <c r="K401"/>
  <c r="F403"/>
  <c r="H402"/>
  <c r="F404"/>
  <c r="O401"/>
  <c r="L403"/>
  <c r="N403"/>
  <c r="I403"/>
  <c r="E404"/>
  <c r="J404"/>
  <c r="O404"/>
  <c r="L402"/>
  <c r="N402"/>
  <c r="J402"/>
  <c r="E401"/>
  <c r="G403"/>
  <c r="K403"/>
  <c r="M402"/>
  <c r="L404"/>
  <c r="I404"/>
  <c r="N404"/>
  <c r="D401"/>
  <c r="G401"/>
  <c r="J401"/>
  <c r="E402"/>
  <c r="D403"/>
  <c r="I401"/>
  <c r="F402"/>
  <c r="M401"/>
  <c r="G402"/>
  <c r="M403"/>
  <c r="D402"/>
  <c r="P181"/>
  <c r="H401"/>
  <c r="K402"/>
  <c r="F401"/>
  <c r="I402"/>
  <c r="O402"/>
  <c r="O403"/>
  <c r="E403"/>
  <c r="H403"/>
  <c r="M404"/>
  <c r="G404"/>
  <c r="K404"/>
  <c r="N401"/>
  <c r="L401"/>
  <c r="H404"/>
  <c r="M182"/>
  <c r="K182"/>
  <c r="H182"/>
  <c r="P178"/>
  <c r="G182"/>
  <c r="O182"/>
  <c r="E182"/>
  <c r="J182"/>
  <c r="F182"/>
  <c r="L182"/>
  <c r="I182"/>
  <c r="N182"/>
  <c r="P172"/>
  <c r="P175"/>
  <c r="D182"/>
  <c r="P402" l="1"/>
  <c r="P404"/>
  <c r="C20" i="10"/>
  <c r="P403" i="8"/>
  <c r="P401"/>
  <c r="R101" i="5"/>
  <c r="R104"/>
  <c r="R103"/>
  <c r="R102"/>
  <c r="N405" i="8"/>
  <c r="F405"/>
  <c r="I405"/>
  <c r="O405"/>
  <c r="J405"/>
  <c r="K405"/>
  <c r="M405"/>
  <c r="L405"/>
  <c r="D405"/>
  <c r="H405"/>
  <c r="G405"/>
  <c r="E405"/>
  <c r="P182"/>
  <c r="P405" l="1"/>
  <c r="P218"/>
  <c r="D189"/>
  <c r="D747"/>
  <c r="E747"/>
  <c r="F747"/>
  <c r="G747"/>
  <c r="H747"/>
  <c r="I747"/>
  <c r="J747"/>
  <c r="K747"/>
  <c r="L747"/>
  <c r="M747"/>
  <c r="N747"/>
  <c r="O747"/>
  <c r="D748"/>
  <c r="E748"/>
  <c r="F748"/>
  <c r="G748"/>
  <c r="H748"/>
  <c r="I748"/>
  <c r="J748"/>
  <c r="K748"/>
  <c r="L748"/>
  <c r="M748"/>
  <c r="N748"/>
  <c r="O748"/>
  <c r="D749"/>
  <c r="E749"/>
  <c r="F749"/>
  <c r="G749"/>
  <c r="H749"/>
  <c r="I749"/>
  <c r="J749"/>
  <c r="K749"/>
  <c r="L749"/>
  <c r="M749"/>
  <c r="N749"/>
  <c r="O749"/>
  <c r="D750"/>
  <c r="E750"/>
  <c r="F750"/>
  <c r="G750"/>
  <c r="H750"/>
  <c r="I750"/>
  <c r="J750"/>
  <c r="K750"/>
  <c r="L750"/>
  <c r="M750"/>
  <c r="N750"/>
  <c r="O750"/>
  <c r="D751"/>
  <c r="E751"/>
  <c r="F751"/>
  <c r="G751"/>
  <c r="H751"/>
  <c r="I751"/>
  <c r="J751"/>
  <c r="K751"/>
  <c r="L751"/>
  <c r="M751"/>
  <c r="N751"/>
  <c r="O751"/>
  <c r="D739"/>
  <c r="E739"/>
  <c r="F739"/>
  <c r="G739"/>
  <c r="H739"/>
  <c r="I739"/>
  <c r="J739"/>
  <c r="K739"/>
  <c r="L739"/>
  <c r="M739"/>
  <c r="N739"/>
  <c r="O739"/>
  <c r="D740"/>
  <c r="E740"/>
  <c r="F740"/>
  <c r="G740"/>
  <c r="H740"/>
  <c r="I740"/>
  <c r="J740"/>
  <c r="K740"/>
  <c r="L740"/>
  <c r="M740"/>
  <c r="N740"/>
  <c r="O740"/>
  <c r="D741"/>
  <c r="E741"/>
  <c r="F741"/>
  <c r="G741"/>
  <c r="H741"/>
  <c r="I741"/>
  <c r="J741"/>
  <c r="K741"/>
  <c r="L741"/>
  <c r="M741"/>
  <c r="N741"/>
  <c r="O741"/>
  <c r="D742"/>
  <c r="E742"/>
  <c r="F742"/>
  <c r="G742"/>
  <c r="H742"/>
  <c r="I742"/>
  <c r="J742"/>
  <c r="K742"/>
  <c r="L742"/>
  <c r="M742"/>
  <c r="N742"/>
  <c r="O742"/>
  <c r="D743"/>
  <c r="E743"/>
  <c r="F743"/>
  <c r="G743"/>
  <c r="H743"/>
  <c r="I743"/>
  <c r="J743"/>
  <c r="K743"/>
  <c r="L743"/>
  <c r="M743"/>
  <c r="N743"/>
  <c r="O743"/>
  <c r="D744"/>
  <c r="E744"/>
  <c r="F744"/>
  <c r="G744"/>
  <c r="H744"/>
  <c r="I744"/>
  <c r="J744"/>
  <c r="K744"/>
  <c r="L744"/>
  <c r="M744"/>
  <c r="N744"/>
  <c r="O744"/>
  <c r="D745"/>
  <c r="E745"/>
  <c r="F745"/>
  <c r="G745"/>
  <c r="H745"/>
  <c r="I745"/>
  <c r="J745"/>
  <c r="K745"/>
  <c r="L745"/>
  <c r="M745"/>
  <c r="N745"/>
  <c r="O745"/>
  <c r="D746"/>
  <c r="E746"/>
  <c r="F746"/>
  <c r="G746"/>
  <c r="H746"/>
  <c r="I746"/>
  <c r="J746"/>
  <c r="K746"/>
  <c r="L746"/>
  <c r="M746"/>
  <c r="N746"/>
  <c r="O746"/>
  <c r="D154"/>
  <c r="E154"/>
  <c r="F154"/>
  <c r="G154"/>
  <c r="H154"/>
  <c r="I154"/>
  <c r="J154"/>
  <c r="K154"/>
  <c r="L154"/>
  <c r="M154"/>
  <c r="N154"/>
  <c r="O154"/>
  <c r="D155"/>
  <c r="E155"/>
  <c r="F155"/>
  <c r="G155"/>
  <c r="H155"/>
  <c r="I155"/>
  <c r="J155"/>
  <c r="K155"/>
  <c r="L155"/>
  <c r="M155"/>
  <c r="N155"/>
  <c r="O155"/>
  <c r="D157"/>
  <c r="E157"/>
  <c r="F157"/>
  <c r="G157"/>
  <c r="H157"/>
  <c r="I157"/>
  <c r="J157"/>
  <c r="K157"/>
  <c r="L157"/>
  <c r="M157"/>
  <c r="N157"/>
  <c r="O157"/>
  <c r="D158"/>
  <c r="E158"/>
  <c r="F158"/>
  <c r="G158"/>
  <c r="H158"/>
  <c r="I158"/>
  <c r="J158"/>
  <c r="K158"/>
  <c r="L158"/>
  <c r="M158"/>
  <c r="N158"/>
  <c r="O158"/>
  <c r="D160"/>
  <c r="E160"/>
  <c r="F160"/>
  <c r="G160"/>
  <c r="H160"/>
  <c r="I160"/>
  <c r="J160"/>
  <c r="K160"/>
  <c r="L160"/>
  <c r="M160"/>
  <c r="N160"/>
  <c r="O160"/>
  <c r="D161"/>
  <c r="E161"/>
  <c r="F161"/>
  <c r="G161"/>
  <c r="H161"/>
  <c r="I161"/>
  <c r="J161"/>
  <c r="K161"/>
  <c r="L161"/>
  <c r="M161"/>
  <c r="N161"/>
  <c r="O161"/>
  <c r="D163"/>
  <c r="E163"/>
  <c r="F163"/>
  <c r="G163"/>
  <c r="H163"/>
  <c r="I163"/>
  <c r="J163"/>
  <c r="K163"/>
  <c r="L163"/>
  <c r="M163"/>
  <c r="N163"/>
  <c r="O163"/>
  <c r="D164"/>
  <c r="E164"/>
  <c r="F164"/>
  <c r="G164"/>
  <c r="H164"/>
  <c r="I164"/>
  <c r="J164"/>
  <c r="K164"/>
  <c r="L164"/>
  <c r="M164"/>
  <c r="N164"/>
  <c r="O164"/>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c r="I94"/>
  <c r="G28" i="11" s="1"/>
  <c r="J94" i="5"/>
  <c r="H28" i="11" s="1"/>
  <c r="K94" i="5"/>
  <c r="I28" i="11" s="1"/>
  <c r="L94" i="5"/>
  <c r="M94"/>
  <c r="N94"/>
  <c r="O94"/>
  <c r="P94"/>
  <c r="E94"/>
  <c r="C28" i="11" s="1"/>
  <c r="M98" i="5" l="1"/>
  <c r="K28" i="11"/>
  <c r="K32" s="1"/>
  <c r="K33" s="1"/>
  <c r="E98" i="5"/>
  <c r="H32" i="11"/>
  <c r="H33" s="1"/>
  <c r="J98" i="5"/>
  <c r="D32" i="11"/>
  <c r="D33" s="1"/>
  <c r="Q96" i="5"/>
  <c r="O30" i="11" s="1"/>
  <c r="C30"/>
  <c r="C32" s="1"/>
  <c r="C33" s="1"/>
  <c r="Q95" i="5"/>
  <c r="O29" i="11" s="1"/>
  <c r="K98" i="5"/>
  <c r="I32" i="11"/>
  <c r="I33" s="1"/>
  <c r="P98" i="5"/>
  <c r="N28" i="11"/>
  <c r="N32" s="1"/>
  <c r="N33" s="1"/>
  <c r="O98" i="5"/>
  <c r="M28" i="11"/>
  <c r="M32" s="1"/>
  <c r="M33" s="1"/>
  <c r="N98" i="5"/>
  <c r="L28" i="11"/>
  <c r="L32" s="1"/>
  <c r="L33" s="1"/>
  <c r="L98" i="5"/>
  <c r="J28" i="11"/>
  <c r="J32" s="1"/>
  <c r="J33" s="1"/>
  <c r="G32"/>
  <c r="G33" s="1"/>
  <c r="H98" i="5"/>
  <c r="F28" i="11"/>
  <c r="F32" s="1"/>
  <c r="F33" s="1"/>
  <c r="G98" i="5"/>
  <c r="E28" i="11"/>
  <c r="E32" s="1"/>
  <c r="E33" s="1"/>
  <c r="I98" i="5"/>
  <c r="F98"/>
  <c r="Q97"/>
  <c r="O31" i="11" s="1"/>
  <c r="D277" i="8"/>
  <c r="Q94" i="5"/>
  <c r="O28" i="11" s="1"/>
  <c r="D252" i="8"/>
  <c r="P213"/>
  <c r="P219"/>
  <c r="U53" s="1"/>
  <c r="P217"/>
  <c r="R53" s="1"/>
  <c r="P210"/>
  <c r="O52" s="1"/>
  <c r="P212"/>
  <c r="P211"/>
  <c r="P209"/>
  <c r="O156"/>
  <c r="G156"/>
  <c r="J156"/>
  <c r="K156"/>
  <c r="J159"/>
  <c r="L156"/>
  <c r="P154"/>
  <c r="G165"/>
  <c r="K165"/>
  <c r="K159"/>
  <c r="M156"/>
  <c r="E156"/>
  <c r="H165"/>
  <c r="L165"/>
  <c r="L159"/>
  <c r="N156"/>
  <c r="F156"/>
  <c r="I162"/>
  <c r="I159"/>
  <c r="O165"/>
  <c r="F162"/>
  <c r="I165"/>
  <c r="O162"/>
  <c r="G162"/>
  <c r="N162"/>
  <c r="J165"/>
  <c r="H162"/>
  <c r="P163"/>
  <c r="E165"/>
  <c r="M159"/>
  <c r="N165"/>
  <c r="F165"/>
  <c r="K162"/>
  <c r="N159"/>
  <c r="F159"/>
  <c r="I156"/>
  <c r="P161"/>
  <c r="J162"/>
  <c r="E159"/>
  <c r="L162"/>
  <c r="P160"/>
  <c r="O159"/>
  <c r="G159"/>
  <c r="P158"/>
  <c r="P157"/>
  <c r="M165"/>
  <c r="H156"/>
  <c r="P164"/>
  <c r="M162"/>
  <c r="E162"/>
  <c r="H159"/>
  <c r="P155"/>
  <c r="D159"/>
  <c r="D165"/>
  <c r="D156"/>
  <c r="D162"/>
  <c r="O32" i="11" l="1"/>
  <c r="O33" s="1"/>
  <c r="C209" i="8"/>
  <c r="L52"/>
  <c r="R52"/>
  <c r="U52"/>
  <c r="C210"/>
  <c r="D98" i="5"/>
  <c r="C211" i="8"/>
  <c r="C213"/>
  <c r="K166"/>
  <c r="L166"/>
  <c r="J166"/>
  <c r="E166"/>
  <c r="O166"/>
  <c r="N166"/>
  <c r="F166"/>
  <c r="I166"/>
  <c r="G166"/>
  <c r="M166"/>
  <c r="P162"/>
  <c r="P159"/>
  <c r="P165"/>
  <c r="H166"/>
  <c r="P156"/>
  <c r="D166"/>
  <c r="R94" i="5" l="1"/>
  <c r="T12" i="10" s="1"/>
  <c r="R97" i="5"/>
  <c r="T15" i="10" s="1"/>
  <c r="R96" i="5"/>
  <c r="T14" i="10" s="1"/>
  <c r="R95" i="5"/>
  <c r="T13" i="10" s="1"/>
  <c r="C214" i="8"/>
  <c r="P166"/>
  <c r="Q8" i="7" l="1"/>
  <c r="Q12"/>
  <c r="Q16"/>
  <c r="Q20"/>
  <c r="Q24"/>
  <c r="P40" i="9"/>
  <c r="P36"/>
  <c r="P32"/>
  <c r="P25"/>
  <c r="P21"/>
  <c r="P17"/>
  <c r="P13"/>
  <c r="P9"/>
  <c r="R61" i="7"/>
  <c r="R63"/>
  <c r="R64"/>
  <c r="R65"/>
  <c r="R66"/>
  <c r="B454" i="8"/>
  <c r="B455"/>
  <c r="B456"/>
  <c r="B457"/>
  <c r="B458"/>
  <c r="B459"/>
  <c r="B460"/>
  <c r="B461"/>
  <c r="B462"/>
  <c r="B463"/>
  <c r="B464"/>
  <c r="B465"/>
  <c r="B466"/>
  <c r="B467"/>
  <c r="B468"/>
  <c r="B469"/>
  <c r="B470"/>
  <c r="B453"/>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12"/>
  <c r="B413"/>
  <c r="B414"/>
  <c r="B411"/>
  <c r="Z29" i="7" l="1"/>
  <c r="X29"/>
  <c r="S88" i="8" l="1"/>
  <c r="P88"/>
  <c r="M88"/>
  <c r="J88"/>
  <c r="S91"/>
  <c r="J91"/>
  <c r="P91"/>
  <c r="M91"/>
  <c r="S73"/>
  <c r="U73" s="1"/>
  <c r="M73"/>
  <c r="O73" s="1"/>
  <c r="P72"/>
  <c r="J72"/>
  <c r="J73"/>
  <c r="L73" s="1"/>
  <c r="M72"/>
  <c r="S75"/>
  <c r="U75" s="1"/>
  <c r="P75"/>
  <c r="R75" s="1"/>
  <c r="J75"/>
  <c r="L75" s="1"/>
  <c r="P74"/>
  <c r="R74" s="1"/>
  <c r="J74"/>
  <c r="L74" s="1"/>
  <c r="P73"/>
  <c r="R73" s="1"/>
  <c r="M74"/>
  <c r="O74" s="1"/>
  <c r="M75"/>
  <c r="O75" s="1"/>
  <c r="S72"/>
  <c r="S74"/>
  <c r="U74" s="1"/>
  <c r="S67"/>
  <c r="P65"/>
  <c r="M63"/>
  <c r="J61"/>
  <c r="J69"/>
  <c r="J67"/>
  <c r="S64"/>
  <c r="P62"/>
  <c r="P60"/>
  <c r="M68"/>
  <c r="J66"/>
  <c r="S66"/>
  <c r="P64"/>
  <c r="M62"/>
  <c r="M60"/>
  <c r="J68"/>
  <c r="S65"/>
  <c r="P63"/>
  <c r="M61"/>
  <c r="M69"/>
  <c r="S63"/>
  <c r="P61"/>
  <c r="P69"/>
  <c r="M67"/>
  <c r="J65"/>
  <c r="S69"/>
  <c r="M65"/>
  <c r="P66"/>
  <c r="J62"/>
  <c r="S62"/>
  <c r="S60"/>
  <c r="P68"/>
  <c r="M66"/>
  <c r="J64"/>
  <c r="S61"/>
  <c r="P67"/>
  <c r="J63"/>
  <c r="S68"/>
  <c r="M64"/>
  <c r="J60"/>
  <c r="B757"/>
  <c r="B758"/>
  <c r="B759"/>
  <c r="B760"/>
  <c r="B761"/>
  <c r="B762"/>
  <c r="B763"/>
  <c r="B764"/>
  <c r="B765"/>
  <c r="B766"/>
  <c r="B767"/>
  <c r="B768"/>
  <c r="B769"/>
  <c r="B770"/>
  <c r="B771"/>
  <c r="B772"/>
  <c r="B773"/>
  <c r="B756"/>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14"/>
  <c r="B679"/>
  <c r="B680"/>
  <c r="B681"/>
  <c r="B682"/>
  <c r="B683"/>
  <c r="B684"/>
  <c r="B685"/>
  <c r="B686"/>
  <c r="B687"/>
  <c r="B688"/>
  <c r="B689"/>
  <c r="B690"/>
  <c r="B691"/>
  <c r="B692"/>
  <c r="B693"/>
  <c r="B694"/>
  <c r="B695"/>
  <c r="B678"/>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37"/>
  <c r="B604"/>
  <c r="B605"/>
  <c r="B606"/>
  <c r="B607"/>
  <c r="B608"/>
  <c r="B609"/>
  <c r="B610"/>
  <c r="B611"/>
  <c r="B612"/>
  <c r="B613"/>
  <c r="B614"/>
  <c r="B615"/>
  <c r="B616"/>
  <c r="B617"/>
  <c r="B618"/>
  <c r="B619"/>
  <c r="B620"/>
  <c r="B603"/>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562"/>
  <c r="B529"/>
  <c r="B530"/>
  <c r="B531"/>
  <c r="B532"/>
  <c r="B533"/>
  <c r="B534"/>
  <c r="B535"/>
  <c r="B536"/>
  <c r="B537"/>
  <c r="B538"/>
  <c r="B539"/>
  <c r="B540"/>
  <c r="B541"/>
  <c r="B542"/>
  <c r="B543"/>
  <c r="B544"/>
  <c r="B545"/>
  <c r="B528"/>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487"/>
  <c r="D715"/>
  <c r="E715"/>
  <c r="F715"/>
  <c r="G715"/>
  <c r="H715"/>
  <c r="I715"/>
  <c r="J715"/>
  <c r="K715"/>
  <c r="L715"/>
  <c r="M715"/>
  <c r="N715"/>
  <c r="O715"/>
  <c r="D716"/>
  <c r="E716"/>
  <c r="F716"/>
  <c r="G716"/>
  <c r="H716"/>
  <c r="I716"/>
  <c r="J716"/>
  <c r="K716"/>
  <c r="L716"/>
  <c r="M716"/>
  <c r="N716"/>
  <c r="O716"/>
  <c r="D717"/>
  <c r="E717"/>
  <c r="F717"/>
  <c r="G717"/>
  <c r="H717"/>
  <c r="I717"/>
  <c r="J717"/>
  <c r="K717"/>
  <c r="L717"/>
  <c r="M717"/>
  <c r="N717"/>
  <c r="O717"/>
  <c r="D718"/>
  <c r="E718"/>
  <c r="F718"/>
  <c r="G718"/>
  <c r="H718"/>
  <c r="I718"/>
  <c r="J718"/>
  <c r="K718"/>
  <c r="L718"/>
  <c r="M718"/>
  <c r="N718"/>
  <c r="O718"/>
  <c r="D719"/>
  <c r="E719"/>
  <c r="F719"/>
  <c r="G719"/>
  <c r="H719"/>
  <c r="I719"/>
  <c r="J719"/>
  <c r="K719"/>
  <c r="L719"/>
  <c r="M719"/>
  <c r="N719"/>
  <c r="O719"/>
  <c r="D720"/>
  <c r="E720"/>
  <c r="F720"/>
  <c r="G720"/>
  <c r="H720"/>
  <c r="I720"/>
  <c r="J720"/>
  <c r="K720"/>
  <c r="L720"/>
  <c r="M720"/>
  <c r="N720"/>
  <c r="O720"/>
  <c r="D721"/>
  <c r="E721"/>
  <c r="F721"/>
  <c r="G721"/>
  <c r="H721"/>
  <c r="I721"/>
  <c r="J721"/>
  <c r="K721"/>
  <c r="L721"/>
  <c r="M721"/>
  <c r="N721"/>
  <c r="O721"/>
  <c r="D722"/>
  <c r="E722"/>
  <c r="F722"/>
  <c r="G722"/>
  <c r="H722"/>
  <c r="I722"/>
  <c r="J722"/>
  <c r="K722"/>
  <c r="L722"/>
  <c r="M722"/>
  <c r="N722"/>
  <c r="O722"/>
  <c r="D723"/>
  <c r="E723"/>
  <c r="F723"/>
  <c r="G723"/>
  <c r="H723"/>
  <c r="I723"/>
  <c r="J723"/>
  <c r="K723"/>
  <c r="L723"/>
  <c r="M723"/>
  <c r="N723"/>
  <c r="O723"/>
  <c r="D724"/>
  <c r="E724"/>
  <c r="F724"/>
  <c r="G724"/>
  <c r="H724"/>
  <c r="I724"/>
  <c r="J724"/>
  <c r="K724"/>
  <c r="L724"/>
  <c r="M724"/>
  <c r="N724"/>
  <c r="O724"/>
  <c r="D725"/>
  <c r="E725"/>
  <c r="F725"/>
  <c r="G725"/>
  <c r="H725"/>
  <c r="I725"/>
  <c r="J725"/>
  <c r="K725"/>
  <c r="L725"/>
  <c r="M725"/>
  <c r="N725"/>
  <c r="O725"/>
  <c r="D726"/>
  <c r="E726"/>
  <c r="F726"/>
  <c r="G726"/>
  <c r="H726"/>
  <c r="I726"/>
  <c r="J726"/>
  <c r="K726"/>
  <c r="L726"/>
  <c r="M726"/>
  <c r="N726"/>
  <c r="O726"/>
  <c r="D727"/>
  <c r="E727"/>
  <c r="F727"/>
  <c r="G727"/>
  <c r="H727"/>
  <c r="I727"/>
  <c r="J727"/>
  <c r="K727"/>
  <c r="L727"/>
  <c r="M727"/>
  <c r="N727"/>
  <c r="O727"/>
  <c r="D728"/>
  <c r="E728"/>
  <c r="F728"/>
  <c r="G728"/>
  <c r="H728"/>
  <c r="I728"/>
  <c r="J728"/>
  <c r="K728"/>
  <c r="L728"/>
  <c r="M728"/>
  <c r="N728"/>
  <c r="O728"/>
  <c r="D729"/>
  <c r="E729"/>
  <c r="F729"/>
  <c r="G729"/>
  <c r="H729"/>
  <c r="I729"/>
  <c r="J729"/>
  <c r="K729"/>
  <c r="L729"/>
  <c r="M729"/>
  <c r="N729"/>
  <c r="O729"/>
  <c r="D730"/>
  <c r="E730"/>
  <c r="F730"/>
  <c r="G730"/>
  <c r="H730"/>
  <c r="I730"/>
  <c r="J730"/>
  <c r="K730"/>
  <c r="L730"/>
  <c r="M730"/>
  <c r="N730"/>
  <c r="O730"/>
  <c r="D731"/>
  <c r="E731"/>
  <c r="F731"/>
  <c r="G731"/>
  <c r="H731"/>
  <c r="I731"/>
  <c r="J731"/>
  <c r="K731"/>
  <c r="L731"/>
  <c r="M731"/>
  <c r="N731"/>
  <c r="O731"/>
  <c r="D732"/>
  <c r="E732"/>
  <c r="F732"/>
  <c r="G732"/>
  <c r="H732"/>
  <c r="I732"/>
  <c r="J732"/>
  <c r="K732"/>
  <c r="L732"/>
  <c r="M732"/>
  <c r="N732"/>
  <c r="O732"/>
  <c r="D733"/>
  <c r="E733"/>
  <c r="F733"/>
  <c r="G733"/>
  <c r="H733"/>
  <c r="I733"/>
  <c r="J733"/>
  <c r="K733"/>
  <c r="L733"/>
  <c r="M733"/>
  <c r="N733"/>
  <c r="O733"/>
  <c r="D734"/>
  <c r="E734"/>
  <c r="F734"/>
  <c r="G734"/>
  <c r="H734"/>
  <c r="I734"/>
  <c r="J734"/>
  <c r="K734"/>
  <c r="L734"/>
  <c r="M734"/>
  <c r="N734"/>
  <c r="O734"/>
  <c r="D735"/>
  <c r="E735"/>
  <c r="F735"/>
  <c r="G735"/>
  <c r="H735"/>
  <c r="I735"/>
  <c r="J735"/>
  <c r="K735"/>
  <c r="L735"/>
  <c r="M735"/>
  <c r="N735"/>
  <c r="O735"/>
  <c r="D736"/>
  <c r="E736"/>
  <c r="F736"/>
  <c r="G736"/>
  <c r="H736"/>
  <c r="I736"/>
  <c r="J736"/>
  <c r="K736"/>
  <c r="L736"/>
  <c r="M736"/>
  <c r="N736"/>
  <c r="O736"/>
  <c r="D737"/>
  <c r="E737"/>
  <c r="F737"/>
  <c r="G737"/>
  <c r="H737"/>
  <c r="I737"/>
  <c r="J737"/>
  <c r="K737"/>
  <c r="L737"/>
  <c r="M737"/>
  <c r="N737"/>
  <c r="O737"/>
  <c r="D738"/>
  <c r="E738"/>
  <c r="F738"/>
  <c r="G738"/>
  <c r="H738"/>
  <c r="I738"/>
  <c r="J738"/>
  <c r="K738"/>
  <c r="L738"/>
  <c r="M738"/>
  <c r="N738"/>
  <c r="O738"/>
  <c r="D756"/>
  <c r="E756"/>
  <c r="F756"/>
  <c r="G756"/>
  <c r="H756"/>
  <c r="I756"/>
  <c r="J756"/>
  <c r="K756"/>
  <c r="L756"/>
  <c r="M756"/>
  <c r="N756"/>
  <c r="O756"/>
  <c r="D757"/>
  <c r="E757"/>
  <c r="F757"/>
  <c r="G757"/>
  <c r="H757"/>
  <c r="I757"/>
  <c r="J757"/>
  <c r="K757"/>
  <c r="L757"/>
  <c r="M757"/>
  <c r="N757"/>
  <c r="O757"/>
  <c r="D758"/>
  <c r="E758"/>
  <c r="F758"/>
  <c r="G758"/>
  <c r="H758"/>
  <c r="I758"/>
  <c r="J758"/>
  <c r="K758"/>
  <c r="L758"/>
  <c r="M758"/>
  <c r="N758"/>
  <c r="O758"/>
  <c r="D759"/>
  <c r="E759"/>
  <c r="F759"/>
  <c r="G759"/>
  <c r="H759"/>
  <c r="I759"/>
  <c r="J759"/>
  <c r="K759"/>
  <c r="L759"/>
  <c r="M759"/>
  <c r="N759"/>
  <c r="O759"/>
  <c r="D760"/>
  <c r="E760"/>
  <c r="F760"/>
  <c r="G760"/>
  <c r="H760"/>
  <c r="I760"/>
  <c r="J760"/>
  <c r="K760"/>
  <c r="L760"/>
  <c r="M760"/>
  <c r="N760"/>
  <c r="O760"/>
  <c r="D761"/>
  <c r="E761"/>
  <c r="F761"/>
  <c r="G761"/>
  <c r="H761"/>
  <c r="I761"/>
  <c r="J761"/>
  <c r="K761"/>
  <c r="L761"/>
  <c r="M761"/>
  <c r="N761"/>
  <c r="O761"/>
  <c r="D762"/>
  <c r="E762"/>
  <c r="F762"/>
  <c r="G762"/>
  <c r="H762"/>
  <c r="I762"/>
  <c r="J762"/>
  <c r="K762"/>
  <c r="L762"/>
  <c r="M762"/>
  <c r="N762"/>
  <c r="O762"/>
  <c r="D763"/>
  <c r="E763"/>
  <c r="F763"/>
  <c r="G763"/>
  <c r="H763"/>
  <c r="I763"/>
  <c r="J763"/>
  <c r="K763"/>
  <c r="L763"/>
  <c r="M763"/>
  <c r="N763"/>
  <c r="O763"/>
  <c r="D764"/>
  <c r="E764"/>
  <c r="F764"/>
  <c r="G764"/>
  <c r="H764"/>
  <c r="I764"/>
  <c r="J764"/>
  <c r="K764"/>
  <c r="L764"/>
  <c r="M764"/>
  <c r="N764"/>
  <c r="O764"/>
  <c r="D765"/>
  <c r="E765"/>
  <c r="F765"/>
  <c r="G765"/>
  <c r="H765"/>
  <c r="I765"/>
  <c r="J765"/>
  <c r="K765"/>
  <c r="L765"/>
  <c r="M765"/>
  <c r="N765"/>
  <c r="O765"/>
  <c r="D766"/>
  <c r="E766"/>
  <c r="F766"/>
  <c r="G766"/>
  <c r="H766"/>
  <c r="I766"/>
  <c r="J766"/>
  <c r="K766"/>
  <c r="L766"/>
  <c r="M766"/>
  <c r="N766"/>
  <c r="O766"/>
  <c r="D767"/>
  <c r="E767"/>
  <c r="F767"/>
  <c r="G767"/>
  <c r="H767"/>
  <c r="I767"/>
  <c r="J767"/>
  <c r="K767"/>
  <c r="L767"/>
  <c r="M767"/>
  <c r="N767"/>
  <c r="O767"/>
  <c r="D768"/>
  <c r="E768"/>
  <c r="F768"/>
  <c r="G768"/>
  <c r="H768"/>
  <c r="I768"/>
  <c r="J768"/>
  <c r="K768"/>
  <c r="L768"/>
  <c r="M768"/>
  <c r="N768"/>
  <c r="O768"/>
  <c r="D769"/>
  <c r="E769"/>
  <c r="F769"/>
  <c r="G769"/>
  <c r="H769"/>
  <c r="I769"/>
  <c r="J769"/>
  <c r="K769"/>
  <c r="L769"/>
  <c r="M769"/>
  <c r="N769"/>
  <c r="O769"/>
  <c r="D770"/>
  <c r="E770"/>
  <c r="F770"/>
  <c r="G770"/>
  <c r="H770"/>
  <c r="I770"/>
  <c r="J770"/>
  <c r="K770"/>
  <c r="L770"/>
  <c r="M770"/>
  <c r="N770"/>
  <c r="O770"/>
  <c r="D771"/>
  <c r="E771"/>
  <c r="F771"/>
  <c r="G771"/>
  <c r="H771"/>
  <c r="I771"/>
  <c r="J771"/>
  <c r="K771"/>
  <c r="L771"/>
  <c r="M771"/>
  <c r="N771"/>
  <c r="O771"/>
  <c r="D772"/>
  <c r="E772"/>
  <c r="F772"/>
  <c r="G772"/>
  <c r="H772"/>
  <c r="I772"/>
  <c r="J772"/>
  <c r="K772"/>
  <c r="L772"/>
  <c r="M772"/>
  <c r="N772"/>
  <c r="O772"/>
  <c r="E714"/>
  <c r="F714"/>
  <c r="G714"/>
  <c r="H714"/>
  <c r="I714"/>
  <c r="J714"/>
  <c r="K714"/>
  <c r="L714"/>
  <c r="M714"/>
  <c r="N714"/>
  <c r="O714"/>
  <c r="D714"/>
  <c r="C739" l="1"/>
  <c r="C733"/>
  <c r="C728"/>
  <c r="C724"/>
  <c r="C720"/>
  <c r="C716"/>
  <c r="N774"/>
  <c r="J774"/>
  <c r="C756"/>
  <c r="F774"/>
  <c r="C751"/>
  <c r="C748"/>
  <c r="C747"/>
  <c r="C743"/>
  <c r="C741"/>
  <c r="C740"/>
  <c r="C737"/>
  <c r="C736"/>
  <c r="C735"/>
  <c r="C732"/>
  <c r="C731"/>
  <c r="C729"/>
  <c r="C727"/>
  <c r="C726"/>
  <c r="C725"/>
  <c r="C723"/>
  <c r="C722"/>
  <c r="C721"/>
  <c r="C719"/>
  <c r="C718"/>
  <c r="C717"/>
  <c r="C715"/>
  <c r="M774"/>
  <c r="I774"/>
  <c r="E774"/>
  <c r="L774"/>
  <c r="H774"/>
  <c r="D774"/>
  <c r="O774"/>
  <c r="K774"/>
  <c r="G774"/>
  <c r="C759"/>
  <c r="C749"/>
  <c r="C744"/>
  <c r="C764"/>
  <c r="C771"/>
  <c r="C767"/>
  <c r="C765"/>
  <c r="C760"/>
  <c r="C730"/>
  <c r="C769"/>
  <c r="C734"/>
  <c r="C761"/>
  <c r="C750"/>
  <c r="C746"/>
  <c r="C742"/>
  <c r="C738"/>
  <c r="C768"/>
  <c r="C763"/>
  <c r="C772"/>
  <c r="C757"/>
  <c r="C758"/>
  <c r="C770"/>
  <c r="C766"/>
  <c r="C762"/>
  <c r="C714"/>
  <c r="P57" i="5"/>
  <c r="E57"/>
  <c r="F57"/>
  <c r="G57"/>
  <c r="H57"/>
  <c r="I57"/>
  <c r="J57"/>
  <c r="K57"/>
  <c r="L57"/>
  <c r="M57"/>
  <c r="N57"/>
  <c r="O57"/>
  <c r="S111" i="10"/>
  <c r="S110"/>
  <c r="S109"/>
  <c r="S108"/>
  <c r="S107"/>
  <c r="S106"/>
  <c r="S105"/>
  <c r="S104"/>
  <c r="S103"/>
  <c r="S102"/>
  <c r="S101"/>
  <c r="S100"/>
  <c r="S99"/>
  <c r="S98"/>
  <c r="S97"/>
  <c r="S96"/>
  <c r="S95"/>
  <c r="S94"/>
  <c r="S93"/>
  <c r="S92"/>
  <c r="S91"/>
  <c r="S90"/>
  <c r="S89"/>
  <c r="S118"/>
  <c r="S119"/>
  <c r="S120"/>
  <c r="S121"/>
  <c r="S122"/>
  <c r="S123"/>
  <c r="S124"/>
  <c r="S125"/>
  <c r="S126"/>
  <c r="S127"/>
  <c r="S128"/>
  <c r="S129"/>
  <c r="S130"/>
  <c r="S131"/>
  <c r="S132"/>
  <c r="S133"/>
  <c r="S134"/>
  <c r="S135"/>
  <c r="S136"/>
  <c r="S137"/>
  <c r="S138"/>
  <c r="S139"/>
  <c r="S140"/>
  <c r="S146"/>
  <c r="S147"/>
  <c r="S148"/>
  <c r="S149"/>
  <c r="S150"/>
  <c r="S151"/>
  <c r="S152"/>
  <c r="S153"/>
  <c r="S154"/>
  <c r="S155"/>
  <c r="S156"/>
  <c r="S157"/>
  <c r="S158"/>
  <c r="S159"/>
  <c r="S160"/>
  <c r="S161"/>
  <c r="S162"/>
  <c r="S163"/>
  <c r="S164"/>
  <c r="S165"/>
  <c r="S166"/>
  <c r="S167"/>
  <c r="S168"/>
  <c r="S145"/>
  <c r="S117"/>
  <c r="S116"/>
  <c r="S88"/>
  <c r="S87"/>
  <c r="S58"/>
  <c r="S59"/>
  <c r="S60"/>
  <c r="S61"/>
  <c r="S62"/>
  <c r="S63"/>
  <c r="S64"/>
  <c r="S65"/>
  <c r="S66"/>
  <c r="S67"/>
  <c r="S68"/>
  <c r="S69"/>
  <c r="S70"/>
  <c r="S71"/>
  <c r="S72"/>
  <c r="S73"/>
  <c r="S74"/>
  <c r="S75"/>
  <c r="S76"/>
  <c r="S77"/>
  <c r="S78"/>
  <c r="S79"/>
  <c r="S80"/>
  <c r="S81"/>
  <c r="S82"/>
  <c r="S57"/>
  <c r="S56"/>
  <c r="S28"/>
  <c r="S29"/>
  <c r="S30"/>
  <c r="S31"/>
  <c r="S32"/>
  <c r="S33"/>
  <c r="S34"/>
  <c r="S35"/>
  <c r="S36"/>
  <c r="S37"/>
  <c r="S38"/>
  <c r="S39"/>
  <c r="S40"/>
  <c r="S41"/>
  <c r="S42"/>
  <c r="S43"/>
  <c r="S44"/>
  <c r="S45"/>
  <c r="S46"/>
  <c r="S47"/>
  <c r="S48"/>
  <c r="S49"/>
  <c r="S50"/>
  <c r="S51"/>
  <c r="S27"/>
  <c r="B3" i="9" l="1"/>
  <c r="B3" i="7"/>
  <c r="U65" l="1"/>
  <c r="R67"/>
  <c r="S67" s="1"/>
  <c r="T148" i="10"/>
  <c r="L148"/>
  <c r="N148"/>
  <c r="P148"/>
  <c r="R148"/>
  <c r="L149"/>
  <c r="N149"/>
  <c r="P149"/>
  <c r="R149"/>
  <c r="T149"/>
  <c r="T150"/>
  <c r="L150"/>
  <c r="N150"/>
  <c r="P150"/>
  <c r="R150"/>
  <c r="T151"/>
  <c r="L151"/>
  <c r="N151"/>
  <c r="P151"/>
  <c r="R151"/>
  <c r="T152"/>
  <c r="L152"/>
  <c r="N152"/>
  <c r="P152"/>
  <c r="R152"/>
  <c r="L153"/>
  <c r="N153"/>
  <c r="P153"/>
  <c r="R153"/>
  <c r="T153"/>
  <c r="T154"/>
  <c r="L154"/>
  <c r="N154"/>
  <c r="P154"/>
  <c r="R154"/>
  <c r="T155"/>
  <c r="L155"/>
  <c r="N155"/>
  <c r="P155"/>
  <c r="R155"/>
  <c r="T156"/>
  <c r="L156"/>
  <c r="N156"/>
  <c r="P156"/>
  <c r="R156"/>
  <c r="L157"/>
  <c r="N157"/>
  <c r="P157"/>
  <c r="R157"/>
  <c r="T157"/>
  <c r="T158"/>
  <c r="L158"/>
  <c r="N158"/>
  <c r="P158"/>
  <c r="R158"/>
  <c r="T159"/>
  <c r="L159"/>
  <c r="N159"/>
  <c r="P159"/>
  <c r="R159"/>
  <c r="T160"/>
  <c r="L160"/>
  <c r="N160"/>
  <c r="P160"/>
  <c r="R160"/>
  <c r="L161"/>
  <c r="N161"/>
  <c r="P161"/>
  <c r="R161"/>
  <c r="T161"/>
  <c r="T162"/>
  <c r="L162"/>
  <c r="N162"/>
  <c r="P162"/>
  <c r="R162"/>
  <c r="T163"/>
  <c r="L163"/>
  <c r="N163"/>
  <c r="P163"/>
  <c r="R163"/>
  <c r="T164"/>
  <c r="L164"/>
  <c r="N164"/>
  <c r="P164"/>
  <c r="R164"/>
  <c r="L165"/>
  <c r="N165"/>
  <c r="P165"/>
  <c r="R165"/>
  <c r="T165"/>
  <c r="T166"/>
  <c r="L166"/>
  <c r="N166"/>
  <c r="P166"/>
  <c r="R166"/>
  <c r="L167"/>
  <c r="N167"/>
  <c r="P167"/>
  <c r="R167"/>
  <c r="T167"/>
  <c r="T125"/>
  <c r="L125"/>
  <c r="N125"/>
  <c r="P125"/>
  <c r="R125"/>
  <c r="T126"/>
  <c r="L126"/>
  <c r="N126"/>
  <c r="P126"/>
  <c r="R126"/>
  <c r="T127"/>
  <c r="L127"/>
  <c r="N127"/>
  <c r="P127"/>
  <c r="R127"/>
  <c r="T128"/>
  <c r="L128"/>
  <c r="N128"/>
  <c r="P128"/>
  <c r="R128"/>
  <c r="T129"/>
  <c r="L129"/>
  <c r="N129"/>
  <c r="P129"/>
  <c r="R129"/>
  <c r="T130"/>
  <c r="L130"/>
  <c r="N130"/>
  <c r="P130"/>
  <c r="R130"/>
  <c r="T131"/>
  <c r="L131"/>
  <c r="N131"/>
  <c r="P131"/>
  <c r="R131"/>
  <c r="T132"/>
  <c r="L132"/>
  <c r="N132"/>
  <c r="P132"/>
  <c r="R132"/>
  <c r="T133"/>
  <c r="L133"/>
  <c r="N133"/>
  <c r="P133"/>
  <c r="R133"/>
  <c r="T134"/>
  <c r="L134"/>
  <c r="N134"/>
  <c r="P134"/>
  <c r="R134"/>
  <c r="T135"/>
  <c r="L135"/>
  <c r="N135"/>
  <c r="P135"/>
  <c r="R135"/>
  <c r="T136"/>
  <c r="L136"/>
  <c r="N136"/>
  <c r="P136"/>
  <c r="R136"/>
  <c r="T137"/>
  <c r="L137"/>
  <c r="N137"/>
  <c r="P137"/>
  <c r="R137"/>
  <c r="T138"/>
  <c r="L138"/>
  <c r="N138"/>
  <c r="P138"/>
  <c r="R138"/>
  <c r="T139"/>
  <c r="L139"/>
  <c r="N139"/>
  <c r="P139"/>
  <c r="R139"/>
  <c r="T140"/>
  <c r="L140"/>
  <c r="N140"/>
  <c r="P140"/>
  <c r="R140"/>
  <c r="L117"/>
  <c r="J117" s="1"/>
  <c r="L118"/>
  <c r="J118" s="1"/>
  <c r="L119"/>
  <c r="J119" s="1"/>
  <c r="L120"/>
  <c r="L121"/>
  <c r="L122"/>
  <c r="L123"/>
  <c r="L124"/>
  <c r="L76"/>
  <c r="L77"/>
  <c r="L78"/>
  <c r="L79"/>
  <c r="L80"/>
  <c r="L81"/>
  <c r="L82"/>
  <c r="L58"/>
  <c r="J58" s="1"/>
  <c r="L59"/>
  <c r="J59" s="1"/>
  <c r="L60"/>
  <c r="J60" s="1"/>
  <c r="L61"/>
  <c r="J61" s="1"/>
  <c r="L62"/>
  <c r="L63"/>
  <c r="L64"/>
  <c r="L65"/>
  <c r="L66"/>
  <c r="L67"/>
  <c r="L68"/>
  <c r="L69"/>
  <c r="L70"/>
  <c r="L71"/>
  <c r="L72"/>
  <c r="L73"/>
  <c r="L74"/>
  <c r="L75"/>
  <c r="L89"/>
  <c r="J89" s="1"/>
  <c r="N89" s="1"/>
  <c r="P89"/>
  <c r="R89"/>
  <c r="T89"/>
  <c r="L90"/>
  <c r="J90" s="1"/>
  <c r="N90"/>
  <c r="P90"/>
  <c r="R90"/>
  <c r="T90"/>
  <c r="L91"/>
  <c r="J91" s="1"/>
  <c r="N91" s="1"/>
  <c r="P91"/>
  <c r="R91"/>
  <c r="T91"/>
  <c r="L92"/>
  <c r="N92"/>
  <c r="P92"/>
  <c r="R92"/>
  <c r="T92"/>
  <c r="L93"/>
  <c r="N93"/>
  <c r="P93"/>
  <c r="R93"/>
  <c r="T93"/>
  <c r="L94"/>
  <c r="N94"/>
  <c r="P94"/>
  <c r="R94"/>
  <c r="T94"/>
  <c r="L95"/>
  <c r="N95"/>
  <c r="P95"/>
  <c r="R95"/>
  <c r="T95"/>
  <c r="L96"/>
  <c r="N96"/>
  <c r="P96"/>
  <c r="R96"/>
  <c r="T96"/>
  <c r="L97"/>
  <c r="N97"/>
  <c r="P97"/>
  <c r="R97"/>
  <c r="T97"/>
  <c r="L98"/>
  <c r="N98"/>
  <c r="P98"/>
  <c r="R98"/>
  <c r="T98"/>
  <c r="L99"/>
  <c r="N99"/>
  <c r="P99"/>
  <c r="R99"/>
  <c r="T99"/>
  <c r="L100"/>
  <c r="N100"/>
  <c r="P100"/>
  <c r="R100"/>
  <c r="T100"/>
  <c r="L101"/>
  <c r="N101"/>
  <c r="P101"/>
  <c r="R101"/>
  <c r="T101"/>
  <c r="L102"/>
  <c r="N102"/>
  <c r="P102"/>
  <c r="R102"/>
  <c r="T102"/>
  <c r="L103"/>
  <c r="N103"/>
  <c r="P103"/>
  <c r="R103"/>
  <c r="T103"/>
  <c r="T104"/>
  <c r="L104"/>
  <c r="N104"/>
  <c r="P104"/>
  <c r="R104"/>
  <c r="L105"/>
  <c r="N105"/>
  <c r="P105"/>
  <c r="R105"/>
  <c r="T105"/>
  <c r="L106"/>
  <c r="N106"/>
  <c r="P106"/>
  <c r="R106"/>
  <c r="T106"/>
  <c r="L107"/>
  <c r="N107"/>
  <c r="P107"/>
  <c r="R107"/>
  <c r="T107"/>
  <c r="L108"/>
  <c r="N108"/>
  <c r="P108"/>
  <c r="R108"/>
  <c r="T108"/>
  <c r="L109"/>
  <c r="N109"/>
  <c r="P109"/>
  <c r="R109"/>
  <c r="T109"/>
  <c r="L110"/>
  <c r="N110"/>
  <c r="P110"/>
  <c r="R110"/>
  <c r="T110"/>
  <c r="N64"/>
  <c r="P64"/>
  <c r="R64"/>
  <c r="T64"/>
  <c r="N65"/>
  <c r="P65"/>
  <c r="R65"/>
  <c r="T65"/>
  <c r="N66"/>
  <c r="P66"/>
  <c r="R66"/>
  <c r="T66"/>
  <c r="N67"/>
  <c r="P67"/>
  <c r="R67"/>
  <c r="T67"/>
  <c r="N68"/>
  <c r="P68"/>
  <c r="R68"/>
  <c r="T68"/>
  <c r="N69"/>
  <c r="P69"/>
  <c r="R69"/>
  <c r="T69"/>
  <c r="N70"/>
  <c r="P70"/>
  <c r="R70"/>
  <c r="T70"/>
  <c r="N71"/>
  <c r="P71"/>
  <c r="R71"/>
  <c r="T71"/>
  <c r="N72"/>
  <c r="P72"/>
  <c r="R72"/>
  <c r="T72"/>
  <c r="N73"/>
  <c r="P73"/>
  <c r="R73"/>
  <c r="T73"/>
  <c r="N74"/>
  <c r="P74"/>
  <c r="R74"/>
  <c r="T74"/>
  <c r="N75"/>
  <c r="P75"/>
  <c r="R75"/>
  <c r="T75"/>
  <c r="N76"/>
  <c r="P76"/>
  <c r="R76"/>
  <c r="T76"/>
  <c r="N77"/>
  <c r="P77"/>
  <c r="R77"/>
  <c r="T77"/>
  <c r="N78"/>
  <c r="P78"/>
  <c r="R78"/>
  <c r="T78"/>
  <c r="N79"/>
  <c r="P79"/>
  <c r="R79"/>
  <c r="T79"/>
  <c r="N80"/>
  <c r="P80"/>
  <c r="R80"/>
  <c r="T80"/>
  <c r="N81"/>
  <c r="P81"/>
  <c r="R81"/>
  <c r="T81"/>
  <c r="L147"/>
  <c r="T60"/>
  <c r="N60"/>
  <c r="P60"/>
  <c r="R60"/>
  <c r="T61"/>
  <c r="N61"/>
  <c r="P61"/>
  <c r="R61"/>
  <c r="T62"/>
  <c r="N62"/>
  <c r="P62"/>
  <c r="R62"/>
  <c r="T63"/>
  <c r="N63"/>
  <c r="P63"/>
  <c r="R63"/>
  <c r="T42"/>
  <c r="T44"/>
  <c r="T45"/>
  <c r="T47"/>
  <c r="T48"/>
  <c r="N33"/>
  <c r="P33"/>
  <c r="R33"/>
  <c r="N34"/>
  <c r="P34"/>
  <c r="R34"/>
  <c r="N35"/>
  <c r="P35"/>
  <c r="R35"/>
  <c r="N36"/>
  <c r="P36"/>
  <c r="R36"/>
  <c r="N37"/>
  <c r="P37"/>
  <c r="R37"/>
  <c r="N38"/>
  <c r="P38"/>
  <c r="R38"/>
  <c r="N39"/>
  <c r="P39"/>
  <c r="R39"/>
  <c r="N40"/>
  <c r="P40"/>
  <c r="R40"/>
  <c r="N41"/>
  <c r="P41"/>
  <c r="R41"/>
  <c r="N42"/>
  <c r="P42"/>
  <c r="R42"/>
  <c r="N43"/>
  <c r="P43"/>
  <c r="R43"/>
  <c r="T43"/>
  <c r="N44"/>
  <c r="P44"/>
  <c r="R44"/>
  <c r="N45"/>
  <c r="P45"/>
  <c r="R45"/>
  <c r="N46"/>
  <c r="P46"/>
  <c r="R46"/>
  <c r="T46"/>
  <c r="N47"/>
  <c r="P47"/>
  <c r="R47"/>
  <c r="N48"/>
  <c r="P48"/>
  <c r="R48"/>
  <c r="N49"/>
  <c r="P49"/>
  <c r="R49"/>
  <c r="T49"/>
  <c r="N50"/>
  <c r="P50"/>
  <c r="R50"/>
  <c r="T50"/>
  <c r="L43"/>
  <c r="F43" s="1"/>
  <c r="L44"/>
  <c r="F44" s="1"/>
  <c r="L45"/>
  <c r="F45" s="1"/>
  <c r="L46"/>
  <c r="F46" s="1"/>
  <c r="L47"/>
  <c r="F47" s="1"/>
  <c r="L48"/>
  <c r="F48" s="1"/>
  <c r="L49"/>
  <c r="F49" s="1"/>
  <c r="L50"/>
  <c r="F50" s="1"/>
  <c r="L51"/>
  <c r="L52"/>
  <c r="L36"/>
  <c r="L37"/>
  <c r="J37" s="1"/>
  <c r="L38"/>
  <c r="J38" s="1"/>
  <c r="L39"/>
  <c r="L40"/>
  <c r="L41"/>
  <c r="J41" s="1"/>
  <c r="L42"/>
  <c r="F42" s="1"/>
  <c r="L57"/>
  <c r="J57" s="1"/>
  <c r="L28"/>
  <c r="L29"/>
  <c r="J29" s="1"/>
  <c r="L30"/>
  <c r="J30" s="1"/>
  <c r="L31"/>
  <c r="J31" s="1"/>
  <c r="L32"/>
  <c r="L33"/>
  <c r="J33" s="1"/>
  <c r="L34"/>
  <c r="J34" s="1"/>
  <c r="L35"/>
  <c r="B2"/>
  <c r="G5"/>
  <c r="G6"/>
  <c r="B5"/>
  <c r="B6"/>
  <c r="G3"/>
  <c r="G4"/>
  <c r="B4"/>
  <c r="B3"/>
  <c r="F32" l="1"/>
  <c r="J32"/>
  <c r="F40"/>
  <c r="J40"/>
  <c r="F36"/>
  <c r="J36"/>
  <c r="F35"/>
  <c r="J35"/>
  <c r="F39"/>
  <c r="J39"/>
  <c r="U67" i="7"/>
  <c r="O447" i="8" s="1"/>
  <c r="F673"/>
  <c r="J673"/>
  <c r="N673"/>
  <c r="D673"/>
  <c r="G673"/>
  <c r="K673"/>
  <c r="O673"/>
  <c r="L673"/>
  <c r="E673"/>
  <c r="I673"/>
  <c r="M673"/>
  <c r="H673"/>
  <c r="F445"/>
  <c r="J445"/>
  <c r="N445"/>
  <c r="L445"/>
  <c r="G445"/>
  <c r="K445"/>
  <c r="O445"/>
  <c r="D445"/>
  <c r="E445"/>
  <c r="I445"/>
  <c r="M445"/>
  <c r="H445"/>
  <c r="W65" i="7"/>
  <c r="S65"/>
  <c r="Y65"/>
  <c r="Q65"/>
  <c r="W67"/>
  <c r="S66"/>
  <c r="Y66"/>
  <c r="Y67"/>
  <c r="U66"/>
  <c r="W66"/>
  <c r="F41" i="10"/>
  <c r="F37"/>
  <c r="F33"/>
  <c r="F38"/>
  <c r="F34"/>
  <c r="A87"/>
  <c r="D447" i="8" l="1"/>
  <c r="E447"/>
  <c r="F447"/>
  <c r="I447"/>
  <c r="J447"/>
  <c r="M447"/>
  <c r="N447"/>
  <c r="H447"/>
  <c r="L447"/>
  <c r="G447"/>
  <c r="K447"/>
  <c r="F597"/>
  <c r="J597"/>
  <c r="N597"/>
  <c r="G597"/>
  <c r="K597"/>
  <c r="O597"/>
  <c r="E597"/>
  <c r="I597"/>
  <c r="M597"/>
  <c r="H597"/>
  <c r="D597"/>
  <c r="L597"/>
  <c r="F596"/>
  <c r="J596"/>
  <c r="N596"/>
  <c r="G596"/>
  <c r="K596"/>
  <c r="O596"/>
  <c r="E596"/>
  <c r="I596"/>
  <c r="M596"/>
  <c r="L596"/>
  <c r="H596"/>
  <c r="D596"/>
  <c r="F522"/>
  <c r="J522"/>
  <c r="N522"/>
  <c r="G522"/>
  <c r="K522"/>
  <c r="O522"/>
  <c r="E522"/>
  <c r="I522"/>
  <c r="M522"/>
  <c r="D522"/>
  <c r="L522"/>
  <c r="H522"/>
  <c r="F672"/>
  <c r="J672"/>
  <c r="N672"/>
  <c r="D672"/>
  <c r="G672"/>
  <c r="K672"/>
  <c r="O672"/>
  <c r="H672"/>
  <c r="E672"/>
  <c r="I672"/>
  <c r="M672"/>
  <c r="L672"/>
  <c r="F671"/>
  <c r="J671"/>
  <c r="N671"/>
  <c r="D671"/>
  <c r="G671"/>
  <c r="K671"/>
  <c r="O671"/>
  <c r="H671"/>
  <c r="E671"/>
  <c r="I671"/>
  <c r="M671"/>
  <c r="L671"/>
  <c r="F446"/>
  <c r="J446"/>
  <c r="N446"/>
  <c r="L446"/>
  <c r="G446"/>
  <c r="K446"/>
  <c r="O446"/>
  <c r="D446"/>
  <c r="E446"/>
  <c r="I446"/>
  <c r="M446"/>
  <c r="H446"/>
  <c r="F523"/>
  <c r="J523"/>
  <c r="N523"/>
  <c r="G523"/>
  <c r="K523"/>
  <c r="O523"/>
  <c r="E523"/>
  <c r="I523"/>
  <c r="M523"/>
  <c r="D523"/>
  <c r="H523"/>
  <c r="L523"/>
  <c r="F521"/>
  <c r="J521"/>
  <c r="N521"/>
  <c r="G521"/>
  <c r="K521"/>
  <c r="O521"/>
  <c r="E521"/>
  <c r="I521"/>
  <c r="M521"/>
  <c r="L521"/>
  <c r="H521"/>
  <c r="D521"/>
  <c r="B110"/>
  <c r="B111"/>
  <c r="B112"/>
  <c r="B103"/>
  <c r="B104"/>
  <c r="B105"/>
  <c r="B106"/>
  <c r="B107"/>
  <c r="B108"/>
  <c r="B109"/>
  <c r="B102"/>
  <c r="T82" i="10"/>
  <c r="T124"/>
  <c r="P30"/>
  <c r="P31"/>
  <c r="P32"/>
  <c r="P51"/>
  <c r="P82"/>
  <c r="P111"/>
  <c r="P117"/>
  <c r="P118"/>
  <c r="P119"/>
  <c r="P120"/>
  <c r="P121"/>
  <c r="P122"/>
  <c r="P123"/>
  <c r="P124"/>
  <c r="P145"/>
  <c r="P146"/>
  <c r="P147"/>
  <c r="P168"/>
  <c r="E189" i="8"/>
  <c r="E277" s="1"/>
  <c r="F189"/>
  <c r="F277" s="1"/>
  <c r="G189"/>
  <c r="G277" s="1"/>
  <c r="H189"/>
  <c r="H277" s="1"/>
  <c r="I189"/>
  <c r="I277" s="1"/>
  <c r="J189"/>
  <c r="J277" s="1"/>
  <c r="K189"/>
  <c r="K277" s="1"/>
  <c r="L189"/>
  <c r="L277" s="1"/>
  <c r="M189"/>
  <c r="M277" s="1"/>
  <c r="N189"/>
  <c r="N277" s="1"/>
  <c r="O189"/>
  <c r="O277" s="1"/>
  <c r="D201"/>
  <c r="E201"/>
  <c r="F201"/>
  <c r="G201"/>
  <c r="H201"/>
  <c r="I201"/>
  <c r="J201"/>
  <c r="K201"/>
  <c r="L201"/>
  <c r="M201"/>
  <c r="N201"/>
  <c r="O201"/>
  <c r="R30" i="10"/>
  <c r="R31"/>
  <c r="R32"/>
  <c r="R51"/>
  <c r="R82"/>
  <c r="R111"/>
  <c r="R117"/>
  <c r="R118"/>
  <c r="R119"/>
  <c r="R120"/>
  <c r="R121"/>
  <c r="R122"/>
  <c r="R123"/>
  <c r="R124"/>
  <c r="R145"/>
  <c r="R146"/>
  <c r="R147"/>
  <c r="R168"/>
  <c r="D190" i="8"/>
  <c r="E190"/>
  <c r="E281" s="1"/>
  <c r="F190"/>
  <c r="F281" s="1"/>
  <c r="G190"/>
  <c r="G281" s="1"/>
  <c r="H190"/>
  <c r="H281" s="1"/>
  <c r="I190"/>
  <c r="I281" s="1"/>
  <c r="J190"/>
  <c r="J281" s="1"/>
  <c r="K190"/>
  <c r="K281" s="1"/>
  <c r="L190"/>
  <c r="L281" s="1"/>
  <c r="M190"/>
  <c r="M281" s="1"/>
  <c r="N190"/>
  <c r="N281" s="1"/>
  <c r="O190"/>
  <c r="O281" s="1"/>
  <c r="T51" i="10"/>
  <c r="T111"/>
  <c r="T145"/>
  <c r="T146"/>
  <c r="T147"/>
  <c r="T168"/>
  <c r="D191" i="8"/>
  <c r="E191"/>
  <c r="F191"/>
  <c r="G191"/>
  <c r="H191"/>
  <c r="H285" s="1"/>
  <c r="I191"/>
  <c r="I285" s="1"/>
  <c r="J191"/>
  <c r="J285" s="1"/>
  <c r="K191"/>
  <c r="K285" s="1"/>
  <c r="L191"/>
  <c r="L285" s="1"/>
  <c r="M191"/>
  <c r="M285" s="1"/>
  <c r="N191"/>
  <c r="N285" s="1"/>
  <c r="O191"/>
  <c r="O285" s="1"/>
  <c r="D197"/>
  <c r="D286" s="1"/>
  <c r="E197"/>
  <c r="E286" s="1"/>
  <c r="F197"/>
  <c r="F286" s="1"/>
  <c r="G197"/>
  <c r="G286" s="1"/>
  <c r="H197"/>
  <c r="H286" s="1"/>
  <c r="I197"/>
  <c r="I286" s="1"/>
  <c r="J197"/>
  <c r="J286" s="1"/>
  <c r="K197"/>
  <c r="K286" s="1"/>
  <c r="L197"/>
  <c r="L286" s="1"/>
  <c r="M197"/>
  <c r="M286" s="1"/>
  <c r="N197"/>
  <c r="N286" s="1"/>
  <c r="O197"/>
  <c r="O286" s="1"/>
  <c r="N30" i="10"/>
  <c r="N31"/>
  <c r="N32"/>
  <c r="N51"/>
  <c r="N82"/>
  <c r="N111"/>
  <c r="N117"/>
  <c r="N118"/>
  <c r="N119"/>
  <c r="N120"/>
  <c r="N121"/>
  <c r="N122"/>
  <c r="N123"/>
  <c r="N124"/>
  <c r="N145"/>
  <c r="N146"/>
  <c r="N147"/>
  <c r="N168"/>
  <c r="D192" i="8"/>
  <c r="E192"/>
  <c r="F192"/>
  <c r="G192"/>
  <c r="H192"/>
  <c r="I192"/>
  <c r="J192"/>
  <c r="K192"/>
  <c r="L192"/>
  <c r="M192"/>
  <c r="N192"/>
  <c r="O192"/>
  <c r="D193"/>
  <c r="E193"/>
  <c r="F193"/>
  <c r="G193"/>
  <c r="H193"/>
  <c r="I193"/>
  <c r="J193"/>
  <c r="K193"/>
  <c r="L193"/>
  <c r="M193"/>
  <c r="N193"/>
  <c r="O193"/>
  <c r="D198"/>
  <c r="E198"/>
  <c r="F198"/>
  <c r="G198"/>
  <c r="H198"/>
  <c r="I198"/>
  <c r="J198"/>
  <c r="K198"/>
  <c r="L198"/>
  <c r="M198"/>
  <c r="N198"/>
  <c r="O198"/>
  <c r="D199"/>
  <c r="E199"/>
  <c r="F199"/>
  <c r="G199"/>
  <c r="H199"/>
  <c r="I199"/>
  <c r="J199"/>
  <c r="K199"/>
  <c r="L199"/>
  <c r="M199"/>
  <c r="N199"/>
  <c r="O199"/>
  <c r="C8"/>
  <c r="J15" s="1"/>
  <c r="I51" i="10"/>
  <c r="O21"/>
  <c r="N21"/>
  <c r="R55" i="5"/>
  <c r="R54"/>
  <c r="C37"/>
  <c r="E68" i="9"/>
  <c r="F68"/>
  <c r="G68"/>
  <c r="H68"/>
  <c r="I68"/>
  <c r="J68"/>
  <c r="K68"/>
  <c r="L68"/>
  <c r="M68"/>
  <c r="N68"/>
  <c r="O68"/>
  <c r="D68"/>
  <c r="K2" i="5"/>
  <c r="P75" i="9"/>
  <c r="P74"/>
  <c r="P73"/>
  <c r="O76"/>
  <c r="N76"/>
  <c r="M76"/>
  <c r="L76"/>
  <c r="K76"/>
  <c r="J76"/>
  <c r="I76"/>
  <c r="H76"/>
  <c r="G76"/>
  <c r="F76"/>
  <c r="E76"/>
  <c r="D76"/>
  <c r="R96" i="7"/>
  <c r="E99"/>
  <c r="F99"/>
  <c r="G99"/>
  <c r="H99"/>
  <c r="I99"/>
  <c r="J99"/>
  <c r="K99"/>
  <c r="L99"/>
  <c r="M99"/>
  <c r="N99"/>
  <c r="O99"/>
  <c r="P99"/>
  <c r="R97"/>
  <c r="R98"/>
  <c r="C20" i="8" s="1"/>
  <c r="F21" i="10"/>
  <c r="K21"/>
  <c r="K169"/>
  <c r="K141"/>
  <c r="K112"/>
  <c r="K83"/>
  <c r="K52"/>
  <c r="D112" i="11"/>
  <c r="E112"/>
  <c r="F112"/>
  <c r="G112"/>
  <c r="H112"/>
  <c r="I112"/>
  <c r="J112"/>
  <c r="K112"/>
  <c r="L112"/>
  <c r="M112"/>
  <c r="N112"/>
  <c r="C112"/>
  <c r="D47"/>
  <c r="E47"/>
  <c r="F47"/>
  <c r="G47"/>
  <c r="H47"/>
  <c r="I47"/>
  <c r="J47"/>
  <c r="K47"/>
  <c r="L47"/>
  <c r="M47"/>
  <c r="N47"/>
  <c r="C47"/>
  <c r="D68"/>
  <c r="E68"/>
  <c r="F68"/>
  <c r="G68"/>
  <c r="H68"/>
  <c r="I68"/>
  <c r="J68"/>
  <c r="K68"/>
  <c r="L68"/>
  <c r="M68"/>
  <c r="N68"/>
  <c r="C68"/>
  <c r="D134"/>
  <c r="E134"/>
  <c r="F134"/>
  <c r="G134"/>
  <c r="H134"/>
  <c r="I134"/>
  <c r="J134"/>
  <c r="K134"/>
  <c r="L134"/>
  <c r="M134"/>
  <c r="N134"/>
  <c r="C134"/>
  <c r="D91"/>
  <c r="E91"/>
  <c r="F91"/>
  <c r="G91"/>
  <c r="H91"/>
  <c r="I91"/>
  <c r="J91"/>
  <c r="K91"/>
  <c r="L91"/>
  <c r="M91"/>
  <c r="N91"/>
  <c r="C91"/>
  <c r="C133"/>
  <c r="C111"/>
  <c r="C46"/>
  <c r="D46" s="1"/>
  <c r="D127"/>
  <c r="E127"/>
  <c r="F127"/>
  <c r="G127"/>
  <c r="H127"/>
  <c r="I127"/>
  <c r="J127"/>
  <c r="K127"/>
  <c r="L127"/>
  <c r="M127"/>
  <c r="N127"/>
  <c r="D128"/>
  <c r="E128"/>
  <c r="F128"/>
  <c r="G128"/>
  <c r="H128"/>
  <c r="I128"/>
  <c r="J128"/>
  <c r="K128"/>
  <c r="L128"/>
  <c r="M128"/>
  <c r="N128"/>
  <c r="C128"/>
  <c r="C127"/>
  <c r="D62"/>
  <c r="E62"/>
  <c r="F62"/>
  <c r="G62"/>
  <c r="H62"/>
  <c r="I62"/>
  <c r="J62"/>
  <c r="K62"/>
  <c r="L62"/>
  <c r="M62"/>
  <c r="N62"/>
  <c r="D63"/>
  <c r="E63"/>
  <c r="F63"/>
  <c r="G63"/>
  <c r="H63"/>
  <c r="I63"/>
  <c r="J63"/>
  <c r="K63"/>
  <c r="L63"/>
  <c r="M63"/>
  <c r="N63"/>
  <c r="C63"/>
  <c r="C62"/>
  <c r="D41"/>
  <c r="E41"/>
  <c r="F41"/>
  <c r="G41"/>
  <c r="H41"/>
  <c r="I41"/>
  <c r="J41"/>
  <c r="K41"/>
  <c r="L41"/>
  <c r="M41"/>
  <c r="N41"/>
  <c r="D42"/>
  <c r="E42"/>
  <c r="F42"/>
  <c r="G42"/>
  <c r="H42"/>
  <c r="I42"/>
  <c r="J42"/>
  <c r="K42"/>
  <c r="L42"/>
  <c r="M42"/>
  <c r="N42"/>
  <c r="C42"/>
  <c r="C41"/>
  <c r="C89"/>
  <c r="D129"/>
  <c r="E129"/>
  <c r="F129"/>
  <c r="G129"/>
  <c r="H129"/>
  <c r="I129"/>
  <c r="J129"/>
  <c r="K129"/>
  <c r="L129"/>
  <c r="M129"/>
  <c r="N129"/>
  <c r="C129"/>
  <c r="D126"/>
  <c r="E126"/>
  <c r="F126"/>
  <c r="G126"/>
  <c r="H126"/>
  <c r="I126"/>
  <c r="J126"/>
  <c r="K126"/>
  <c r="L126"/>
  <c r="M126"/>
  <c r="N126"/>
  <c r="C126"/>
  <c r="D107"/>
  <c r="E107"/>
  <c r="F107"/>
  <c r="G107"/>
  <c r="H107"/>
  <c r="I107"/>
  <c r="J107"/>
  <c r="K107"/>
  <c r="L107"/>
  <c r="M107"/>
  <c r="N107"/>
  <c r="C107"/>
  <c r="D106"/>
  <c r="E106"/>
  <c r="F106"/>
  <c r="G106"/>
  <c r="H106"/>
  <c r="I106"/>
  <c r="J106"/>
  <c r="K106"/>
  <c r="L106"/>
  <c r="M106"/>
  <c r="N106"/>
  <c r="C106"/>
  <c r="D105"/>
  <c r="E105"/>
  <c r="F105"/>
  <c r="G105"/>
  <c r="H105"/>
  <c r="I105"/>
  <c r="J105"/>
  <c r="K105"/>
  <c r="L105"/>
  <c r="M105"/>
  <c r="N105"/>
  <c r="C105"/>
  <c r="H83"/>
  <c r="G82"/>
  <c r="D85"/>
  <c r="E85"/>
  <c r="F85"/>
  <c r="G85"/>
  <c r="H85"/>
  <c r="I85"/>
  <c r="J85"/>
  <c r="K85"/>
  <c r="L85"/>
  <c r="M85"/>
  <c r="N85"/>
  <c r="C85"/>
  <c r="D84"/>
  <c r="E84"/>
  <c r="F84"/>
  <c r="G84"/>
  <c r="H84"/>
  <c r="I84"/>
  <c r="J84"/>
  <c r="K84"/>
  <c r="L84"/>
  <c r="M84"/>
  <c r="N84"/>
  <c r="C84"/>
  <c r="D82"/>
  <c r="E82"/>
  <c r="F82"/>
  <c r="H82"/>
  <c r="I82"/>
  <c r="J82"/>
  <c r="K82"/>
  <c r="L82"/>
  <c r="M82"/>
  <c r="N82"/>
  <c r="C82"/>
  <c r="D83"/>
  <c r="E83"/>
  <c r="F83"/>
  <c r="G83"/>
  <c r="I83"/>
  <c r="J83"/>
  <c r="K83"/>
  <c r="L83"/>
  <c r="M83"/>
  <c r="N83"/>
  <c r="C83"/>
  <c r="D64"/>
  <c r="E64"/>
  <c r="F64"/>
  <c r="G64"/>
  <c r="H64"/>
  <c r="I64"/>
  <c r="J64"/>
  <c r="K64"/>
  <c r="L64"/>
  <c r="M64"/>
  <c r="N64"/>
  <c r="C64"/>
  <c r="D61"/>
  <c r="E61"/>
  <c r="F61"/>
  <c r="G61"/>
  <c r="H61"/>
  <c r="I61"/>
  <c r="J61"/>
  <c r="K61"/>
  <c r="L61"/>
  <c r="M61"/>
  <c r="N61"/>
  <c r="C61"/>
  <c r="D67"/>
  <c r="D40"/>
  <c r="E40"/>
  <c r="F40"/>
  <c r="G40"/>
  <c r="H40"/>
  <c r="I40"/>
  <c r="J40"/>
  <c r="K40"/>
  <c r="L40"/>
  <c r="M40"/>
  <c r="N40"/>
  <c r="C40"/>
  <c r="D43"/>
  <c r="E43"/>
  <c r="F43"/>
  <c r="G43"/>
  <c r="H43"/>
  <c r="I43"/>
  <c r="J43"/>
  <c r="K43"/>
  <c r="L43"/>
  <c r="M43"/>
  <c r="N43"/>
  <c r="C43"/>
  <c r="Q57" i="5"/>
  <c r="Q52"/>
  <c r="Q47"/>
  <c r="G88"/>
  <c r="H88"/>
  <c r="I88"/>
  <c r="J88"/>
  <c r="K88"/>
  <c r="L88"/>
  <c r="M88"/>
  <c r="N88"/>
  <c r="O88"/>
  <c r="P88"/>
  <c r="G87"/>
  <c r="H87"/>
  <c r="I87"/>
  <c r="J87"/>
  <c r="K87"/>
  <c r="L87"/>
  <c r="M87"/>
  <c r="N87"/>
  <c r="O87"/>
  <c r="P87"/>
  <c r="F87"/>
  <c r="E87"/>
  <c r="G85"/>
  <c r="H85"/>
  <c r="I85"/>
  <c r="J85"/>
  <c r="K85"/>
  <c r="L85"/>
  <c r="M85"/>
  <c r="N85"/>
  <c r="O85"/>
  <c r="P85"/>
  <c r="F85"/>
  <c r="F84"/>
  <c r="G84"/>
  <c r="H84"/>
  <c r="I84"/>
  <c r="J84"/>
  <c r="K84"/>
  <c r="L84"/>
  <c r="M84"/>
  <c r="N84"/>
  <c r="O84"/>
  <c r="P84"/>
  <c r="E84"/>
  <c r="P83"/>
  <c r="G83"/>
  <c r="H83"/>
  <c r="I83"/>
  <c r="J83"/>
  <c r="K83"/>
  <c r="L83"/>
  <c r="M83"/>
  <c r="N83"/>
  <c r="O83"/>
  <c r="F82"/>
  <c r="E82"/>
  <c r="Q56"/>
  <c r="Q54"/>
  <c r="Q51"/>
  <c r="Q49"/>
  <c r="Q46"/>
  <c r="Q44"/>
  <c r="Q41"/>
  <c r="Q39"/>
  <c r="Q42"/>
  <c r="G21" i="10"/>
  <c r="H12"/>
  <c r="P12"/>
  <c r="I12" s="1"/>
  <c r="H13"/>
  <c r="H14"/>
  <c r="H15"/>
  <c r="H16"/>
  <c r="H17"/>
  <c r="H18"/>
  <c r="H20"/>
  <c r="H19"/>
  <c r="P52" i="5"/>
  <c r="N124" i="11" s="1"/>
  <c r="O52" i="5"/>
  <c r="M124" i="11" s="1"/>
  <c r="N52" i="5"/>
  <c r="L124" i="11" s="1"/>
  <c r="M52" i="5"/>
  <c r="K124" i="11" s="1"/>
  <c r="L52" i="5"/>
  <c r="J124" i="11" s="1"/>
  <c r="K52" i="5"/>
  <c r="I124" i="11" s="1"/>
  <c r="J52" i="5"/>
  <c r="H124" i="11" s="1"/>
  <c r="I52" i="5"/>
  <c r="G124" i="11" s="1"/>
  <c r="H52" i="5"/>
  <c r="F124" i="11" s="1"/>
  <c r="G52" i="5"/>
  <c r="E124" i="11" s="1"/>
  <c r="F52" i="5"/>
  <c r="E52"/>
  <c r="C124" i="11" s="1"/>
  <c r="P47" i="5"/>
  <c r="O47"/>
  <c r="N47"/>
  <c r="M47"/>
  <c r="L47"/>
  <c r="K47"/>
  <c r="J47"/>
  <c r="I47"/>
  <c r="H47"/>
  <c r="G47"/>
  <c r="F47"/>
  <c r="E47"/>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c r="F112"/>
  <c r="F83"/>
  <c r="F26" i="7"/>
  <c r="G26"/>
  <c r="H26"/>
  <c r="I26"/>
  <c r="J26"/>
  <c r="K26"/>
  <c r="A146" i="10"/>
  <c r="A147"/>
  <c r="A148"/>
  <c r="A158"/>
  <c r="A159"/>
  <c r="A160"/>
  <c r="A161"/>
  <c r="A162"/>
  <c r="A163"/>
  <c r="A164"/>
  <c r="A165"/>
  <c r="A166"/>
  <c r="A167"/>
  <c r="A168"/>
  <c r="A145"/>
  <c r="A117"/>
  <c r="A118"/>
  <c r="A119"/>
  <c r="A120"/>
  <c r="A121"/>
  <c r="A122"/>
  <c r="A123"/>
  <c r="A124"/>
  <c r="A125"/>
  <c r="A126"/>
  <c r="A127"/>
  <c r="A128"/>
  <c r="A129"/>
  <c r="A130"/>
  <c r="A131"/>
  <c r="A132"/>
  <c r="A133"/>
  <c r="A134"/>
  <c r="A135"/>
  <c r="A136"/>
  <c r="A137"/>
  <c r="A138"/>
  <c r="A139"/>
  <c r="A140"/>
  <c r="A116"/>
  <c r="A88"/>
  <c r="A89"/>
  <c r="A90"/>
  <c r="A91"/>
  <c r="A92"/>
  <c r="A93"/>
  <c r="A94"/>
  <c r="A95"/>
  <c r="A96"/>
  <c r="A97"/>
  <c r="A98"/>
  <c r="A99"/>
  <c r="A100"/>
  <c r="A101"/>
  <c r="A102"/>
  <c r="A103"/>
  <c r="A104"/>
  <c r="A105"/>
  <c r="A106"/>
  <c r="A107"/>
  <c r="A108"/>
  <c r="A109"/>
  <c r="A110"/>
  <c r="A111"/>
  <c r="A57"/>
  <c r="A58"/>
  <c r="A59"/>
  <c r="A60"/>
  <c r="A61"/>
  <c r="A62"/>
  <c r="A63"/>
  <c r="A64"/>
  <c r="A65"/>
  <c r="A66"/>
  <c r="A67"/>
  <c r="A68"/>
  <c r="A69"/>
  <c r="A70"/>
  <c r="A71"/>
  <c r="A72"/>
  <c r="A73"/>
  <c r="A74"/>
  <c r="A75"/>
  <c r="A76"/>
  <c r="A77"/>
  <c r="A78"/>
  <c r="A79"/>
  <c r="A80"/>
  <c r="A81"/>
  <c r="A82"/>
  <c r="A56"/>
  <c r="A28"/>
  <c r="A29"/>
  <c r="A30"/>
  <c r="A31"/>
  <c r="A32"/>
  <c r="A33"/>
  <c r="A34"/>
  <c r="A35"/>
  <c r="A36"/>
  <c r="A37"/>
  <c r="A38"/>
  <c r="A39"/>
  <c r="A40"/>
  <c r="A41"/>
  <c r="A49"/>
  <c r="A50"/>
  <c r="A51"/>
  <c r="A27"/>
  <c r="L27"/>
  <c r="E82"/>
  <c r="L56"/>
  <c r="J56" s="1"/>
  <c r="L88"/>
  <c r="J88" s="1"/>
  <c r="L111"/>
  <c r="L87"/>
  <c r="J87" s="1"/>
  <c r="T117"/>
  <c r="T118"/>
  <c r="T119"/>
  <c r="T120"/>
  <c r="T121"/>
  <c r="T122"/>
  <c r="T123"/>
  <c r="L116"/>
  <c r="J116" s="1"/>
  <c r="L146"/>
  <c r="L168"/>
  <c r="L145"/>
  <c r="B2" i="11"/>
  <c r="H2"/>
  <c r="H3"/>
  <c r="H4"/>
  <c r="H5"/>
  <c r="H6"/>
  <c r="H7"/>
  <c r="B3"/>
  <c r="B4"/>
  <c r="B5"/>
  <c r="B6"/>
  <c r="B7"/>
  <c r="P26" i="7"/>
  <c r="O26"/>
  <c r="N26"/>
  <c r="M26"/>
  <c r="L26"/>
  <c r="E26"/>
  <c r="C26"/>
  <c r="Q23"/>
  <c r="P22"/>
  <c r="O22"/>
  <c r="N22"/>
  <c r="M22"/>
  <c r="L22"/>
  <c r="K22"/>
  <c r="J22"/>
  <c r="I22"/>
  <c r="H22"/>
  <c r="G22"/>
  <c r="F22"/>
  <c r="E22"/>
  <c r="C22"/>
  <c r="Q19"/>
  <c r="P18"/>
  <c r="O18"/>
  <c r="N18"/>
  <c r="M18"/>
  <c r="L18"/>
  <c r="K18"/>
  <c r="J18"/>
  <c r="I18"/>
  <c r="H18"/>
  <c r="G18"/>
  <c r="F18"/>
  <c r="E18"/>
  <c r="C18"/>
  <c r="Q15"/>
  <c r="P14"/>
  <c r="O14"/>
  <c r="N14"/>
  <c r="M14"/>
  <c r="L14"/>
  <c r="K14"/>
  <c r="J14"/>
  <c r="I14"/>
  <c r="H14"/>
  <c r="G14"/>
  <c r="F14"/>
  <c r="E14"/>
  <c r="C14"/>
  <c r="Q11"/>
  <c r="P10"/>
  <c r="O10"/>
  <c r="N10"/>
  <c r="M10"/>
  <c r="L10"/>
  <c r="K10"/>
  <c r="J10"/>
  <c r="I10"/>
  <c r="H10"/>
  <c r="G10"/>
  <c r="F10"/>
  <c r="E10"/>
  <c r="C10"/>
  <c r="Q7"/>
  <c r="C75" i="5"/>
  <c r="E239" i="8"/>
  <c r="F239"/>
  <c r="G239"/>
  <c r="H239"/>
  <c r="I239"/>
  <c r="J239"/>
  <c r="K239"/>
  <c r="L239"/>
  <c r="M239"/>
  <c r="N239"/>
  <c r="O239"/>
  <c r="E240"/>
  <c r="F240"/>
  <c r="G240"/>
  <c r="H240"/>
  <c r="I240"/>
  <c r="J240"/>
  <c r="K240"/>
  <c r="L240"/>
  <c r="M240"/>
  <c r="N240"/>
  <c r="O240"/>
  <c r="D240"/>
  <c r="D239"/>
  <c r="O238"/>
  <c r="E238"/>
  <c r="F238"/>
  <c r="G238"/>
  <c r="H238"/>
  <c r="I238"/>
  <c r="J238"/>
  <c r="K238"/>
  <c r="L238"/>
  <c r="M238"/>
  <c r="N238"/>
  <c r="D238"/>
  <c r="O43" i="9"/>
  <c r="N43"/>
  <c r="M43"/>
  <c r="L43"/>
  <c r="K43"/>
  <c r="J43"/>
  <c r="I43"/>
  <c r="H43"/>
  <c r="G43"/>
  <c r="F43"/>
  <c r="E43"/>
  <c r="D43"/>
  <c r="P42"/>
  <c r="O41"/>
  <c r="N41"/>
  <c r="M41"/>
  <c r="L41"/>
  <c r="K41"/>
  <c r="J41"/>
  <c r="I41"/>
  <c r="H41"/>
  <c r="G41"/>
  <c r="F41"/>
  <c r="E41"/>
  <c r="D41"/>
  <c r="P39"/>
  <c r="P41" s="1"/>
  <c r="P38"/>
  <c r="O37"/>
  <c r="N37"/>
  <c r="M37"/>
  <c r="L37"/>
  <c r="K37"/>
  <c r="J37"/>
  <c r="I37"/>
  <c r="H37"/>
  <c r="G37"/>
  <c r="F37"/>
  <c r="E37"/>
  <c r="D37"/>
  <c r="P35"/>
  <c r="P37" s="1"/>
  <c r="P34"/>
  <c r="O33"/>
  <c r="N33"/>
  <c r="M33"/>
  <c r="L33"/>
  <c r="K33"/>
  <c r="J33"/>
  <c r="I33"/>
  <c r="H33"/>
  <c r="G33"/>
  <c r="F33"/>
  <c r="E33"/>
  <c r="D33"/>
  <c r="P31"/>
  <c r="O27"/>
  <c r="O234" i="8" s="1"/>
  <c r="N27" i="9"/>
  <c r="N234" i="8" s="1"/>
  <c r="M27" i="9"/>
  <c r="M234" i="8" s="1"/>
  <c r="L27" i="9"/>
  <c r="L234" i="8" s="1"/>
  <c r="K27" i="9"/>
  <c r="K234" i="8" s="1"/>
  <c r="J27" i="9"/>
  <c r="I27"/>
  <c r="I234" i="8" s="1"/>
  <c r="H27" i="9"/>
  <c r="H234" i="8" s="1"/>
  <c r="G27" i="9"/>
  <c r="G234" i="8" s="1"/>
  <c r="F27" i="9"/>
  <c r="F234" i="8" s="1"/>
  <c r="E27" i="9"/>
  <c r="E234" i="8" s="1"/>
  <c r="D27" i="9"/>
  <c r="D234" i="8" s="1"/>
  <c r="P24" i="9"/>
  <c r="O23"/>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c r="O230" i="8" s="1"/>
  <c r="N11" i="9"/>
  <c r="N230" i="8" s="1"/>
  <c r="M11" i="9"/>
  <c r="M230" i="8" s="1"/>
  <c r="L11" i="9"/>
  <c r="L230" i="8" s="1"/>
  <c r="K11" i="9"/>
  <c r="J11"/>
  <c r="J230" i="8" s="1"/>
  <c r="I11" i="9"/>
  <c r="I230" i="8" s="1"/>
  <c r="H11" i="9"/>
  <c r="H230" i="8" s="1"/>
  <c r="G11" i="9"/>
  <c r="G230" i="8" s="1"/>
  <c r="F11" i="9"/>
  <c r="F230" i="8" s="1"/>
  <c r="E11" i="9"/>
  <c r="E230" i="8" s="1"/>
  <c r="D11" i="9"/>
  <c r="D230" i="8" s="1"/>
  <c r="P8" i="9"/>
  <c r="P10" s="1"/>
  <c r="E111" i="10"/>
  <c r="F31"/>
  <c r="T31" s="1"/>
  <c r="F51"/>
  <c r="G2"/>
  <c r="H52"/>
  <c r="G52"/>
  <c r="P20"/>
  <c r="I20" s="1"/>
  <c r="P19"/>
  <c r="I19" s="1"/>
  <c r="P18"/>
  <c r="I18" s="1"/>
  <c r="P17"/>
  <c r="I17" s="1"/>
  <c r="P16"/>
  <c r="I16" s="1"/>
  <c r="P15"/>
  <c r="I15" s="1"/>
  <c r="P14"/>
  <c r="I14" s="1"/>
  <c r="P13"/>
  <c r="I13" s="1"/>
  <c r="R74" i="7"/>
  <c r="Y74" s="1"/>
  <c r="R75"/>
  <c r="W75" s="1"/>
  <c r="R76"/>
  <c r="R77"/>
  <c r="Q77" s="1"/>
  <c r="R78"/>
  <c r="W78" s="1"/>
  <c r="R79"/>
  <c r="Q79" s="1"/>
  <c r="R80"/>
  <c r="Y80" s="1"/>
  <c r="R81"/>
  <c r="Q81" s="1"/>
  <c r="R82"/>
  <c r="S82" s="1"/>
  <c r="R83"/>
  <c r="Q83" s="1"/>
  <c r="R84"/>
  <c r="Q84" s="1"/>
  <c r="R85"/>
  <c r="Q85" s="1"/>
  <c r="R86"/>
  <c r="Q86" s="1"/>
  <c r="R87"/>
  <c r="Q87" s="1"/>
  <c r="R88"/>
  <c r="Q88" s="1"/>
  <c r="R89"/>
  <c r="Q89" s="1"/>
  <c r="R73"/>
  <c r="U73" s="1"/>
  <c r="R32"/>
  <c r="R33"/>
  <c r="S33" s="1"/>
  <c r="R34"/>
  <c r="U34" s="1"/>
  <c r="R35"/>
  <c r="U35" s="1"/>
  <c r="R36"/>
  <c r="R37"/>
  <c r="Q37" s="1"/>
  <c r="R38"/>
  <c r="Q38" s="1"/>
  <c r="R39"/>
  <c r="R40"/>
  <c r="Q40" s="1"/>
  <c r="R41"/>
  <c r="Q41" s="1"/>
  <c r="R42"/>
  <c r="Q42" s="1"/>
  <c r="R43"/>
  <c r="Q43" s="1"/>
  <c r="R44"/>
  <c r="R45"/>
  <c r="R46"/>
  <c r="S46" s="1"/>
  <c r="R47"/>
  <c r="R48"/>
  <c r="Y48" s="1"/>
  <c r="R49"/>
  <c r="Q49" s="1"/>
  <c r="R50"/>
  <c r="U50" s="1"/>
  <c r="R51"/>
  <c r="U51" s="1"/>
  <c r="R52"/>
  <c r="U52" s="1"/>
  <c r="R53"/>
  <c r="R54"/>
  <c r="Q54" s="1"/>
  <c r="R55"/>
  <c r="Y55" s="1"/>
  <c r="R56"/>
  <c r="W56" s="1"/>
  <c r="R57"/>
  <c r="Q57" s="1"/>
  <c r="R58"/>
  <c r="R59"/>
  <c r="R60"/>
  <c r="U60" s="1"/>
  <c r="Y61"/>
  <c r="Q63"/>
  <c r="Q64"/>
  <c r="R68"/>
  <c r="R31"/>
  <c r="W31" s="1"/>
  <c r="B2"/>
  <c r="U85"/>
  <c r="S81"/>
  <c r="S85"/>
  <c r="S73"/>
  <c r="S88"/>
  <c r="Y63"/>
  <c r="Y50"/>
  <c r="B5" i="8"/>
  <c r="B7"/>
  <c r="B6"/>
  <c r="B10"/>
  <c r="B4"/>
  <c r="B9"/>
  <c r="B3"/>
  <c r="B8"/>
  <c r="B2"/>
  <c r="B2" i="9"/>
  <c r="F58" i="5"/>
  <c r="G58"/>
  <c r="H58"/>
  <c r="I58"/>
  <c r="J58"/>
  <c r="K58"/>
  <c r="L58"/>
  <c r="M58"/>
  <c r="N58"/>
  <c r="O58"/>
  <c r="P58"/>
  <c r="E58"/>
  <c r="C73"/>
  <c r="Q67"/>
  <c r="Q63"/>
  <c r="C69"/>
  <c r="D77"/>
  <c r="I52" i="10"/>
  <c r="E285" i="8" l="1"/>
  <c r="V69" i="7"/>
  <c r="Z69"/>
  <c r="C133" i="8"/>
  <c r="T69" i="7"/>
  <c r="J20" i="10"/>
  <c r="J15"/>
  <c r="J18"/>
  <c r="J14"/>
  <c r="X69" i="7"/>
  <c r="J17" i="10"/>
  <c r="J13"/>
  <c r="J19"/>
  <c r="J16"/>
  <c r="N18" i="8"/>
  <c r="W82" i="7"/>
  <c r="S55"/>
  <c r="Y85"/>
  <c r="U81"/>
  <c r="H291" i="8"/>
  <c r="H290"/>
  <c r="H295" s="1"/>
  <c r="U82" i="7"/>
  <c r="Y81"/>
  <c r="U89"/>
  <c r="W81"/>
  <c r="K291" i="8"/>
  <c r="K296" s="1"/>
  <c r="I291"/>
  <c r="I296" s="1"/>
  <c r="I290"/>
  <c r="S35" i="7"/>
  <c r="H641" i="8" s="1"/>
  <c r="W35" i="7"/>
  <c r="G491" i="8" s="1"/>
  <c r="Y46" i="7"/>
  <c r="E577" i="8" s="1"/>
  <c r="Y38" i="7"/>
  <c r="G569" i="8" s="1"/>
  <c r="D124" i="11"/>
  <c r="D133" s="1"/>
  <c r="E133" s="1"/>
  <c r="F133" s="1"/>
  <c r="G133" s="1"/>
  <c r="H133" s="1"/>
  <c r="I133" s="1"/>
  <c r="J133" s="1"/>
  <c r="K133" s="1"/>
  <c r="L133" s="1"/>
  <c r="M133" s="1"/>
  <c r="N133" s="1"/>
  <c r="G103"/>
  <c r="F103"/>
  <c r="E103"/>
  <c r="M103"/>
  <c r="D103"/>
  <c r="D111" s="1"/>
  <c r="L103"/>
  <c r="H103"/>
  <c r="N103"/>
  <c r="J103"/>
  <c r="K103"/>
  <c r="I103"/>
  <c r="K202" i="8"/>
  <c r="K253" s="1"/>
  <c r="K223"/>
  <c r="K282" s="1"/>
  <c r="K283" s="1"/>
  <c r="K225"/>
  <c r="K292" s="1"/>
  <c r="K222"/>
  <c r="K278" s="1"/>
  <c r="K224"/>
  <c r="K287" s="1"/>
  <c r="K288" s="1"/>
  <c r="L202"/>
  <c r="L223"/>
  <c r="L282" s="1"/>
  <c r="L283" s="1"/>
  <c r="L225"/>
  <c r="L292" s="1"/>
  <c r="L222"/>
  <c r="L278" s="1"/>
  <c r="L224"/>
  <c r="L287" s="1"/>
  <c r="L288" s="1"/>
  <c r="D202"/>
  <c r="D254" s="1"/>
  <c r="D222"/>
  <c r="D224"/>
  <c r="D223"/>
  <c r="D225"/>
  <c r="J291"/>
  <c r="J296" s="1"/>
  <c r="J290"/>
  <c r="J295" s="1"/>
  <c r="H296"/>
  <c r="J202"/>
  <c r="J253" s="1"/>
  <c r="J224"/>
  <c r="J287" s="1"/>
  <c r="J288" s="1"/>
  <c r="J222"/>
  <c r="J278" s="1"/>
  <c r="J279" s="1"/>
  <c r="J223"/>
  <c r="J282" s="1"/>
  <c r="J283" s="1"/>
  <c r="J225"/>
  <c r="J292" s="1"/>
  <c r="M202"/>
  <c r="M253" s="1"/>
  <c r="M223"/>
  <c r="M282" s="1"/>
  <c r="M283" s="1"/>
  <c r="M225"/>
  <c r="M292" s="1"/>
  <c r="M222"/>
  <c r="M278" s="1"/>
  <c r="M224"/>
  <c r="M287" s="1"/>
  <c r="M288" s="1"/>
  <c r="N202"/>
  <c r="N254" s="1"/>
  <c r="N225"/>
  <c r="N292" s="1"/>
  <c r="N224"/>
  <c r="N287" s="1"/>
  <c r="N288" s="1"/>
  <c r="N222"/>
  <c r="N278" s="1"/>
  <c r="N223"/>
  <c r="N282" s="1"/>
  <c r="N283" s="1"/>
  <c r="O202"/>
  <c r="O254" s="1"/>
  <c r="O225"/>
  <c r="O292" s="1"/>
  <c r="O222"/>
  <c r="O278" s="1"/>
  <c r="O224"/>
  <c r="O287" s="1"/>
  <c r="O288" s="1"/>
  <c r="O223"/>
  <c r="O282" s="1"/>
  <c r="O283" s="1"/>
  <c r="G202"/>
  <c r="G254" s="1"/>
  <c r="G225"/>
  <c r="G292" s="1"/>
  <c r="G222"/>
  <c r="G278" s="1"/>
  <c r="G224"/>
  <c r="G287" s="1"/>
  <c r="G223"/>
  <c r="G282" s="1"/>
  <c r="G283" s="1"/>
  <c r="M291"/>
  <c r="M296" s="1"/>
  <c r="E291"/>
  <c r="E296" s="1"/>
  <c r="M290"/>
  <c r="M295" s="1"/>
  <c r="E290"/>
  <c r="F202"/>
  <c r="F254" s="1"/>
  <c r="F225"/>
  <c r="F292" s="1"/>
  <c r="F222"/>
  <c r="F278" s="1"/>
  <c r="F279" s="1"/>
  <c r="F224"/>
  <c r="F287" s="1"/>
  <c r="F223"/>
  <c r="F282" s="1"/>
  <c r="F283" s="1"/>
  <c r="H202"/>
  <c r="H253" s="1"/>
  <c r="H224"/>
  <c r="H287" s="1"/>
  <c r="H288" s="1"/>
  <c r="H225"/>
  <c r="H292" s="1"/>
  <c r="H222"/>
  <c r="H278" s="1"/>
  <c r="H223"/>
  <c r="H282" s="1"/>
  <c r="H283" s="1"/>
  <c r="L291"/>
  <c r="L296" s="1"/>
  <c r="N291"/>
  <c r="N296" s="1"/>
  <c r="F291"/>
  <c r="F296" s="1"/>
  <c r="N290"/>
  <c r="N295" s="1"/>
  <c r="F290"/>
  <c r="E202"/>
  <c r="E254" s="1"/>
  <c r="E223"/>
  <c r="E282" s="1"/>
  <c r="E283" s="1"/>
  <c r="E225"/>
  <c r="E222"/>
  <c r="E278" s="1"/>
  <c r="E279" s="1"/>
  <c r="E224"/>
  <c r="E287" s="1"/>
  <c r="I202"/>
  <c r="I253" s="1"/>
  <c r="I222"/>
  <c r="I278" s="1"/>
  <c r="I224"/>
  <c r="I287" s="1"/>
  <c r="I288" s="1"/>
  <c r="I223"/>
  <c r="I282" s="1"/>
  <c r="I283" s="1"/>
  <c r="I225"/>
  <c r="I292" s="1"/>
  <c r="I293" s="1"/>
  <c r="L290"/>
  <c r="M256"/>
  <c r="O291"/>
  <c r="O296" s="1"/>
  <c r="G291"/>
  <c r="G296" s="1"/>
  <c r="O290"/>
  <c r="O295" s="1"/>
  <c r="F285"/>
  <c r="C67" i="5"/>
  <c r="Q77"/>
  <c r="I295" i="8"/>
  <c r="K290"/>
  <c r="G20" i="11"/>
  <c r="G13"/>
  <c r="G285" i="8"/>
  <c r="G290"/>
  <c r="E261"/>
  <c r="M260"/>
  <c r="I260"/>
  <c r="E260"/>
  <c r="L260"/>
  <c r="H260"/>
  <c r="D260"/>
  <c r="D285"/>
  <c r="O260"/>
  <c r="K260"/>
  <c r="D291"/>
  <c r="D296" s="1"/>
  <c r="D290"/>
  <c r="N261"/>
  <c r="J261"/>
  <c r="F261"/>
  <c r="N260"/>
  <c r="J260"/>
  <c r="F260"/>
  <c r="K256"/>
  <c r="N256"/>
  <c r="J256"/>
  <c r="F256"/>
  <c r="I256"/>
  <c r="E256"/>
  <c r="L256"/>
  <c r="H256"/>
  <c r="D281"/>
  <c r="L252"/>
  <c r="M252"/>
  <c r="I252"/>
  <c r="E252"/>
  <c r="O252"/>
  <c r="K252"/>
  <c r="G252"/>
  <c r="H252"/>
  <c r="N252"/>
  <c r="J252"/>
  <c r="F252"/>
  <c r="F440"/>
  <c r="J440"/>
  <c r="N440"/>
  <c r="H440"/>
  <c r="G440"/>
  <c r="K440"/>
  <c r="O440"/>
  <c r="D440"/>
  <c r="E440"/>
  <c r="I440"/>
  <c r="M440"/>
  <c r="L440"/>
  <c r="S96" i="7"/>
  <c r="Y96"/>
  <c r="U96"/>
  <c r="W96"/>
  <c r="F432" i="8"/>
  <c r="J432"/>
  <c r="N432"/>
  <c r="L432"/>
  <c r="G432"/>
  <c r="K432"/>
  <c r="O432"/>
  <c r="H432"/>
  <c r="E432"/>
  <c r="I432"/>
  <c r="M432"/>
  <c r="D432"/>
  <c r="F661"/>
  <c r="J661"/>
  <c r="N661"/>
  <c r="L661"/>
  <c r="G661"/>
  <c r="K661"/>
  <c r="O661"/>
  <c r="D661"/>
  <c r="E661"/>
  <c r="I661"/>
  <c r="M661"/>
  <c r="H661"/>
  <c r="F586"/>
  <c r="J586"/>
  <c r="N586"/>
  <c r="G586"/>
  <c r="K586"/>
  <c r="O586"/>
  <c r="E586"/>
  <c r="I586"/>
  <c r="M586"/>
  <c r="H586"/>
  <c r="L586"/>
  <c r="D586"/>
  <c r="Y35" i="7"/>
  <c r="J566" i="8" s="1"/>
  <c r="Y82" i="7"/>
  <c r="U48"/>
  <c r="J428" i="8" s="1"/>
  <c r="F652"/>
  <c r="J652"/>
  <c r="N652"/>
  <c r="G652"/>
  <c r="K652"/>
  <c r="O652"/>
  <c r="E652"/>
  <c r="I652"/>
  <c r="M652"/>
  <c r="H652"/>
  <c r="L652"/>
  <c r="D652"/>
  <c r="S98" i="7"/>
  <c r="U98"/>
  <c r="Y98"/>
  <c r="W98"/>
  <c r="F512" i="8"/>
  <c r="J512"/>
  <c r="N512"/>
  <c r="G512"/>
  <c r="K512"/>
  <c r="O512"/>
  <c r="E512"/>
  <c r="I512"/>
  <c r="M512"/>
  <c r="H512"/>
  <c r="L512"/>
  <c r="D512"/>
  <c r="F581"/>
  <c r="J581"/>
  <c r="N581"/>
  <c r="G581"/>
  <c r="K581"/>
  <c r="O581"/>
  <c r="E581"/>
  <c r="I581"/>
  <c r="M581"/>
  <c r="D581"/>
  <c r="H581"/>
  <c r="L581"/>
  <c r="F594"/>
  <c r="J594"/>
  <c r="N594"/>
  <c r="G594"/>
  <c r="K594"/>
  <c r="O594"/>
  <c r="E594"/>
  <c r="I594"/>
  <c r="M594"/>
  <c r="D594"/>
  <c r="H594"/>
  <c r="L594"/>
  <c r="S75" i="7"/>
  <c r="F592" i="8"/>
  <c r="J592"/>
  <c r="N592"/>
  <c r="G592"/>
  <c r="K592"/>
  <c r="O592"/>
  <c r="E592"/>
  <c r="I592"/>
  <c r="M592"/>
  <c r="L592"/>
  <c r="D592"/>
  <c r="H592"/>
  <c r="P11" i="9"/>
  <c r="W97" i="7"/>
  <c r="Y97"/>
  <c r="S97"/>
  <c r="U97"/>
  <c r="L266" i="8"/>
  <c r="F28" i="10"/>
  <c r="J28" s="1"/>
  <c r="T59"/>
  <c r="T57"/>
  <c r="K133" i="8"/>
  <c r="K138"/>
  <c r="D136"/>
  <c r="I136"/>
  <c r="F138"/>
  <c r="N266"/>
  <c r="F266"/>
  <c r="N265"/>
  <c r="F265"/>
  <c r="I205"/>
  <c r="I267" s="1"/>
  <c r="E246"/>
  <c r="I204"/>
  <c r="I262" s="1"/>
  <c r="E245"/>
  <c r="E203"/>
  <c r="E258" s="1"/>
  <c r="M244"/>
  <c r="M245"/>
  <c r="I243"/>
  <c r="I251" s="1"/>
  <c r="K266"/>
  <c r="I244"/>
  <c r="I245"/>
  <c r="I203"/>
  <c r="I257" s="1"/>
  <c r="I246"/>
  <c r="O243"/>
  <c r="O276" s="1"/>
  <c r="H246"/>
  <c r="T87" i="10"/>
  <c r="E266" i="8"/>
  <c r="Y56" i="7"/>
  <c r="Y31"/>
  <c r="N562" i="8" s="1"/>
  <c r="T56" i="10"/>
  <c r="N136" i="8"/>
  <c r="M135"/>
  <c r="H135"/>
  <c r="L138"/>
  <c r="H245"/>
  <c r="L245"/>
  <c r="F27" i="10"/>
  <c r="G135" i="8"/>
  <c r="J266"/>
  <c r="J265"/>
  <c r="H204"/>
  <c r="H262" s="1"/>
  <c r="G260"/>
  <c r="D256"/>
  <c r="R57" i="5"/>
  <c r="L244" i="8"/>
  <c r="L205"/>
  <c r="L267" s="1"/>
  <c r="E144" i="10"/>
  <c r="L243" i="8"/>
  <c r="L251" s="1"/>
  <c r="E244"/>
  <c r="M205"/>
  <c r="M267" s="1"/>
  <c r="L204"/>
  <c r="L262" s="1"/>
  <c r="D203"/>
  <c r="D246"/>
  <c r="G203"/>
  <c r="G258" s="1"/>
  <c r="D243"/>
  <c r="D251" s="1"/>
  <c r="D205"/>
  <c r="H203"/>
  <c r="H257" s="1"/>
  <c r="D244"/>
  <c r="D255" s="1"/>
  <c r="O129" i="11"/>
  <c r="H244" i="8"/>
  <c r="D245"/>
  <c r="D259" s="1"/>
  <c r="E243"/>
  <c r="E251" s="1"/>
  <c r="M243"/>
  <c r="M276" s="1"/>
  <c r="E205"/>
  <c r="D204"/>
  <c r="D262" s="1"/>
  <c r="H243"/>
  <c r="H251" s="1"/>
  <c r="L246"/>
  <c r="M246"/>
  <c r="H205"/>
  <c r="H267" s="1"/>
  <c r="E204"/>
  <c r="E262" s="1"/>
  <c r="S76" i="7"/>
  <c r="D681" i="8" s="1"/>
  <c r="U84" i="7"/>
  <c r="J464" i="8" s="1"/>
  <c r="Y76" i="7"/>
  <c r="I606" i="8" s="1"/>
  <c r="Y84" i="7"/>
  <c r="D614" i="8" s="1"/>
  <c r="Y88" i="7"/>
  <c r="F618" i="8" s="1"/>
  <c r="S89" i="7"/>
  <c r="D694" i="8" s="1"/>
  <c r="U76" i="7"/>
  <c r="M456" i="8" s="1"/>
  <c r="U58" i="7"/>
  <c r="S42"/>
  <c r="S58"/>
  <c r="Y52"/>
  <c r="W37"/>
  <c r="E493" i="8" s="1"/>
  <c r="S38" i="7"/>
  <c r="L644" i="8" s="1"/>
  <c r="U42" i="7"/>
  <c r="F422" i="8" s="1"/>
  <c r="W52" i="7"/>
  <c r="U43"/>
  <c r="K423" i="8" s="1"/>
  <c r="U33" i="7"/>
  <c r="G413" i="8" s="1"/>
  <c r="E133"/>
  <c r="S77"/>
  <c r="U77" s="1"/>
  <c r="P77"/>
  <c r="R77" s="1"/>
  <c r="M77"/>
  <c r="Q14" i="7"/>
  <c r="Q13" s="1"/>
  <c r="J77" i="8"/>
  <c r="K134"/>
  <c r="P169" i="10"/>
  <c r="H148" i="8" s="1"/>
  <c r="N169" i="10"/>
  <c r="F148" i="8" s="1"/>
  <c r="T169" i="10"/>
  <c r="L148" i="8" s="1"/>
  <c r="R169" i="10"/>
  <c r="J148" i="8" s="1"/>
  <c r="K28" i="9"/>
  <c r="C88" i="11"/>
  <c r="F134" i="8"/>
  <c r="L134"/>
  <c r="U91"/>
  <c r="M266"/>
  <c r="I266"/>
  <c r="E265"/>
  <c r="J244"/>
  <c r="F245"/>
  <c r="F244"/>
  <c r="M204"/>
  <c r="M262" s="1"/>
  <c r="M261"/>
  <c r="H261"/>
  <c r="D261"/>
  <c r="O261"/>
  <c r="K261"/>
  <c r="K271" s="1"/>
  <c r="G261"/>
  <c r="M203"/>
  <c r="L203"/>
  <c r="O266"/>
  <c r="G266"/>
  <c r="G265"/>
  <c r="W45" i="7"/>
  <c r="G501" i="8" s="1"/>
  <c r="Y33" i="7"/>
  <c r="E564" i="8" s="1"/>
  <c r="S32" i="7"/>
  <c r="N638" i="8" s="1"/>
  <c r="S60" i="7"/>
  <c r="U53"/>
  <c r="U78"/>
  <c r="H458" i="8" s="1"/>
  <c r="M133"/>
  <c r="I27" i="7"/>
  <c r="W49"/>
  <c r="F505" i="8" s="1"/>
  <c r="S74" i="7"/>
  <c r="E679" i="8" s="1"/>
  <c r="S56" i="7"/>
  <c r="Y79"/>
  <c r="G609" i="8" s="1"/>
  <c r="S40" i="7"/>
  <c r="L646" i="8" s="1"/>
  <c r="U79" i="7"/>
  <c r="H459" i="8" s="1"/>
  <c r="F133"/>
  <c r="G133"/>
  <c r="F27" i="7"/>
  <c r="J27"/>
  <c r="J69" s="1"/>
  <c r="N27"/>
  <c r="N69" s="1"/>
  <c r="S68"/>
  <c r="F674" i="8" s="1"/>
  <c r="Y37" i="7"/>
  <c r="O568" i="8" s="1"/>
  <c r="Y64" i="7"/>
  <c r="U37"/>
  <c r="H417" i="8" s="1"/>
  <c r="H133"/>
  <c r="E27" i="7"/>
  <c r="W85"/>
  <c r="E540" i="8" s="1"/>
  <c r="J137"/>
  <c r="E137"/>
  <c r="C137"/>
  <c r="E13" i="10"/>
  <c r="T41"/>
  <c r="T37"/>
  <c r="T39"/>
  <c r="T40"/>
  <c r="T32"/>
  <c r="T33"/>
  <c r="T38"/>
  <c r="T34"/>
  <c r="T35"/>
  <c r="T36"/>
  <c r="F30"/>
  <c r="T30" s="1"/>
  <c r="U55" i="7"/>
  <c r="U39"/>
  <c r="G419" i="8" s="1"/>
  <c r="Y58" i="7"/>
  <c r="S50"/>
  <c r="Y51"/>
  <c r="S47"/>
  <c r="W73"/>
  <c r="G528" i="8" s="1"/>
  <c r="Y89" i="7"/>
  <c r="I619" i="8" s="1"/>
  <c r="Y78" i="7"/>
  <c r="D608" i="8" s="1"/>
  <c r="W79" i="7"/>
  <c r="F534" i="8" s="1"/>
  <c r="U54" i="7"/>
  <c r="U45"/>
  <c r="O425" i="8" s="1"/>
  <c r="U38" i="7"/>
  <c r="E418" i="8" s="1"/>
  <c r="U88" i="7"/>
  <c r="I468" i="8" s="1"/>
  <c r="W46" i="7"/>
  <c r="E502" i="8" s="1"/>
  <c r="W44" i="7"/>
  <c r="H500" i="8" s="1"/>
  <c r="W55" i="7"/>
  <c r="G134" i="8"/>
  <c r="C136"/>
  <c r="K137"/>
  <c r="G138"/>
  <c r="N135"/>
  <c r="J136"/>
  <c r="F137"/>
  <c r="M134"/>
  <c r="I135"/>
  <c r="E136"/>
  <c r="M138"/>
  <c r="H134"/>
  <c r="D135"/>
  <c r="L137"/>
  <c r="H138"/>
  <c r="F246"/>
  <c r="J245"/>
  <c r="N245"/>
  <c r="N244"/>
  <c r="F205"/>
  <c r="F204"/>
  <c r="J203"/>
  <c r="F203"/>
  <c r="C135"/>
  <c r="K136"/>
  <c r="G137"/>
  <c r="N134"/>
  <c r="J135"/>
  <c r="F136"/>
  <c r="N138"/>
  <c r="I134"/>
  <c r="E135"/>
  <c r="M137"/>
  <c r="I138"/>
  <c r="D134"/>
  <c r="L136"/>
  <c r="H137"/>
  <c r="D138"/>
  <c r="F243"/>
  <c r="F251" s="1"/>
  <c r="J243"/>
  <c r="J251" s="1"/>
  <c r="N246"/>
  <c r="J205"/>
  <c r="J204"/>
  <c r="J262" s="1"/>
  <c r="N203"/>
  <c r="C134"/>
  <c r="K135"/>
  <c r="G136"/>
  <c r="C138"/>
  <c r="J134"/>
  <c r="F135"/>
  <c r="N137"/>
  <c r="J138"/>
  <c r="E134"/>
  <c r="M136"/>
  <c r="I137"/>
  <c r="E138"/>
  <c r="L135"/>
  <c r="H136"/>
  <c r="D137"/>
  <c r="J246"/>
  <c r="N243"/>
  <c r="N276" s="1"/>
  <c r="N205"/>
  <c r="N267" s="1"/>
  <c r="N204"/>
  <c r="O203"/>
  <c r="K203"/>
  <c r="N351"/>
  <c r="D553"/>
  <c r="L353"/>
  <c r="F29" i="10"/>
  <c r="I112"/>
  <c r="I141"/>
  <c r="I169"/>
  <c r="D99" i="8"/>
  <c r="H99" s="1"/>
  <c r="I83" i="10"/>
  <c r="Y42" i="7"/>
  <c r="D573" i="8" s="1"/>
  <c r="S43" i="7"/>
  <c r="S78"/>
  <c r="O683" i="8" s="1"/>
  <c r="S79" i="7"/>
  <c r="K684" i="8" s="1"/>
  <c r="W87" i="7"/>
  <c r="D542" i="8" s="1"/>
  <c r="Y41" i="7"/>
  <c r="I572" i="8" s="1"/>
  <c r="Y32" i="7"/>
  <c r="M563" i="8" s="1"/>
  <c r="S48" i="7"/>
  <c r="U46"/>
  <c r="E426" i="8" s="1"/>
  <c r="U41" i="7"/>
  <c r="L421" i="8" s="1"/>
  <c r="U87" i="7"/>
  <c r="F467" i="8" s="1"/>
  <c r="W50" i="7"/>
  <c r="J133" i="8"/>
  <c r="L133"/>
  <c r="S53" i="7"/>
  <c r="W36"/>
  <c r="E492" i="8" s="1"/>
  <c r="W38" i="7"/>
  <c r="E494" i="8" s="1"/>
  <c r="W64" i="7"/>
  <c r="S31"/>
  <c r="S34"/>
  <c r="J640" i="8" s="1"/>
  <c r="S54" i="7"/>
  <c r="Y39"/>
  <c r="G570" i="8" s="1"/>
  <c r="S51" i="7"/>
  <c r="W33"/>
  <c r="M489" i="8" s="1"/>
  <c r="W53" i="7"/>
  <c r="W74"/>
  <c r="N529" i="8" s="1"/>
  <c r="S86" i="7"/>
  <c r="F691" i="8" s="1"/>
  <c r="S87" i="7"/>
  <c r="E692" i="8" s="1"/>
  <c r="Y60" i="7"/>
  <c r="Y53"/>
  <c r="S36"/>
  <c r="D642" i="8" s="1"/>
  <c r="Y40" i="7"/>
  <c r="D571" i="8" s="1"/>
  <c r="Y36" i="7"/>
  <c r="M567" i="8" s="1"/>
  <c r="U63" i="7"/>
  <c r="U32"/>
  <c r="G412" i="8" s="1"/>
  <c r="U80" i="7"/>
  <c r="E460" i="8" s="1"/>
  <c r="U74" i="7"/>
  <c r="H454" i="8" s="1"/>
  <c r="W34" i="7"/>
  <c r="E490" i="8" s="1"/>
  <c r="W58" i="7"/>
  <c r="W40"/>
  <c r="I496" i="8" s="1"/>
  <c r="Y87" i="7"/>
  <c r="N133" i="8"/>
  <c r="I133"/>
  <c r="D133"/>
  <c r="K27" i="7"/>
  <c r="K69" s="1"/>
  <c r="O27"/>
  <c r="O69" s="1"/>
  <c r="M27"/>
  <c r="M69" s="1"/>
  <c r="G27"/>
  <c r="C45" i="11"/>
  <c r="C44" s="1"/>
  <c r="W63" i="7"/>
  <c r="W60"/>
  <c r="W51"/>
  <c r="W48"/>
  <c r="E504" i="8" s="1"/>
  <c r="W42" i="7"/>
  <c r="O498" i="8" s="1"/>
  <c r="W89" i="7"/>
  <c r="D544" i="8" s="1"/>
  <c r="W76" i="7"/>
  <c r="D531" i="8" s="1"/>
  <c r="Q10" i="7"/>
  <c r="Q9" s="1"/>
  <c r="Q22"/>
  <c r="Q21" s="1"/>
  <c r="L27"/>
  <c r="L69" s="1"/>
  <c r="P240" i="8"/>
  <c r="L265"/>
  <c r="G244"/>
  <c r="I261"/>
  <c r="P89" i="5"/>
  <c r="C66" i="11"/>
  <c r="D66" s="1"/>
  <c r="I28" i="9"/>
  <c r="K230" i="8"/>
  <c r="H266"/>
  <c r="D266"/>
  <c r="H265"/>
  <c r="D265"/>
  <c r="P232"/>
  <c r="K265"/>
  <c r="P238"/>
  <c r="P53" s="1"/>
  <c r="P239"/>
  <c r="O28" i="9"/>
  <c r="P43"/>
  <c r="D53" i="8" s="1"/>
  <c r="P68" i="9"/>
  <c r="D54" i="8" s="1"/>
  <c r="G245"/>
  <c r="G259" s="1"/>
  <c r="K244"/>
  <c r="P15" i="9"/>
  <c r="P14" s="1"/>
  <c r="L28"/>
  <c r="G28"/>
  <c r="N28"/>
  <c r="O205" i="8"/>
  <c r="O267" s="1"/>
  <c r="K205"/>
  <c r="G205"/>
  <c r="O204"/>
  <c r="K204"/>
  <c r="G204"/>
  <c r="P191"/>
  <c r="G256"/>
  <c r="O256"/>
  <c r="G246"/>
  <c r="G264" s="1"/>
  <c r="K246"/>
  <c r="K245"/>
  <c r="O244"/>
  <c r="P19" i="9"/>
  <c r="P18" s="1"/>
  <c r="P27"/>
  <c r="P26" s="1"/>
  <c r="D28"/>
  <c r="P231" i="8"/>
  <c r="M52" s="1"/>
  <c r="G243"/>
  <c r="G276" s="1"/>
  <c r="K243"/>
  <c r="O246"/>
  <c r="O245"/>
  <c r="F28" i="9"/>
  <c r="P33"/>
  <c r="O127" i="11"/>
  <c r="N89" i="5"/>
  <c r="R47"/>
  <c r="O89"/>
  <c r="K89"/>
  <c r="K351" i="8"/>
  <c r="G351"/>
  <c r="J89" i="5"/>
  <c r="E89"/>
  <c r="E91" s="1"/>
  <c r="R58"/>
  <c r="R42"/>
  <c r="R52"/>
  <c r="S52"/>
  <c r="J169" i="10"/>
  <c r="M169" s="1"/>
  <c r="E148" i="8" s="1"/>
  <c r="P21" i="10"/>
  <c r="I21"/>
  <c r="Q96" i="7"/>
  <c r="R99"/>
  <c r="Q98" s="1"/>
  <c r="Y73"/>
  <c r="I603" i="8" s="1"/>
  <c r="U31" i="7"/>
  <c r="G411" i="8" s="1"/>
  <c r="G89" i="5"/>
  <c r="Q18" i="7"/>
  <c r="Q17" s="1"/>
  <c r="P76" i="9"/>
  <c r="L261" i="8"/>
  <c r="O128" i="11"/>
  <c r="P193" i="8"/>
  <c r="O265"/>
  <c r="I265"/>
  <c r="I70" i="9"/>
  <c r="P23"/>
  <c r="J28"/>
  <c r="M89" i="5"/>
  <c r="M265" i="8"/>
  <c r="M28" i="9"/>
  <c r="M70" s="1"/>
  <c r="F89" i="5"/>
  <c r="L89"/>
  <c r="H89"/>
  <c r="I89"/>
  <c r="S54"/>
  <c r="O353" i="8"/>
  <c r="K353"/>
  <c r="G353"/>
  <c r="S47" i="5"/>
  <c r="Q58"/>
  <c r="N16" i="8" s="1"/>
  <c r="C81" i="11"/>
  <c r="S42" i="5"/>
  <c r="E487" i="8"/>
  <c r="I487"/>
  <c r="M487"/>
  <c r="G487"/>
  <c r="K487"/>
  <c r="O487"/>
  <c r="D487"/>
  <c r="H487"/>
  <c r="L487"/>
  <c r="F487"/>
  <c r="J487"/>
  <c r="N487"/>
  <c r="J70" i="9"/>
  <c r="F610" i="8"/>
  <c r="J610"/>
  <c r="N610"/>
  <c r="G610"/>
  <c r="K610"/>
  <c r="O610"/>
  <c r="D610"/>
  <c r="H610"/>
  <c r="L610"/>
  <c r="E610"/>
  <c r="I610"/>
  <c r="M610"/>
  <c r="P233"/>
  <c r="E414"/>
  <c r="I414"/>
  <c r="M414"/>
  <c r="F414"/>
  <c r="K414"/>
  <c r="G414"/>
  <c r="L414"/>
  <c r="H414"/>
  <c r="N414"/>
  <c r="D414"/>
  <c r="J414"/>
  <c r="O414"/>
  <c r="Y34" i="7"/>
  <c r="S63"/>
  <c r="Y43"/>
  <c r="Y59"/>
  <c r="S39"/>
  <c r="S84"/>
  <c r="W41"/>
  <c r="W57"/>
  <c r="W86"/>
  <c r="F687" i="8"/>
  <c r="J687"/>
  <c r="N687"/>
  <c r="G687"/>
  <c r="K687"/>
  <c r="O687"/>
  <c r="D687"/>
  <c r="H687"/>
  <c r="L687"/>
  <c r="E687"/>
  <c r="I687"/>
  <c r="M687"/>
  <c r="S83" i="7"/>
  <c r="D619" i="8"/>
  <c r="M619"/>
  <c r="N619"/>
  <c r="E615"/>
  <c r="I615"/>
  <c r="M615"/>
  <c r="F615"/>
  <c r="J615"/>
  <c r="N615"/>
  <c r="G615"/>
  <c r="K615"/>
  <c r="O615"/>
  <c r="D615"/>
  <c r="H615"/>
  <c r="L615"/>
  <c r="Y77" i="7"/>
  <c r="S64"/>
  <c r="W80"/>
  <c r="Y49"/>
  <c r="E533" i="8"/>
  <c r="I533"/>
  <c r="M533"/>
  <c r="F533"/>
  <c r="J533"/>
  <c r="N533"/>
  <c r="G533"/>
  <c r="K533"/>
  <c r="O533"/>
  <c r="D533"/>
  <c r="H533"/>
  <c r="L533"/>
  <c r="Y45" i="7"/>
  <c r="W83"/>
  <c r="S52"/>
  <c r="S44"/>
  <c r="Y44"/>
  <c r="U68"/>
  <c r="U64"/>
  <c r="U56"/>
  <c r="D428" i="8"/>
  <c r="H428"/>
  <c r="I428"/>
  <c r="G428"/>
  <c r="U44" i="7"/>
  <c r="U40"/>
  <c r="U36"/>
  <c r="U86"/>
  <c r="D462" i="8"/>
  <c r="H462"/>
  <c r="L462"/>
  <c r="E462"/>
  <c r="I462"/>
  <c r="F462"/>
  <c r="J462"/>
  <c r="N462"/>
  <c r="G462"/>
  <c r="K462"/>
  <c r="O462"/>
  <c r="M462"/>
  <c r="N458"/>
  <c r="M454"/>
  <c r="N454"/>
  <c r="O491"/>
  <c r="I491"/>
  <c r="D69"/>
  <c r="H69" s="1"/>
  <c r="D63"/>
  <c r="Q55" i="7"/>
  <c r="D65" i="8"/>
  <c r="Q50" i="7"/>
  <c r="S45"/>
  <c r="W43"/>
  <c r="S41"/>
  <c r="W39"/>
  <c r="S37"/>
  <c r="D60" i="8"/>
  <c r="W32" i="7"/>
  <c r="W88"/>
  <c r="Y86"/>
  <c r="W84"/>
  <c r="D73" i="8"/>
  <c r="Q78" i="7"/>
  <c r="J234" i="8"/>
  <c r="J141" i="10"/>
  <c r="T116"/>
  <c r="Y54" i="7"/>
  <c r="Y47"/>
  <c r="S59"/>
  <c r="E693" i="8"/>
  <c r="I693"/>
  <c r="M693"/>
  <c r="F693"/>
  <c r="J693"/>
  <c r="N693"/>
  <c r="G693"/>
  <c r="K693"/>
  <c r="O693"/>
  <c r="D693"/>
  <c r="H693"/>
  <c r="L693"/>
  <c r="K501"/>
  <c r="J618"/>
  <c r="N618"/>
  <c r="K618"/>
  <c r="E691"/>
  <c r="I691"/>
  <c r="M691"/>
  <c r="J691"/>
  <c r="N691"/>
  <c r="G691"/>
  <c r="O691"/>
  <c r="D691"/>
  <c r="H691"/>
  <c r="N528"/>
  <c r="H603"/>
  <c r="G603"/>
  <c r="H694"/>
  <c r="L694"/>
  <c r="E694"/>
  <c r="M694"/>
  <c r="F694"/>
  <c r="J694"/>
  <c r="G694"/>
  <c r="K694"/>
  <c r="O694"/>
  <c r="F686"/>
  <c r="J686"/>
  <c r="N686"/>
  <c r="G686"/>
  <c r="K686"/>
  <c r="O686"/>
  <c r="D686"/>
  <c r="H686"/>
  <c r="L686"/>
  <c r="E686"/>
  <c r="I686"/>
  <c r="M686"/>
  <c r="Y57" i="7"/>
  <c r="E537" i="8"/>
  <c r="I537"/>
  <c r="M537"/>
  <c r="F537"/>
  <c r="J537"/>
  <c r="N537"/>
  <c r="G537"/>
  <c r="K537"/>
  <c r="O537"/>
  <c r="D537"/>
  <c r="H537"/>
  <c r="L537"/>
  <c r="Y83" i="7"/>
  <c r="H571" i="8"/>
  <c r="Y68" i="7"/>
  <c r="U59"/>
  <c r="G431" i="8"/>
  <c r="K431"/>
  <c r="O431"/>
  <c r="H431"/>
  <c r="M431"/>
  <c r="D431"/>
  <c r="I431"/>
  <c r="N431"/>
  <c r="E431"/>
  <c r="J431"/>
  <c r="F431"/>
  <c r="L431"/>
  <c r="U47" i="7"/>
  <c r="O423" i="8"/>
  <c r="D423"/>
  <c r="H419"/>
  <c r="D415"/>
  <c r="H415"/>
  <c r="L415"/>
  <c r="E415"/>
  <c r="I415"/>
  <c r="M415"/>
  <c r="F415"/>
  <c r="J415"/>
  <c r="N415"/>
  <c r="G415"/>
  <c r="K415"/>
  <c r="O415"/>
  <c r="E469"/>
  <c r="I469"/>
  <c r="M469"/>
  <c r="G469"/>
  <c r="L469"/>
  <c r="H469"/>
  <c r="N469"/>
  <c r="D469"/>
  <c r="J469"/>
  <c r="O469"/>
  <c r="F469"/>
  <c r="K469"/>
  <c r="E465"/>
  <c r="I465"/>
  <c r="M465"/>
  <c r="F465"/>
  <c r="J465"/>
  <c r="N465"/>
  <c r="H465"/>
  <c r="K465"/>
  <c r="D465"/>
  <c r="L465"/>
  <c r="G465"/>
  <c r="O465"/>
  <c r="D461"/>
  <c r="H461"/>
  <c r="L461"/>
  <c r="E461"/>
  <c r="I461"/>
  <c r="M461"/>
  <c r="F461"/>
  <c r="J461"/>
  <c r="N461"/>
  <c r="G461"/>
  <c r="K461"/>
  <c r="O461"/>
  <c r="U77" i="7"/>
  <c r="W68"/>
  <c r="W59"/>
  <c r="S57"/>
  <c r="W54"/>
  <c r="D66" i="8"/>
  <c r="S49" i="7"/>
  <c r="W47"/>
  <c r="D67" i="8"/>
  <c r="D72"/>
  <c r="H72" s="1"/>
  <c r="Q73" i="7"/>
  <c r="W77"/>
  <c r="Y75"/>
  <c r="C27"/>
  <c r="H27"/>
  <c r="P27"/>
  <c r="P69" s="1"/>
  <c r="Q26"/>
  <c r="D644" i="8"/>
  <c r="E644"/>
  <c r="J644"/>
  <c r="N644"/>
  <c r="G566"/>
  <c r="H566"/>
  <c r="E566"/>
  <c r="M566"/>
  <c r="N566"/>
  <c r="E598"/>
  <c r="I598"/>
  <c r="M598"/>
  <c r="F598"/>
  <c r="J598"/>
  <c r="N598"/>
  <c r="G598"/>
  <c r="K598"/>
  <c r="O598"/>
  <c r="D598"/>
  <c r="H598"/>
  <c r="L598"/>
  <c r="J505"/>
  <c r="N614"/>
  <c r="H614"/>
  <c r="I614"/>
  <c r="D680"/>
  <c r="H680"/>
  <c r="L680"/>
  <c r="E680"/>
  <c r="I680"/>
  <c r="M680"/>
  <c r="F680"/>
  <c r="J680"/>
  <c r="N680"/>
  <c r="G680"/>
  <c r="K680"/>
  <c r="O680"/>
  <c r="D678"/>
  <c r="H678"/>
  <c r="L678"/>
  <c r="E678"/>
  <c r="I678"/>
  <c r="M678"/>
  <c r="F678"/>
  <c r="J678"/>
  <c r="N678"/>
  <c r="G678"/>
  <c r="K678"/>
  <c r="O678"/>
  <c r="E690"/>
  <c r="I690"/>
  <c r="M690"/>
  <c r="F690"/>
  <c r="J690"/>
  <c r="N690"/>
  <c r="G690"/>
  <c r="K690"/>
  <c r="O690"/>
  <c r="D690"/>
  <c r="H690"/>
  <c r="L690"/>
  <c r="F611"/>
  <c r="J611"/>
  <c r="N611"/>
  <c r="G611"/>
  <c r="K611"/>
  <c r="O611"/>
  <c r="D611"/>
  <c r="H611"/>
  <c r="L611"/>
  <c r="E611"/>
  <c r="I611"/>
  <c r="M611"/>
  <c r="F530"/>
  <c r="J530"/>
  <c r="N530"/>
  <c r="G530"/>
  <c r="K530"/>
  <c r="O530"/>
  <c r="D530"/>
  <c r="H530"/>
  <c r="L530"/>
  <c r="E530"/>
  <c r="I530"/>
  <c r="M530"/>
  <c r="F612"/>
  <c r="J612"/>
  <c r="N612"/>
  <c r="G612"/>
  <c r="K612"/>
  <c r="O612"/>
  <c r="D612"/>
  <c r="H612"/>
  <c r="L612"/>
  <c r="E612"/>
  <c r="I612"/>
  <c r="M612"/>
  <c r="E534"/>
  <c r="I534"/>
  <c r="M534"/>
  <c r="J534"/>
  <c r="N534"/>
  <c r="G534"/>
  <c r="O534"/>
  <c r="D534"/>
  <c r="H534"/>
  <c r="D579"/>
  <c r="H579"/>
  <c r="L579"/>
  <c r="E579"/>
  <c r="I579"/>
  <c r="M579"/>
  <c r="J579"/>
  <c r="K579"/>
  <c r="F579"/>
  <c r="N579"/>
  <c r="G579"/>
  <c r="O579"/>
  <c r="M646"/>
  <c r="G430"/>
  <c r="K430"/>
  <c r="O430"/>
  <c r="D430"/>
  <c r="I430"/>
  <c r="N430"/>
  <c r="E430"/>
  <c r="J430"/>
  <c r="F430"/>
  <c r="L430"/>
  <c r="H430"/>
  <c r="M430"/>
  <c r="I426"/>
  <c r="F426"/>
  <c r="N426"/>
  <c r="K426"/>
  <c r="D426"/>
  <c r="L426"/>
  <c r="M418"/>
  <c r="K413"/>
  <c r="D413"/>
  <c r="E468"/>
  <c r="M468"/>
  <c r="H468"/>
  <c r="N468"/>
  <c r="J468"/>
  <c r="O468"/>
  <c r="F468"/>
  <c r="G468"/>
  <c r="L468"/>
  <c r="E464"/>
  <c r="N464"/>
  <c r="D464"/>
  <c r="G464"/>
  <c r="F453"/>
  <c r="J453"/>
  <c r="N453"/>
  <c r="E453"/>
  <c r="K453"/>
  <c r="G453"/>
  <c r="L453"/>
  <c r="H453"/>
  <c r="M453"/>
  <c r="D453"/>
  <c r="I453"/>
  <c r="O453"/>
  <c r="Q61" i="7"/>
  <c r="L500" i="8"/>
  <c r="F500"/>
  <c r="J500"/>
  <c r="N500"/>
  <c r="K500"/>
  <c r="I500"/>
  <c r="E498"/>
  <c r="G498"/>
  <c r="D498"/>
  <c r="H498"/>
  <c r="M496"/>
  <c r="H496"/>
  <c r="N494"/>
  <c r="I494"/>
  <c r="K494"/>
  <c r="G639"/>
  <c r="K639"/>
  <c r="O639"/>
  <c r="F639"/>
  <c r="L639"/>
  <c r="H639"/>
  <c r="M639"/>
  <c r="D639"/>
  <c r="I639"/>
  <c r="N639"/>
  <c r="E639"/>
  <c r="J639"/>
  <c r="H544"/>
  <c r="I544"/>
  <c r="E617"/>
  <c r="I617"/>
  <c r="M617"/>
  <c r="F617"/>
  <c r="J617"/>
  <c r="N617"/>
  <c r="G617"/>
  <c r="K617"/>
  <c r="O617"/>
  <c r="D617"/>
  <c r="H617"/>
  <c r="L617"/>
  <c r="I540"/>
  <c r="D74"/>
  <c r="H74" s="1"/>
  <c r="H28" i="9"/>
  <c r="E28"/>
  <c r="D89" i="11"/>
  <c r="D577" i="8"/>
  <c r="H577"/>
  <c r="L577"/>
  <c r="I577"/>
  <c r="M577"/>
  <c r="J577"/>
  <c r="K577"/>
  <c r="F577"/>
  <c r="N577"/>
  <c r="G577"/>
  <c r="E570"/>
  <c r="S80" i="7"/>
  <c r="G683" i="8"/>
  <c r="K683"/>
  <c r="D683"/>
  <c r="H683"/>
  <c r="L683"/>
  <c r="I683"/>
  <c r="M683"/>
  <c r="F683"/>
  <c r="N683"/>
  <c r="S61" i="7"/>
  <c r="O684" i="8"/>
  <c r="S77" i="7"/>
  <c r="G542" i="8"/>
  <c r="H542"/>
  <c r="L542"/>
  <c r="I542"/>
  <c r="M542"/>
  <c r="N572"/>
  <c r="O572"/>
  <c r="D572"/>
  <c r="G608"/>
  <c r="L608"/>
  <c r="I608"/>
  <c r="M608"/>
  <c r="F609"/>
  <c r="J609"/>
  <c r="N609"/>
  <c r="K609"/>
  <c r="O609"/>
  <c r="D609"/>
  <c r="L609"/>
  <c r="E609"/>
  <c r="I609"/>
  <c r="K642"/>
  <c r="G567"/>
  <c r="U61" i="7"/>
  <c r="U57"/>
  <c r="U49"/>
  <c r="K421" i="8"/>
  <c r="E421"/>
  <c r="L417"/>
  <c r="M417"/>
  <c r="K417"/>
  <c r="J467"/>
  <c r="N467"/>
  <c r="E467"/>
  <c r="G467"/>
  <c r="L467"/>
  <c r="H467"/>
  <c r="D467"/>
  <c r="I467"/>
  <c r="O467"/>
  <c r="U83" i="7"/>
  <c r="G459" i="8"/>
  <c r="U75" i="7"/>
  <c r="W61"/>
  <c r="F502" i="8"/>
  <c r="D502"/>
  <c r="E536"/>
  <c r="I536"/>
  <c r="M536"/>
  <c r="F536"/>
  <c r="J536"/>
  <c r="N536"/>
  <c r="G536"/>
  <c r="K536"/>
  <c r="O536"/>
  <c r="D536"/>
  <c r="H536"/>
  <c r="L536"/>
  <c r="D64"/>
  <c r="H64" s="1"/>
  <c r="D61"/>
  <c r="D62"/>
  <c r="D75"/>
  <c r="Q82" i="7"/>
  <c r="D604" i="8"/>
  <c r="H604"/>
  <c r="L604"/>
  <c r="E604"/>
  <c r="I604"/>
  <c r="M604"/>
  <c r="F604"/>
  <c r="J604"/>
  <c r="N604"/>
  <c r="G604"/>
  <c r="K604"/>
  <c r="O604"/>
  <c r="E46" i="11"/>
  <c r="E67"/>
  <c r="F67" s="1"/>
  <c r="D95" i="8"/>
  <c r="S95" s="1"/>
  <c r="U95" s="1"/>
  <c r="D98"/>
  <c r="H98" s="1"/>
  <c r="D96"/>
  <c r="H96" s="1"/>
  <c r="S55" i="5"/>
  <c r="D97" i="8"/>
  <c r="P198"/>
  <c r="P197"/>
  <c r="P190"/>
  <c r="E351"/>
  <c r="I353"/>
  <c r="L253"/>
  <c r="L254"/>
  <c r="D253"/>
  <c r="P189"/>
  <c r="O350"/>
  <c r="N350"/>
  <c r="M350"/>
  <c r="L350"/>
  <c r="K350"/>
  <c r="J350"/>
  <c r="I350"/>
  <c r="H350"/>
  <c r="G350"/>
  <c r="F350"/>
  <c r="E350"/>
  <c r="D350"/>
  <c r="O352"/>
  <c r="N352"/>
  <c r="M352"/>
  <c r="L352"/>
  <c r="K352"/>
  <c r="J352"/>
  <c r="I352"/>
  <c r="H352"/>
  <c r="G352"/>
  <c r="F352"/>
  <c r="E352"/>
  <c r="D352"/>
  <c r="P199"/>
  <c r="P192"/>
  <c r="H293" l="1"/>
  <c r="E288"/>
  <c r="E295"/>
  <c r="N19"/>
  <c r="P352"/>
  <c r="J27" i="10"/>
  <c r="T27" s="1"/>
  <c r="P350" i="8"/>
  <c r="K297"/>
  <c r="G642"/>
  <c r="E641"/>
  <c r="F644"/>
  <c r="L641"/>
  <c r="G641"/>
  <c r="G644"/>
  <c r="I418"/>
  <c r="E428"/>
  <c r="D425"/>
  <c r="F419"/>
  <c r="K428"/>
  <c r="N428"/>
  <c r="K491"/>
  <c r="M491"/>
  <c r="I492"/>
  <c r="F498"/>
  <c r="L491"/>
  <c r="F493"/>
  <c r="M493"/>
  <c r="N498"/>
  <c r="D491"/>
  <c r="H569"/>
  <c r="K566"/>
  <c r="L573"/>
  <c r="N569"/>
  <c r="K569"/>
  <c r="O577"/>
  <c r="D566"/>
  <c r="D606"/>
  <c r="F456"/>
  <c r="N531"/>
  <c r="I531"/>
  <c r="I642"/>
  <c r="M641"/>
  <c r="I641"/>
  <c r="G646"/>
  <c r="I569"/>
  <c r="O569"/>
  <c r="O642"/>
  <c r="N641"/>
  <c r="H646"/>
  <c r="O419"/>
  <c r="J569"/>
  <c r="D569"/>
  <c r="H491"/>
  <c r="E491"/>
  <c r="O428"/>
  <c r="L428"/>
  <c r="I563"/>
  <c r="E569"/>
  <c r="F491"/>
  <c r="M428"/>
  <c r="J641"/>
  <c r="L569"/>
  <c r="J491"/>
  <c r="F428"/>
  <c r="O641"/>
  <c r="F641"/>
  <c r="D641"/>
  <c r="H422"/>
  <c r="K563"/>
  <c r="M569"/>
  <c r="H642"/>
  <c r="K641"/>
  <c r="K418"/>
  <c r="N571"/>
  <c r="F569"/>
  <c r="N491"/>
  <c r="G253"/>
  <c r="L293"/>
  <c r="E111" i="11"/>
  <c r="F111" s="1"/>
  <c r="G111" s="1"/>
  <c r="H111" s="1"/>
  <c r="I111" s="1"/>
  <c r="J111" s="1"/>
  <c r="K111" s="1"/>
  <c r="L111" s="1"/>
  <c r="M111" s="1"/>
  <c r="N111" s="1"/>
  <c r="R57" i="10"/>
  <c r="I254" i="8"/>
  <c r="N253"/>
  <c r="I271"/>
  <c r="M271"/>
  <c r="F566"/>
  <c r="O566"/>
  <c r="L566"/>
  <c r="I566"/>
  <c r="E573"/>
  <c r="J573"/>
  <c r="N573"/>
  <c r="I573"/>
  <c r="G573"/>
  <c r="K567"/>
  <c r="F573"/>
  <c r="D567"/>
  <c r="F567"/>
  <c r="I562"/>
  <c r="N567"/>
  <c r="K573"/>
  <c r="J567"/>
  <c r="O573"/>
  <c r="M573"/>
  <c r="H567"/>
  <c r="H573"/>
  <c r="M494"/>
  <c r="F494"/>
  <c r="G494"/>
  <c r="J494"/>
  <c r="H494"/>
  <c r="L494"/>
  <c r="O494"/>
  <c r="D494"/>
  <c r="O502"/>
  <c r="E500"/>
  <c r="F288"/>
  <c r="F253"/>
  <c r="M254"/>
  <c r="P57" i="10"/>
  <c r="E253" i="8"/>
  <c r="E267"/>
  <c r="I297"/>
  <c r="I298" s="1"/>
  <c r="H254"/>
  <c r="I272"/>
  <c r="N297"/>
  <c r="N298" s="1"/>
  <c r="O253"/>
  <c r="G288"/>
  <c r="F293"/>
  <c r="M297"/>
  <c r="M298" s="1"/>
  <c r="L271"/>
  <c r="J289"/>
  <c r="N270"/>
  <c r="L279"/>
  <c r="L297"/>
  <c r="M279"/>
  <c r="G297"/>
  <c r="K254"/>
  <c r="N279"/>
  <c r="K279"/>
  <c r="M293"/>
  <c r="D278"/>
  <c r="D279" s="1"/>
  <c r="P222"/>
  <c r="L54" s="1"/>
  <c r="L55" s="1"/>
  <c r="L295"/>
  <c r="I279"/>
  <c r="F297"/>
  <c r="J297"/>
  <c r="J298" s="1"/>
  <c r="G279"/>
  <c r="H279"/>
  <c r="H297"/>
  <c r="H298" s="1"/>
  <c r="D287"/>
  <c r="D288" s="1"/>
  <c r="P224"/>
  <c r="O293"/>
  <c r="O271"/>
  <c r="O297"/>
  <c r="O298" s="1"/>
  <c r="E292"/>
  <c r="E297" s="1"/>
  <c r="E298" s="1"/>
  <c r="N293"/>
  <c r="O279"/>
  <c r="D282"/>
  <c r="D283" s="1"/>
  <c r="P223"/>
  <c r="O54" s="1"/>
  <c r="O55" s="1"/>
  <c r="P225"/>
  <c r="P202"/>
  <c r="K54" s="1"/>
  <c r="E270"/>
  <c r="J254"/>
  <c r="J293"/>
  <c r="F295"/>
  <c r="K562"/>
  <c r="L564"/>
  <c r="O563"/>
  <c r="F563"/>
  <c r="D562"/>
  <c r="E562"/>
  <c r="K564"/>
  <c r="L563"/>
  <c r="N563"/>
  <c r="E563"/>
  <c r="O562"/>
  <c r="F564"/>
  <c r="D563"/>
  <c r="J563"/>
  <c r="H272"/>
  <c r="K294"/>
  <c r="D267"/>
  <c r="K295"/>
  <c r="K293"/>
  <c r="C51" i="11"/>
  <c r="K264" i="8"/>
  <c r="K289"/>
  <c r="N255"/>
  <c r="N280"/>
  <c r="G271"/>
  <c r="H271"/>
  <c r="F259"/>
  <c r="F284"/>
  <c r="M264"/>
  <c r="M289"/>
  <c r="H255"/>
  <c r="H280"/>
  <c r="E255"/>
  <c r="E280"/>
  <c r="L255"/>
  <c r="L280"/>
  <c r="H264"/>
  <c r="H289"/>
  <c r="E259"/>
  <c r="E284"/>
  <c r="J271"/>
  <c r="M294"/>
  <c r="N294"/>
  <c r="G294"/>
  <c r="N259"/>
  <c r="N284"/>
  <c r="J255"/>
  <c r="J280"/>
  <c r="L264"/>
  <c r="L289"/>
  <c r="L259"/>
  <c r="L284"/>
  <c r="I259"/>
  <c r="I284"/>
  <c r="M259"/>
  <c r="M284"/>
  <c r="N271"/>
  <c r="E271"/>
  <c r="G289"/>
  <c r="H294"/>
  <c r="O259"/>
  <c r="O284"/>
  <c r="O255"/>
  <c r="O280"/>
  <c r="G255"/>
  <c r="G280"/>
  <c r="N264"/>
  <c r="N289"/>
  <c r="J259"/>
  <c r="J284"/>
  <c r="H259"/>
  <c r="H284"/>
  <c r="I255"/>
  <c r="I280"/>
  <c r="M255"/>
  <c r="M280"/>
  <c r="E264"/>
  <c r="E289"/>
  <c r="E294"/>
  <c r="F294"/>
  <c r="O294"/>
  <c r="O264"/>
  <c r="O289"/>
  <c r="K259"/>
  <c r="K284"/>
  <c r="K255"/>
  <c r="K280"/>
  <c r="F264"/>
  <c r="F289"/>
  <c r="D271"/>
  <c r="F255"/>
  <c r="F280"/>
  <c r="D264"/>
  <c r="D292"/>
  <c r="I264"/>
  <c r="I289"/>
  <c r="D295"/>
  <c r="F271"/>
  <c r="I294"/>
  <c r="J294"/>
  <c r="G284"/>
  <c r="L294"/>
  <c r="N59" i="10"/>
  <c r="G293" i="8"/>
  <c r="G295"/>
  <c r="O77"/>
  <c r="N77"/>
  <c r="I270"/>
  <c r="F270"/>
  <c r="L77"/>
  <c r="K77"/>
  <c r="H53"/>
  <c r="N52"/>
  <c r="H54"/>
  <c r="M270"/>
  <c r="K270"/>
  <c r="L270"/>
  <c r="H270"/>
  <c r="J270"/>
  <c r="D294"/>
  <c r="D289"/>
  <c r="F436"/>
  <c r="J436"/>
  <c r="N436"/>
  <c r="H436"/>
  <c r="G436"/>
  <c r="K436"/>
  <c r="O436"/>
  <c r="L436"/>
  <c r="E436"/>
  <c r="I436"/>
  <c r="M436"/>
  <c r="D436"/>
  <c r="F654"/>
  <c r="J654"/>
  <c r="N654"/>
  <c r="G654"/>
  <c r="K654"/>
  <c r="O654"/>
  <c r="E654"/>
  <c r="I654"/>
  <c r="M654"/>
  <c r="H654"/>
  <c r="D654"/>
  <c r="L654"/>
  <c r="F508"/>
  <c r="J508"/>
  <c r="N508"/>
  <c r="G508"/>
  <c r="K508"/>
  <c r="O508"/>
  <c r="E508"/>
  <c r="I508"/>
  <c r="M508"/>
  <c r="H508"/>
  <c r="L508"/>
  <c r="D508"/>
  <c r="F583"/>
  <c r="J583"/>
  <c r="N583"/>
  <c r="G583"/>
  <c r="K583"/>
  <c r="O583"/>
  <c r="E583"/>
  <c r="I583"/>
  <c r="M583"/>
  <c r="L583"/>
  <c r="H583"/>
  <c r="D583"/>
  <c r="L531"/>
  <c r="L502"/>
  <c r="F459"/>
  <c r="G564"/>
  <c r="F655"/>
  <c r="J655"/>
  <c r="N655"/>
  <c r="G655"/>
  <c r="K655"/>
  <c r="O655"/>
  <c r="E655"/>
  <c r="I655"/>
  <c r="M655"/>
  <c r="D655"/>
  <c r="H655"/>
  <c r="L655"/>
  <c r="E571"/>
  <c r="J571"/>
  <c r="N603"/>
  <c r="F665"/>
  <c r="J665"/>
  <c r="N665"/>
  <c r="L665"/>
  <c r="G665"/>
  <c r="K665"/>
  <c r="O665"/>
  <c r="H665"/>
  <c r="E665"/>
  <c r="I665"/>
  <c r="M665"/>
  <c r="D665"/>
  <c r="I458"/>
  <c r="F444"/>
  <c r="J444"/>
  <c r="N444"/>
  <c r="L444"/>
  <c r="G444"/>
  <c r="K444"/>
  <c r="O444"/>
  <c r="D444"/>
  <c r="E444"/>
  <c r="I444"/>
  <c r="M444"/>
  <c r="H444"/>
  <c r="F658"/>
  <c r="J658"/>
  <c r="G658"/>
  <c r="K658"/>
  <c r="E658"/>
  <c r="I658"/>
  <c r="M658"/>
  <c r="N658"/>
  <c r="H658"/>
  <c r="D658"/>
  <c r="O658"/>
  <c r="L658"/>
  <c r="F513"/>
  <c r="J513"/>
  <c r="N513"/>
  <c r="G513"/>
  <c r="K513"/>
  <c r="O513"/>
  <c r="E513"/>
  <c r="I513"/>
  <c r="M513"/>
  <c r="L513"/>
  <c r="H513"/>
  <c r="D513"/>
  <c r="F590"/>
  <c r="J590"/>
  <c r="N590"/>
  <c r="G590"/>
  <c r="K590"/>
  <c r="O590"/>
  <c r="E590"/>
  <c r="I590"/>
  <c r="M590"/>
  <c r="D590"/>
  <c r="H590"/>
  <c r="L590"/>
  <c r="F516"/>
  <c r="J516"/>
  <c r="N516"/>
  <c r="G516"/>
  <c r="K516"/>
  <c r="O516"/>
  <c r="E516"/>
  <c r="I516"/>
  <c r="M516"/>
  <c r="H516"/>
  <c r="L516"/>
  <c r="D516"/>
  <c r="F514"/>
  <c r="J514"/>
  <c r="N514"/>
  <c r="G514"/>
  <c r="K514"/>
  <c r="O514"/>
  <c r="E514"/>
  <c r="I514"/>
  <c r="M514"/>
  <c r="D514"/>
  <c r="L514"/>
  <c r="H514"/>
  <c r="F657"/>
  <c r="J657"/>
  <c r="N657"/>
  <c r="G657"/>
  <c r="K657"/>
  <c r="O657"/>
  <c r="E657"/>
  <c r="I657"/>
  <c r="M657"/>
  <c r="L657"/>
  <c r="H657"/>
  <c r="D657"/>
  <c r="F659"/>
  <c r="J659"/>
  <c r="N659"/>
  <c r="L659"/>
  <c r="G659"/>
  <c r="K659"/>
  <c r="O659"/>
  <c r="D659"/>
  <c r="E659"/>
  <c r="I659"/>
  <c r="M659"/>
  <c r="H659"/>
  <c r="F653"/>
  <c r="J653"/>
  <c r="N653"/>
  <c r="G653"/>
  <c r="K653"/>
  <c r="O653"/>
  <c r="E653"/>
  <c r="I653"/>
  <c r="M653"/>
  <c r="L653"/>
  <c r="H653"/>
  <c r="D653"/>
  <c r="E752"/>
  <c r="F433"/>
  <c r="J433"/>
  <c r="N433"/>
  <c r="H433"/>
  <c r="G433"/>
  <c r="K433"/>
  <c r="O433"/>
  <c r="L433"/>
  <c r="E433"/>
  <c r="I433"/>
  <c r="M433"/>
  <c r="D433"/>
  <c r="F664"/>
  <c r="J664"/>
  <c r="N664"/>
  <c r="L664"/>
  <c r="G664"/>
  <c r="K664"/>
  <c r="O664"/>
  <c r="H664"/>
  <c r="E664"/>
  <c r="I664"/>
  <c r="M664"/>
  <c r="D664"/>
  <c r="O752"/>
  <c r="F507"/>
  <c r="J507"/>
  <c r="N507"/>
  <c r="G507"/>
  <c r="K507"/>
  <c r="O507"/>
  <c r="E507"/>
  <c r="I507"/>
  <c r="M507"/>
  <c r="D507"/>
  <c r="H507"/>
  <c r="L507"/>
  <c r="F434"/>
  <c r="J434"/>
  <c r="N434"/>
  <c r="H434"/>
  <c r="G434"/>
  <c r="K434"/>
  <c r="O434"/>
  <c r="L434"/>
  <c r="E434"/>
  <c r="I434"/>
  <c r="M434"/>
  <c r="D434"/>
  <c r="F589"/>
  <c r="J589"/>
  <c r="N589"/>
  <c r="G589"/>
  <c r="K589"/>
  <c r="O589"/>
  <c r="E589"/>
  <c r="I589"/>
  <c r="M589"/>
  <c r="D589"/>
  <c r="L589"/>
  <c r="H589"/>
  <c r="F595"/>
  <c r="J595"/>
  <c r="N595"/>
  <c r="G595"/>
  <c r="K595"/>
  <c r="O595"/>
  <c r="E595"/>
  <c r="I595"/>
  <c r="M595"/>
  <c r="H595"/>
  <c r="L595"/>
  <c r="D595"/>
  <c r="K502"/>
  <c r="G606"/>
  <c r="O496"/>
  <c r="O456"/>
  <c r="H564"/>
  <c r="G752"/>
  <c r="F515"/>
  <c r="J515"/>
  <c r="N515"/>
  <c r="G515"/>
  <c r="K515"/>
  <c r="O515"/>
  <c r="E515"/>
  <c r="I515"/>
  <c r="M515"/>
  <c r="D515"/>
  <c r="H515"/>
  <c r="L515"/>
  <c r="I528"/>
  <c r="N502"/>
  <c r="G502"/>
  <c r="L459"/>
  <c r="J496"/>
  <c r="N564"/>
  <c r="F524"/>
  <c r="J524"/>
  <c r="N524"/>
  <c r="G524"/>
  <c r="K524"/>
  <c r="O524"/>
  <c r="E524"/>
  <c r="I524"/>
  <c r="M524"/>
  <c r="H524"/>
  <c r="L524"/>
  <c r="D524"/>
  <c r="L571"/>
  <c r="F603"/>
  <c r="D692"/>
  <c r="D528"/>
  <c r="F651"/>
  <c r="J651"/>
  <c r="N651"/>
  <c r="G651"/>
  <c r="K651"/>
  <c r="O651"/>
  <c r="E651"/>
  <c r="I651"/>
  <c r="M651"/>
  <c r="D651"/>
  <c r="H651"/>
  <c r="L651"/>
  <c r="G458"/>
  <c r="F448"/>
  <c r="J448"/>
  <c r="N448"/>
  <c r="L448"/>
  <c r="G448"/>
  <c r="K448"/>
  <c r="O448"/>
  <c r="D448"/>
  <c r="E448"/>
  <c r="I448"/>
  <c r="M448"/>
  <c r="H448"/>
  <c r="F670"/>
  <c r="J670"/>
  <c r="N670"/>
  <c r="D670"/>
  <c r="G670"/>
  <c r="K670"/>
  <c r="O670"/>
  <c r="H670"/>
  <c r="E670"/>
  <c r="I670"/>
  <c r="M670"/>
  <c r="L670"/>
  <c r="F519"/>
  <c r="J519"/>
  <c r="N519"/>
  <c r="G519"/>
  <c r="K519"/>
  <c r="O519"/>
  <c r="E519"/>
  <c r="I519"/>
  <c r="M519"/>
  <c r="D519"/>
  <c r="H519"/>
  <c r="L519"/>
  <c r="F511"/>
  <c r="J511"/>
  <c r="N511"/>
  <c r="G511"/>
  <c r="K511"/>
  <c r="O511"/>
  <c r="E511"/>
  <c r="I511"/>
  <c r="M511"/>
  <c r="D511"/>
  <c r="H511"/>
  <c r="L511"/>
  <c r="F435"/>
  <c r="J435"/>
  <c r="N435"/>
  <c r="H435"/>
  <c r="G435"/>
  <c r="K435"/>
  <c r="O435"/>
  <c r="L435"/>
  <c r="E435"/>
  <c r="I435"/>
  <c r="M435"/>
  <c r="D435"/>
  <c r="F666"/>
  <c r="J666"/>
  <c r="N666"/>
  <c r="L666"/>
  <c r="G666"/>
  <c r="K666"/>
  <c r="O666"/>
  <c r="H666"/>
  <c r="E666"/>
  <c r="I666"/>
  <c r="M666"/>
  <c r="D666"/>
  <c r="F648"/>
  <c r="J648"/>
  <c r="N648"/>
  <c r="G648"/>
  <c r="K648"/>
  <c r="O648"/>
  <c r="E648"/>
  <c r="I648"/>
  <c r="M648"/>
  <c r="H648"/>
  <c r="L648"/>
  <c r="D648"/>
  <c r="J112" i="10"/>
  <c r="F437" i="8"/>
  <c r="J437"/>
  <c r="N437"/>
  <c r="H437"/>
  <c r="G437"/>
  <c r="K437"/>
  <c r="O437"/>
  <c r="L437"/>
  <c r="E437"/>
  <c r="I437"/>
  <c r="M437"/>
  <c r="D437"/>
  <c r="F647"/>
  <c r="J647"/>
  <c r="N647"/>
  <c r="G647"/>
  <c r="K647"/>
  <c r="O647"/>
  <c r="E647"/>
  <c r="I647"/>
  <c r="M647"/>
  <c r="D647"/>
  <c r="H647"/>
  <c r="L647"/>
  <c r="F587"/>
  <c r="J587"/>
  <c r="N587"/>
  <c r="G587"/>
  <c r="K587"/>
  <c r="O587"/>
  <c r="E587"/>
  <c r="I587"/>
  <c r="M587"/>
  <c r="L587"/>
  <c r="H587"/>
  <c r="D587"/>
  <c r="F531"/>
  <c r="M502"/>
  <c r="O459"/>
  <c r="F441"/>
  <c r="J441"/>
  <c r="N441"/>
  <c r="H441"/>
  <c r="G441"/>
  <c r="K441"/>
  <c r="O441"/>
  <c r="D441"/>
  <c r="E441"/>
  <c r="I441"/>
  <c r="M441"/>
  <c r="L441"/>
  <c r="F667"/>
  <c r="J667"/>
  <c r="N667"/>
  <c r="L667"/>
  <c r="G667"/>
  <c r="K667"/>
  <c r="O667"/>
  <c r="H667"/>
  <c r="E667"/>
  <c r="I667"/>
  <c r="M667"/>
  <c r="D667"/>
  <c r="N492"/>
  <c r="D460"/>
  <c r="M564"/>
  <c r="D603"/>
  <c r="H531"/>
  <c r="I502"/>
  <c r="J459"/>
  <c r="N606"/>
  <c r="K496"/>
  <c r="H456"/>
  <c r="I460"/>
  <c r="I564"/>
  <c r="D564"/>
  <c r="F439"/>
  <c r="J439"/>
  <c r="N439"/>
  <c r="H439"/>
  <c r="G439"/>
  <c r="K439"/>
  <c r="O439"/>
  <c r="D439"/>
  <c r="E439"/>
  <c r="I439"/>
  <c r="M439"/>
  <c r="L439"/>
  <c r="K458"/>
  <c r="F443"/>
  <c r="J443"/>
  <c r="N443"/>
  <c r="H443"/>
  <c r="G443"/>
  <c r="K443"/>
  <c r="O443"/>
  <c r="D443"/>
  <c r="E443"/>
  <c r="I443"/>
  <c r="M443"/>
  <c r="L443"/>
  <c r="F584"/>
  <c r="J584"/>
  <c r="N584"/>
  <c r="G584"/>
  <c r="K584"/>
  <c r="O584"/>
  <c r="E584"/>
  <c r="I584"/>
  <c r="M584"/>
  <c r="D584"/>
  <c r="L584"/>
  <c r="H584"/>
  <c r="F520"/>
  <c r="J520"/>
  <c r="N520"/>
  <c r="G520"/>
  <c r="K520"/>
  <c r="O520"/>
  <c r="E520"/>
  <c r="I520"/>
  <c r="M520"/>
  <c r="H520"/>
  <c r="L520"/>
  <c r="D520"/>
  <c r="F649"/>
  <c r="J649"/>
  <c r="N649"/>
  <c r="G649"/>
  <c r="K649"/>
  <c r="O649"/>
  <c r="E649"/>
  <c r="I649"/>
  <c r="M649"/>
  <c r="L649"/>
  <c r="H649"/>
  <c r="D649"/>
  <c r="F582"/>
  <c r="J582"/>
  <c r="N582"/>
  <c r="G582"/>
  <c r="K582"/>
  <c r="O582"/>
  <c r="E582"/>
  <c r="I582"/>
  <c r="M582"/>
  <c r="H582"/>
  <c r="L582"/>
  <c r="D582"/>
  <c r="M531"/>
  <c r="G531"/>
  <c r="H502"/>
  <c r="J502"/>
  <c r="F517"/>
  <c r="J517"/>
  <c r="N517"/>
  <c r="G517"/>
  <c r="K517"/>
  <c r="O517"/>
  <c r="E517"/>
  <c r="I517"/>
  <c r="M517"/>
  <c r="L517"/>
  <c r="H517"/>
  <c r="D517"/>
  <c r="M459"/>
  <c r="M467"/>
  <c r="K467"/>
  <c r="F421"/>
  <c r="E642"/>
  <c r="M609"/>
  <c r="H609"/>
  <c r="H568"/>
  <c r="H608"/>
  <c r="G572"/>
  <c r="J683"/>
  <c r="E683"/>
  <c r="M606"/>
  <c r="J540"/>
  <c r="G492"/>
  <c r="F496"/>
  <c r="G496"/>
  <c r="L498"/>
  <c r="I498"/>
  <c r="L456"/>
  <c r="O464"/>
  <c r="I464"/>
  <c r="K468"/>
  <c r="D468"/>
  <c r="F418"/>
  <c r="G418"/>
  <c r="I646"/>
  <c r="L534"/>
  <c r="K534"/>
  <c r="O564"/>
  <c r="J564"/>
  <c r="H681"/>
  <c r="O644"/>
  <c r="F510"/>
  <c r="J510"/>
  <c r="N510"/>
  <c r="G510"/>
  <c r="K510"/>
  <c r="O510"/>
  <c r="E510"/>
  <c r="I510"/>
  <c r="M510"/>
  <c r="D510"/>
  <c r="L510"/>
  <c r="H510"/>
  <c r="K571"/>
  <c r="H563"/>
  <c r="G563"/>
  <c r="F588"/>
  <c r="G588"/>
  <c r="E588"/>
  <c r="J588"/>
  <c r="N588"/>
  <c r="D588"/>
  <c r="K588"/>
  <c r="O588"/>
  <c r="I588"/>
  <c r="M588"/>
  <c r="L588"/>
  <c r="H588"/>
  <c r="N694"/>
  <c r="I694"/>
  <c r="M603"/>
  <c r="I692"/>
  <c r="L691"/>
  <c r="K691"/>
  <c r="O618"/>
  <c r="E618"/>
  <c r="F585"/>
  <c r="J585"/>
  <c r="N585"/>
  <c r="G585"/>
  <c r="K585"/>
  <c r="O585"/>
  <c r="E585"/>
  <c r="I585"/>
  <c r="M585"/>
  <c r="D585"/>
  <c r="H585"/>
  <c r="L585"/>
  <c r="F458"/>
  <c r="L458"/>
  <c r="F669"/>
  <c r="J669"/>
  <c r="N669"/>
  <c r="G669"/>
  <c r="K669"/>
  <c r="O669"/>
  <c r="H669"/>
  <c r="E669"/>
  <c r="I669"/>
  <c r="M669"/>
  <c r="D669"/>
  <c r="L669"/>
  <c r="F591"/>
  <c r="J591"/>
  <c r="N591"/>
  <c r="G591"/>
  <c r="K591"/>
  <c r="O591"/>
  <c r="E591"/>
  <c r="I591"/>
  <c r="M591"/>
  <c r="H591"/>
  <c r="L591"/>
  <c r="D591"/>
  <c r="F509"/>
  <c r="J509"/>
  <c r="N509"/>
  <c r="G509"/>
  <c r="K509"/>
  <c r="O509"/>
  <c r="E509"/>
  <c r="I509"/>
  <c r="M509"/>
  <c r="L509"/>
  <c r="H509"/>
  <c r="D509"/>
  <c r="F660"/>
  <c r="J660"/>
  <c r="N660"/>
  <c r="L660"/>
  <c r="G660"/>
  <c r="K660"/>
  <c r="O660"/>
  <c r="D660"/>
  <c r="E660"/>
  <c r="I660"/>
  <c r="M660"/>
  <c r="H660"/>
  <c r="F656"/>
  <c r="J656"/>
  <c r="N656"/>
  <c r="G656"/>
  <c r="K656"/>
  <c r="O656"/>
  <c r="E656"/>
  <c r="I656"/>
  <c r="M656"/>
  <c r="H656"/>
  <c r="L656"/>
  <c r="D656"/>
  <c r="M752"/>
  <c r="F662"/>
  <c r="J662"/>
  <c r="N662"/>
  <c r="L662"/>
  <c r="G662"/>
  <c r="K662"/>
  <c r="O662"/>
  <c r="H662"/>
  <c r="E662"/>
  <c r="I662"/>
  <c r="M662"/>
  <c r="D662"/>
  <c r="F438"/>
  <c r="J438"/>
  <c r="N438"/>
  <c r="H438"/>
  <c r="G438"/>
  <c r="K438"/>
  <c r="O438"/>
  <c r="E438"/>
  <c r="I438"/>
  <c r="M438"/>
  <c r="D438"/>
  <c r="L438"/>
  <c r="F663"/>
  <c r="J663"/>
  <c r="N663"/>
  <c r="L663"/>
  <c r="G663"/>
  <c r="K663"/>
  <c r="O663"/>
  <c r="H663"/>
  <c r="E663"/>
  <c r="I663"/>
  <c r="M663"/>
  <c r="D663"/>
  <c r="F650"/>
  <c r="J650"/>
  <c r="N650"/>
  <c r="G650"/>
  <c r="K650"/>
  <c r="O650"/>
  <c r="E650"/>
  <c r="I650"/>
  <c r="M650"/>
  <c r="H650"/>
  <c r="D650"/>
  <c r="L650"/>
  <c r="F580"/>
  <c r="J580"/>
  <c r="N580"/>
  <c r="G580"/>
  <c r="K580"/>
  <c r="O580"/>
  <c r="E580"/>
  <c r="I580"/>
  <c r="M580"/>
  <c r="D580"/>
  <c r="L580"/>
  <c r="H580"/>
  <c r="F506"/>
  <c r="J506"/>
  <c r="N506"/>
  <c r="G506"/>
  <c r="K506"/>
  <c r="O506"/>
  <c r="D506"/>
  <c r="E506"/>
  <c r="I506"/>
  <c r="M506"/>
  <c r="L506"/>
  <c r="H506"/>
  <c r="D284"/>
  <c r="J276"/>
  <c r="D280"/>
  <c r="L276"/>
  <c r="H276"/>
  <c r="I276"/>
  <c r="D276"/>
  <c r="E276"/>
  <c r="F276"/>
  <c r="K276"/>
  <c r="J264"/>
  <c r="H269"/>
  <c r="L269"/>
  <c r="N269"/>
  <c r="O269"/>
  <c r="I269"/>
  <c r="F269"/>
  <c r="G269"/>
  <c r="M269"/>
  <c r="M251"/>
  <c r="E269"/>
  <c r="O251"/>
  <c r="J269"/>
  <c r="P230"/>
  <c r="J52" s="1"/>
  <c r="K269"/>
  <c r="K251"/>
  <c r="G251"/>
  <c r="N251"/>
  <c r="D269"/>
  <c r="N57" i="10"/>
  <c r="P59"/>
  <c r="R59"/>
  <c r="D77" i="8"/>
  <c r="N70" i="9"/>
  <c r="D270" i="8"/>
  <c r="E257"/>
  <c r="D258"/>
  <c r="I263"/>
  <c r="G257"/>
  <c r="H258"/>
  <c r="E268"/>
  <c r="I268"/>
  <c r="D257"/>
  <c r="D268"/>
  <c r="I258"/>
  <c r="G703"/>
  <c r="E263"/>
  <c r="F606"/>
  <c r="K606"/>
  <c r="J606"/>
  <c r="O606"/>
  <c r="L606"/>
  <c r="H606"/>
  <c r="E606"/>
  <c r="K456"/>
  <c r="G456"/>
  <c r="E456"/>
  <c r="D456"/>
  <c r="I456"/>
  <c r="N456"/>
  <c r="J456"/>
  <c r="L568"/>
  <c r="J568"/>
  <c r="N568"/>
  <c r="D568"/>
  <c r="J572"/>
  <c r="G562"/>
  <c r="M562"/>
  <c r="E568"/>
  <c r="G568"/>
  <c r="L572"/>
  <c r="L562"/>
  <c r="F562"/>
  <c r="M571"/>
  <c r="I568"/>
  <c r="M568"/>
  <c r="K568"/>
  <c r="J562"/>
  <c r="H562"/>
  <c r="E572"/>
  <c r="F568"/>
  <c r="M572"/>
  <c r="F572"/>
  <c r="F571"/>
  <c r="J493"/>
  <c r="H493"/>
  <c r="I493"/>
  <c r="G493"/>
  <c r="K493"/>
  <c r="N493"/>
  <c r="O493"/>
  <c r="D493"/>
  <c r="L493"/>
  <c r="O417"/>
  <c r="E417"/>
  <c r="I421"/>
  <c r="E422"/>
  <c r="I417"/>
  <c r="M421"/>
  <c r="G421"/>
  <c r="M422"/>
  <c r="O421"/>
  <c r="J417"/>
  <c r="N421"/>
  <c r="D421"/>
  <c r="J422"/>
  <c r="N419"/>
  <c r="F417"/>
  <c r="H421"/>
  <c r="G422"/>
  <c r="J421"/>
  <c r="N417"/>
  <c r="D417"/>
  <c r="G417"/>
  <c r="O422"/>
  <c r="D646"/>
  <c r="N646"/>
  <c r="K646"/>
  <c r="E646"/>
  <c r="O646"/>
  <c r="N674"/>
  <c r="J646"/>
  <c r="F646"/>
  <c r="K674"/>
  <c r="L263"/>
  <c r="J83" i="10"/>
  <c r="C145" i="8" s="1"/>
  <c r="K553"/>
  <c r="D263"/>
  <c r="H263"/>
  <c r="D88" i="11"/>
  <c r="E88" s="1"/>
  <c r="F88" s="1"/>
  <c r="G88" s="1"/>
  <c r="G86" s="1"/>
  <c r="P56" i="10"/>
  <c r="N56"/>
  <c r="R56"/>
  <c r="R87"/>
  <c r="P87"/>
  <c r="N87"/>
  <c r="P88"/>
  <c r="N88"/>
  <c r="R88"/>
  <c r="T88"/>
  <c r="T112" s="1"/>
  <c r="L146" i="8" s="1"/>
  <c r="T58" i="10"/>
  <c r="T83" s="1"/>
  <c r="L145" i="8" s="1"/>
  <c r="P58" i="10"/>
  <c r="N58"/>
  <c r="R58"/>
  <c r="P116"/>
  <c r="P141" s="1"/>
  <c r="H147" i="8" s="1"/>
  <c r="N116" i="10"/>
  <c r="N141" s="1"/>
  <c r="F147" i="8" s="1"/>
  <c r="R116" i="10"/>
  <c r="R141" s="1"/>
  <c r="J147" i="8" s="1"/>
  <c r="H425"/>
  <c r="J413"/>
  <c r="I422"/>
  <c r="L422"/>
  <c r="D422"/>
  <c r="K422"/>
  <c r="N422"/>
  <c r="H426"/>
  <c r="O426"/>
  <c r="G426"/>
  <c r="J426"/>
  <c r="M426"/>
  <c r="J419"/>
  <c r="E419"/>
  <c r="D419"/>
  <c r="K419"/>
  <c r="F642"/>
  <c r="J642"/>
  <c r="N642"/>
  <c r="M642"/>
  <c r="L642"/>
  <c r="G674"/>
  <c r="J674"/>
  <c r="T29" i="10"/>
  <c r="N29"/>
  <c r="P29"/>
  <c r="R29"/>
  <c r="P203" i="8"/>
  <c r="N54" s="1"/>
  <c r="M268"/>
  <c r="L268"/>
  <c r="H268"/>
  <c r="M263"/>
  <c r="D684"/>
  <c r="M540"/>
  <c r="L544"/>
  <c r="H460"/>
  <c r="M460"/>
  <c r="L614"/>
  <c r="F614"/>
  <c r="L681"/>
  <c r="H692"/>
  <c r="M692"/>
  <c r="F619"/>
  <c r="E531"/>
  <c r="J531"/>
  <c r="K459"/>
  <c r="E608"/>
  <c r="E542"/>
  <c r="H684"/>
  <c r="F540"/>
  <c r="E544"/>
  <c r="L460"/>
  <c r="F460"/>
  <c r="L464"/>
  <c r="E614"/>
  <c r="J614"/>
  <c r="E681"/>
  <c r="J603"/>
  <c r="L692"/>
  <c r="F692"/>
  <c r="G618"/>
  <c r="E454"/>
  <c r="M458"/>
  <c r="J619"/>
  <c r="L684"/>
  <c r="J460"/>
  <c r="I681"/>
  <c r="N540"/>
  <c r="M544"/>
  <c r="N460"/>
  <c r="G614"/>
  <c r="K531"/>
  <c r="I459"/>
  <c r="F608"/>
  <c r="K608"/>
  <c r="F542"/>
  <c r="K542"/>
  <c r="I684"/>
  <c r="N684"/>
  <c r="G540"/>
  <c r="H540"/>
  <c r="F544"/>
  <c r="K544"/>
  <c r="G460"/>
  <c r="H464"/>
  <c r="M464"/>
  <c r="L679"/>
  <c r="K614"/>
  <c r="F681"/>
  <c r="K681"/>
  <c r="K603"/>
  <c r="L603"/>
  <c r="G692"/>
  <c r="D618"/>
  <c r="I618"/>
  <c r="F454"/>
  <c r="E458"/>
  <c r="K619"/>
  <c r="L619"/>
  <c r="J684"/>
  <c r="D540"/>
  <c r="G544"/>
  <c r="G681"/>
  <c r="G619"/>
  <c r="N459"/>
  <c r="J608"/>
  <c r="O608"/>
  <c r="O542"/>
  <c r="M684"/>
  <c r="G684"/>
  <c r="K540"/>
  <c r="L540"/>
  <c r="J544"/>
  <c r="O544"/>
  <c r="K460"/>
  <c r="K464"/>
  <c r="F464"/>
  <c r="F679"/>
  <c r="O614"/>
  <c r="J681"/>
  <c r="O681"/>
  <c r="O603"/>
  <c r="E603"/>
  <c r="K692"/>
  <c r="H618"/>
  <c r="M618"/>
  <c r="K454"/>
  <c r="J458"/>
  <c r="D458"/>
  <c r="O619"/>
  <c r="E619"/>
  <c r="F684"/>
  <c r="J692"/>
  <c r="E684"/>
  <c r="M614"/>
  <c r="M681"/>
  <c r="N692"/>
  <c r="H619"/>
  <c r="O531"/>
  <c r="D459"/>
  <c r="J542"/>
  <c r="E459"/>
  <c r="N608"/>
  <c r="N542"/>
  <c r="O540"/>
  <c r="N544"/>
  <c r="O460"/>
  <c r="K679"/>
  <c r="N681"/>
  <c r="O692"/>
  <c r="L618"/>
  <c r="G454"/>
  <c r="O458"/>
  <c r="E638"/>
  <c r="O674"/>
  <c r="E674"/>
  <c r="D674"/>
  <c r="I674"/>
  <c r="H674"/>
  <c r="M674"/>
  <c r="L674"/>
  <c r="G505"/>
  <c r="D501"/>
  <c r="F425"/>
  <c r="J418"/>
  <c r="L505"/>
  <c r="O505"/>
  <c r="L423"/>
  <c r="F423"/>
  <c r="I501"/>
  <c r="L501"/>
  <c r="O504"/>
  <c r="I425"/>
  <c r="N425"/>
  <c r="K572"/>
  <c r="D496"/>
  <c r="J498"/>
  <c r="M498"/>
  <c r="G500"/>
  <c r="N418"/>
  <c r="D418"/>
  <c r="D505"/>
  <c r="E505"/>
  <c r="K644"/>
  <c r="L419"/>
  <c r="E423"/>
  <c r="J423"/>
  <c r="I571"/>
  <c r="G571"/>
  <c r="M501"/>
  <c r="F501"/>
  <c r="L425"/>
  <c r="E501"/>
  <c r="J425"/>
  <c r="F504"/>
  <c r="G425"/>
  <c r="N505"/>
  <c r="K505"/>
  <c r="E425"/>
  <c r="O418"/>
  <c r="I423"/>
  <c r="J501"/>
  <c r="H504"/>
  <c r="K425"/>
  <c r="H572"/>
  <c r="N570"/>
  <c r="L496"/>
  <c r="E496"/>
  <c r="K498"/>
  <c r="O500"/>
  <c r="D500"/>
  <c r="L418"/>
  <c r="M505"/>
  <c r="M644"/>
  <c r="H644"/>
  <c r="I419"/>
  <c r="M423"/>
  <c r="G423"/>
  <c r="O571"/>
  <c r="N501"/>
  <c r="O501"/>
  <c r="H505"/>
  <c r="H423"/>
  <c r="H501"/>
  <c r="M425"/>
  <c r="H418"/>
  <c r="I505"/>
  <c r="N423"/>
  <c r="H570"/>
  <c r="N496"/>
  <c r="M500"/>
  <c r="I644"/>
  <c r="M419"/>
  <c r="M492"/>
  <c r="F492"/>
  <c r="I413"/>
  <c r="O413"/>
  <c r="J638"/>
  <c r="I567"/>
  <c r="O567"/>
  <c r="O492"/>
  <c r="J492"/>
  <c r="N413"/>
  <c r="E413"/>
  <c r="O638"/>
  <c r="D638"/>
  <c r="K492"/>
  <c r="K638"/>
  <c r="L567"/>
  <c r="H492"/>
  <c r="L413"/>
  <c r="G638"/>
  <c r="L638"/>
  <c r="F638"/>
  <c r="E567"/>
  <c r="L492"/>
  <c r="H413"/>
  <c r="M638"/>
  <c r="I638"/>
  <c r="D492"/>
  <c r="F413"/>
  <c r="H638"/>
  <c r="M413"/>
  <c r="I489"/>
  <c r="N70" i="7"/>
  <c r="M753" i="8" s="1"/>
  <c r="L70" i="7"/>
  <c r="K753" i="8" s="1"/>
  <c r="K752"/>
  <c r="D753"/>
  <c r="D752"/>
  <c r="J70" i="7"/>
  <c r="I753" i="8" s="1"/>
  <c r="I752"/>
  <c r="K70" i="7"/>
  <c r="J753" i="8" s="1"/>
  <c r="J752"/>
  <c r="O70" i="7"/>
  <c r="N753" i="8" s="1"/>
  <c r="N752"/>
  <c r="F753"/>
  <c r="F752"/>
  <c r="M70" i="7"/>
  <c r="L753" i="8" s="1"/>
  <c r="L752"/>
  <c r="E753"/>
  <c r="T141" i="10"/>
  <c r="L147" i="8" s="1"/>
  <c r="D70" i="9"/>
  <c r="G70"/>
  <c r="P28"/>
  <c r="D52" i="8" s="1"/>
  <c r="L70" i="9"/>
  <c r="G270" i="8"/>
  <c r="K70" i="9"/>
  <c r="O70"/>
  <c r="C86" i="11"/>
  <c r="C87" s="1"/>
  <c r="C98"/>
  <c r="C99" s="1"/>
  <c r="C100" s="1"/>
  <c r="S57" i="5"/>
  <c r="O703" i="8"/>
  <c r="K703"/>
  <c r="N553"/>
  <c r="G553"/>
  <c r="O412"/>
  <c r="E412"/>
  <c r="M412"/>
  <c r="N489"/>
  <c r="O489"/>
  <c r="F411"/>
  <c r="I411"/>
  <c r="O411"/>
  <c r="E640"/>
  <c r="G354"/>
  <c r="K354"/>
  <c r="F553"/>
  <c r="F351"/>
  <c r="D703"/>
  <c r="D353"/>
  <c r="N703"/>
  <c r="N353"/>
  <c r="N354" s="1"/>
  <c r="M553"/>
  <c r="M351"/>
  <c r="O553"/>
  <c r="O351"/>
  <c r="O354" s="1"/>
  <c r="H553"/>
  <c r="H351"/>
  <c r="F703"/>
  <c r="F353"/>
  <c r="D351"/>
  <c r="M353"/>
  <c r="J351"/>
  <c r="I553"/>
  <c r="I351"/>
  <c r="I354" s="1"/>
  <c r="H703"/>
  <c r="H353"/>
  <c r="E703"/>
  <c r="E353"/>
  <c r="E354" s="1"/>
  <c r="J703"/>
  <c r="J353"/>
  <c r="L553"/>
  <c r="L351"/>
  <c r="L354" s="1"/>
  <c r="D454"/>
  <c r="H637"/>
  <c r="D637"/>
  <c r="O270"/>
  <c r="L257"/>
  <c r="L272" s="1"/>
  <c r="K490"/>
  <c r="L490"/>
  <c r="F490"/>
  <c r="G679"/>
  <c r="M679"/>
  <c r="H679"/>
  <c r="N679"/>
  <c r="I679"/>
  <c r="D679"/>
  <c r="O679"/>
  <c r="J679"/>
  <c r="E529"/>
  <c r="J529"/>
  <c r="Q53"/>
  <c r="P52"/>
  <c r="K257"/>
  <c r="O257"/>
  <c r="L258"/>
  <c r="J454"/>
  <c r="I454"/>
  <c r="I69" i="7"/>
  <c r="M640" i="8"/>
  <c r="F640"/>
  <c r="J528"/>
  <c r="E528"/>
  <c r="O528"/>
  <c r="F528"/>
  <c r="L528"/>
  <c r="K528"/>
  <c r="M528"/>
  <c r="H528"/>
  <c r="O529"/>
  <c r="L454"/>
  <c r="O454"/>
  <c r="E637"/>
  <c r="N637"/>
  <c r="K637"/>
  <c r="L640"/>
  <c r="O640"/>
  <c r="H640"/>
  <c r="G640"/>
  <c r="I640"/>
  <c r="N640"/>
  <c r="K640"/>
  <c r="D640"/>
  <c r="J412"/>
  <c r="D412"/>
  <c r="F412"/>
  <c r="L411"/>
  <c r="N411"/>
  <c r="H411"/>
  <c r="N412"/>
  <c r="H412"/>
  <c r="K412"/>
  <c r="J411"/>
  <c r="D411"/>
  <c r="K411"/>
  <c r="I412"/>
  <c r="L412"/>
  <c r="E411"/>
  <c r="M411"/>
  <c r="L489"/>
  <c r="K489"/>
  <c r="E489"/>
  <c r="J489"/>
  <c r="H489"/>
  <c r="G489"/>
  <c r="F489"/>
  <c r="D489"/>
  <c r="G637"/>
  <c r="J637"/>
  <c r="I637"/>
  <c r="F637"/>
  <c r="L637"/>
  <c r="M637"/>
  <c r="O637"/>
  <c r="O258"/>
  <c r="M257"/>
  <c r="M272" s="1"/>
  <c r="M258"/>
  <c r="K258"/>
  <c r="N268"/>
  <c r="J263"/>
  <c r="S53"/>
  <c r="Q97" i="7"/>
  <c r="E139" i="8"/>
  <c r="E40" s="1"/>
  <c r="C139"/>
  <c r="C40" s="1"/>
  <c r="O137"/>
  <c r="D139"/>
  <c r="D40" s="1"/>
  <c r="F139"/>
  <c r="F40" s="1"/>
  <c r="K139"/>
  <c r="K40" s="1"/>
  <c r="O134"/>
  <c r="C446"/>
  <c r="O135"/>
  <c r="J139"/>
  <c r="J40" s="1"/>
  <c r="O136"/>
  <c r="N139"/>
  <c r="N40" s="1"/>
  <c r="O138"/>
  <c r="H139"/>
  <c r="H40" s="1"/>
  <c r="M139"/>
  <c r="M40" s="1"/>
  <c r="G139"/>
  <c r="G40" s="1"/>
  <c r="L139"/>
  <c r="L40" s="1"/>
  <c r="N263"/>
  <c r="N262"/>
  <c r="J257"/>
  <c r="J258"/>
  <c r="J267"/>
  <c r="J268"/>
  <c r="F262"/>
  <c r="F263"/>
  <c r="N258"/>
  <c r="N257"/>
  <c r="N272" s="1"/>
  <c r="F257"/>
  <c r="F258"/>
  <c r="I139"/>
  <c r="I40" s="1"/>
  <c r="F267"/>
  <c r="F268"/>
  <c r="C639"/>
  <c r="L703"/>
  <c r="M703"/>
  <c r="J553"/>
  <c r="O169" i="10"/>
  <c r="G148" i="8" s="1"/>
  <c r="C148"/>
  <c r="Q169" i="10"/>
  <c r="I148" i="8" s="1"/>
  <c r="S169" i="10"/>
  <c r="K148" i="8" s="1"/>
  <c r="O133"/>
  <c r="C430"/>
  <c r="C592"/>
  <c r="C611"/>
  <c r="C690"/>
  <c r="C617"/>
  <c r="C594"/>
  <c r="C462"/>
  <c r="C615"/>
  <c r="C661"/>
  <c r="C581"/>
  <c r="C610"/>
  <c r="C521"/>
  <c r="C536"/>
  <c r="C586"/>
  <c r="C686"/>
  <c r="C523"/>
  <c r="D504"/>
  <c r="M504"/>
  <c r="K504"/>
  <c r="L570"/>
  <c r="O570"/>
  <c r="J570"/>
  <c r="H490"/>
  <c r="D490"/>
  <c r="M490"/>
  <c r="L529"/>
  <c r="K529"/>
  <c r="F529"/>
  <c r="C604"/>
  <c r="D45" i="11"/>
  <c r="N504" i="8"/>
  <c r="I504"/>
  <c r="G504"/>
  <c r="D570"/>
  <c r="K570"/>
  <c r="F570"/>
  <c r="O490"/>
  <c r="N490"/>
  <c r="I490"/>
  <c r="M529"/>
  <c r="H529"/>
  <c r="G529"/>
  <c r="L504"/>
  <c r="J504"/>
  <c r="M570"/>
  <c r="I570"/>
  <c r="G490"/>
  <c r="J490"/>
  <c r="C537"/>
  <c r="I529"/>
  <c r="D529"/>
  <c r="C65" i="11"/>
  <c r="C72" s="1"/>
  <c r="P246" i="8"/>
  <c r="S54" s="1"/>
  <c r="P204"/>
  <c r="Q54" s="1"/>
  <c r="P205"/>
  <c r="T54" s="1"/>
  <c r="P245"/>
  <c r="C232" s="1"/>
  <c r="P243"/>
  <c r="J54" s="1"/>
  <c r="P244"/>
  <c r="M54" s="1"/>
  <c r="M55" s="1"/>
  <c r="F91" i="5"/>
  <c r="G91" s="1"/>
  <c r="H91" s="1"/>
  <c r="I91" s="1"/>
  <c r="J91" s="1"/>
  <c r="K91" s="1"/>
  <c r="L91" s="1"/>
  <c r="M91" s="1"/>
  <c r="N91" s="1"/>
  <c r="O91" s="1"/>
  <c r="P91" s="1"/>
  <c r="P234" i="8"/>
  <c r="S52" s="1"/>
  <c r="O268"/>
  <c r="Q52"/>
  <c r="G268"/>
  <c r="G267"/>
  <c r="G262"/>
  <c r="G263"/>
  <c r="K268"/>
  <c r="K267"/>
  <c r="F70" i="9"/>
  <c r="K262" i="8"/>
  <c r="K263"/>
  <c r="O262"/>
  <c r="O263"/>
  <c r="E66" i="11"/>
  <c r="D65"/>
  <c r="D72" s="1"/>
  <c r="R28" i="10"/>
  <c r="P28"/>
  <c r="N27"/>
  <c r="P27"/>
  <c r="R27"/>
  <c r="E12"/>
  <c r="T28"/>
  <c r="N28"/>
  <c r="D71" i="8"/>
  <c r="H71" s="1"/>
  <c r="J52" i="10"/>
  <c r="C144" i="8" s="1"/>
  <c r="Q27" i="7"/>
  <c r="Q25"/>
  <c r="C106" i="8"/>
  <c r="P22" i="9"/>
  <c r="D314" i="8"/>
  <c r="S58" i="5"/>
  <c r="G67" i="11"/>
  <c r="H97" i="8"/>
  <c r="D429"/>
  <c r="H429"/>
  <c r="L429"/>
  <c r="E429"/>
  <c r="I429"/>
  <c r="M429"/>
  <c r="G429"/>
  <c r="K429"/>
  <c r="O429"/>
  <c r="F429"/>
  <c r="J429"/>
  <c r="N429"/>
  <c r="C671"/>
  <c r="E553"/>
  <c r="I703"/>
  <c r="C146"/>
  <c r="F685"/>
  <c r="J685"/>
  <c r="N685"/>
  <c r="G685"/>
  <c r="K685"/>
  <c r="O685"/>
  <c r="D685"/>
  <c r="H685"/>
  <c r="L685"/>
  <c r="E685"/>
  <c r="I685"/>
  <c r="M685"/>
  <c r="C678"/>
  <c r="E457"/>
  <c r="I457"/>
  <c r="M457"/>
  <c r="D457"/>
  <c r="J457"/>
  <c r="O457"/>
  <c r="F457"/>
  <c r="K457"/>
  <c r="G457"/>
  <c r="L457"/>
  <c r="H457"/>
  <c r="N457"/>
  <c r="C465"/>
  <c r="C469"/>
  <c r="C431"/>
  <c r="F613"/>
  <c r="J613"/>
  <c r="N613"/>
  <c r="G613"/>
  <c r="K613"/>
  <c r="O613"/>
  <c r="D613"/>
  <c r="H613"/>
  <c r="L613"/>
  <c r="E613"/>
  <c r="I613"/>
  <c r="M613"/>
  <c r="C693"/>
  <c r="C147"/>
  <c r="M141" i="10"/>
  <c r="E147" i="8" s="1"/>
  <c r="S99" s="1"/>
  <c r="U99" s="1"/>
  <c r="Q141" i="10"/>
  <c r="I147" i="8" s="1"/>
  <c r="M99" s="1"/>
  <c r="O99" s="1"/>
  <c r="C112"/>
  <c r="H73"/>
  <c r="E488"/>
  <c r="I488"/>
  <c r="M488"/>
  <c r="G488"/>
  <c r="K488"/>
  <c r="O488"/>
  <c r="D488"/>
  <c r="H488"/>
  <c r="L488"/>
  <c r="J488"/>
  <c r="N488"/>
  <c r="F488"/>
  <c r="F495"/>
  <c r="J495"/>
  <c r="N495"/>
  <c r="D495"/>
  <c r="H495"/>
  <c r="L495"/>
  <c r="E495"/>
  <c r="I495"/>
  <c r="M495"/>
  <c r="K495"/>
  <c r="O495"/>
  <c r="G495"/>
  <c r="D416"/>
  <c r="H416"/>
  <c r="L416"/>
  <c r="E416"/>
  <c r="I416"/>
  <c r="M416"/>
  <c r="F416"/>
  <c r="J416"/>
  <c r="N416"/>
  <c r="G416"/>
  <c r="K416"/>
  <c r="O416"/>
  <c r="E535"/>
  <c r="I535"/>
  <c r="M535"/>
  <c r="F535"/>
  <c r="J535"/>
  <c r="N535"/>
  <c r="G535"/>
  <c r="K535"/>
  <c r="O535"/>
  <c r="D535"/>
  <c r="H535"/>
  <c r="L535"/>
  <c r="D541"/>
  <c r="H541"/>
  <c r="L541"/>
  <c r="E541"/>
  <c r="I541"/>
  <c r="M541"/>
  <c r="F541"/>
  <c r="J541"/>
  <c r="N541"/>
  <c r="G541"/>
  <c r="K541"/>
  <c r="O541"/>
  <c r="G645"/>
  <c r="K645"/>
  <c r="O645"/>
  <c r="H645"/>
  <c r="M645"/>
  <c r="D645"/>
  <c r="I645"/>
  <c r="N645"/>
  <c r="E645"/>
  <c r="J645"/>
  <c r="F645"/>
  <c r="L645"/>
  <c r="C414"/>
  <c r="D100"/>
  <c r="H95"/>
  <c r="C111"/>
  <c r="H75"/>
  <c r="C103"/>
  <c r="H61"/>
  <c r="E455"/>
  <c r="I455"/>
  <c r="M455"/>
  <c r="G455"/>
  <c r="L455"/>
  <c r="H455"/>
  <c r="N455"/>
  <c r="D455"/>
  <c r="J455"/>
  <c r="O455"/>
  <c r="F455"/>
  <c r="K455"/>
  <c r="C577"/>
  <c r="C596"/>
  <c r="G753"/>
  <c r="D605"/>
  <c r="H605"/>
  <c r="L605"/>
  <c r="E605"/>
  <c r="I605"/>
  <c r="M605"/>
  <c r="F605"/>
  <c r="J605"/>
  <c r="N605"/>
  <c r="G605"/>
  <c r="K605"/>
  <c r="O605"/>
  <c r="C109"/>
  <c r="H67"/>
  <c r="C461"/>
  <c r="C415"/>
  <c r="D427"/>
  <c r="H427"/>
  <c r="L427"/>
  <c r="E427"/>
  <c r="I427"/>
  <c r="M427"/>
  <c r="F427"/>
  <c r="J427"/>
  <c r="N427"/>
  <c r="G427"/>
  <c r="K427"/>
  <c r="O427"/>
  <c r="D539"/>
  <c r="H539"/>
  <c r="L539"/>
  <c r="E539"/>
  <c r="I539"/>
  <c r="M539"/>
  <c r="F539"/>
  <c r="J539"/>
  <c r="N539"/>
  <c r="G539"/>
  <c r="K539"/>
  <c r="O539"/>
  <c r="C107"/>
  <c r="H65"/>
  <c r="G420"/>
  <c r="K420"/>
  <c r="O420"/>
  <c r="D420"/>
  <c r="H420"/>
  <c r="L420"/>
  <c r="E420"/>
  <c r="I420"/>
  <c r="M420"/>
  <c r="F420"/>
  <c r="J420"/>
  <c r="N420"/>
  <c r="D538"/>
  <c r="H538"/>
  <c r="L538"/>
  <c r="E538"/>
  <c r="I538"/>
  <c r="M538"/>
  <c r="F538"/>
  <c r="J538"/>
  <c r="N538"/>
  <c r="G538"/>
  <c r="K538"/>
  <c r="O538"/>
  <c r="G565"/>
  <c r="K565"/>
  <c r="O565"/>
  <c r="D565"/>
  <c r="H565"/>
  <c r="L565"/>
  <c r="E565"/>
  <c r="I565"/>
  <c r="M565"/>
  <c r="F565"/>
  <c r="J565"/>
  <c r="N565"/>
  <c r="C432"/>
  <c r="D463"/>
  <c r="H463"/>
  <c r="F463"/>
  <c r="J463"/>
  <c r="N463"/>
  <c r="G463"/>
  <c r="K463"/>
  <c r="O463"/>
  <c r="I463"/>
  <c r="L463"/>
  <c r="M463"/>
  <c r="E463"/>
  <c r="C445"/>
  <c r="G682"/>
  <c r="K682"/>
  <c r="O682"/>
  <c r="D682"/>
  <c r="H682"/>
  <c r="L682"/>
  <c r="E682"/>
  <c r="I682"/>
  <c r="M682"/>
  <c r="F682"/>
  <c r="J682"/>
  <c r="N682"/>
  <c r="E70" i="9"/>
  <c r="C453" i="8"/>
  <c r="C612"/>
  <c r="C530"/>
  <c r="F46" i="11"/>
  <c r="F532" i="8"/>
  <c r="J532"/>
  <c r="N532"/>
  <c r="G532"/>
  <c r="K532"/>
  <c r="O532"/>
  <c r="D532"/>
  <c r="H532"/>
  <c r="L532"/>
  <c r="E532"/>
  <c r="I532"/>
  <c r="M532"/>
  <c r="C108"/>
  <c r="H66"/>
  <c r="C447"/>
  <c r="H70" i="9"/>
  <c r="E616" i="8"/>
  <c r="I616"/>
  <c r="M616"/>
  <c r="F616"/>
  <c r="J616"/>
  <c r="N616"/>
  <c r="G616"/>
  <c r="K616"/>
  <c r="O616"/>
  <c r="D616"/>
  <c r="H616"/>
  <c r="L616"/>
  <c r="C102"/>
  <c r="H60"/>
  <c r="E499"/>
  <c r="I499"/>
  <c r="M499"/>
  <c r="G499"/>
  <c r="K499"/>
  <c r="O499"/>
  <c r="D499"/>
  <c r="H499"/>
  <c r="L499"/>
  <c r="J499"/>
  <c r="N499"/>
  <c r="F499"/>
  <c r="F424"/>
  <c r="J424"/>
  <c r="N424"/>
  <c r="G424"/>
  <c r="K424"/>
  <c r="O424"/>
  <c r="D424"/>
  <c r="H424"/>
  <c r="L424"/>
  <c r="E424"/>
  <c r="I424"/>
  <c r="M424"/>
  <c r="E575"/>
  <c r="I575"/>
  <c r="M575"/>
  <c r="F575"/>
  <c r="J575"/>
  <c r="N575"/>
  <c r="K575"/>
  <c r="D575"/>
  <c r="L575"/>
  <c r="G575"/>
  <c r="O575"/>
  <c r="H575"/>
  <c r="E576"/>
  <c r="I576"/>
  <c r="M576"/>
  <c r="F576"/>
  <c r="J576"/>
  <c r="N576"/>
  <c r="G576"/>
  <c r="O576"/>
  <c r="H576"/>
  <c r="K576"/>
  <c r="D576"/>
  <c r="L576"/>
  <c r="C533"/>
  <c r="G607"/>
  <c r="K607"/>
  <c r="O607"/>
  <c r="D607"/>
  <c r="H607"/>
  <c r="L607"/>
  <c r="E607"/>
  <c r="I607"/>
  <c r="M607"/>
  <c r="F607"/>
  <c r="J607"/>
  <c r="N607"/>
  <c r="C687"/>
  <c r="E497"/>
  <c r="I497"/>
  <c r="M497"/>
  <c r="G497"/>
  <c r="K497"/>
  <c r="O497"/>
  <c r="D497"/>
  <c r="H497"/>
  <c r="L497"/>
  <c r="F497"/>
  <c r="J497"/>
  <c r="N497"/>
  <c r="E574"/>
  <c r="I574"/>
  <c r="M574"/>
  <c r="F574"/>
  <c r="J574"/>
  <c r="N574"/>
  <c r="G574"/>
  <c r="O574"/>
  <c r="H574"/>
  <c r="K574"/>
  <c r="D574"/>
  <c r="L574"/>
  <c r="C512"/>
  <c r="C487"/>
  <c r="C104"/>
  <c r="H62"/>
  <c r="C579"/>
  <c r="C680"/>
  <c r="C598"/>
  <c r="G503"/>
  <c r="K503"/>
  <c r="O503"/>
  <c r="E503"/>
  <c r="I503"/>
  <c r="M503"/>
  <c r="F503"/>
  <c r="J503"/>
  <c r="N503"/>
  <c r="D503"/>
  <c r="H503"/>
  <c r="L503"/>
  <c r="E599"/>
  <c r="I599"/>
  <c r="M599"/>
  <c r="F599"/>
  <c r="J599"/>
  <c r="N599"/>
  <c r="G599"/>
  <c r="K599"/>
  <c r="O599"/>
  <c r="D599"/>
  <c r="H599"/>
  <c r="L599"/>
  <c r="D578"/>
  <c r="H578"/>
  <c r="L578"/>
  <c r="E578"/>
  <c r="I578"/>
  <c r="M578"/>
  <c r="F578"/>
  <c r="N578"/>
  <c r="G578"/>
  <c r="O578"/>
  <c r="J578"/>
  <c r="K578"/>
  <c r="C673"/>
  <c r="E89" i="11"/>
  <c r="G543" i="8"/>
  <c r="K543"/>
  <c r="O543"/>
  <c r="D543"/>
  <c r="H543"/>
  <c r="L543"/>
  <c r="E543"/>
  <c r="I543"/>
  <c r="M543"/>
  <c r="F543"/>
  <c r="J543"/>
  <c r="N543"/>
  <c r="D643"/>
  <c r="H643"/>
  <c r="L643"/>
  <c r="F643"/>
  <c r="K643"/>
  <c r="G643"/>
  <c r="M643"/>
  <c r="I643"/>
  <c r="N643"/>
  <c r="E643"/>
  <c r="J643"/>
  <c r="O643"/>
  <c r="C105"/>
  <c r="H63"/>
  <c r="E466"/>
  <c r="I466"/>
  <c r="F466"/>
  <c r="J466"/>
  <c r="N466"/>
  <c r="D466"/>
  <c r="L466"/>
  <c r="G466"/>
  <c r="M466"/>
  <c r="H466"/>
  <c r="O466"/>
  <c r="K466"/>
  <c r="C440"/>
  <c r="F688"/>
  <c r="J688"/>
  <c r="N688"/>
  <c r="G688"/>
  <c r="K688"/>
  <c r="O688"/>
  <c r="D688"/>
  <c r="H688"/>
  <c r="L688"/>
  <c r="E688"/>
  <c r="I688"/>
  <c r="M688"/>
  <c r="F689"/>
  <c r="J689"/>
  <c r="N689"/>
  <c r="G689"/>
  <c r="K689"/>
  <c r="O689"/>
  <c r="D689"/>
  <c r="H689"/>
  <c r="L689"/>
  <c r="E689"/>
  <c r="I689"/>
  <c r="M689"/>
  <c r="C652"/>
  <c r="D628"/>
  <c r="H628"/>
  <c r="L628"/>
  <c r="D478"/>
  <c r="D357" s="1"/>
  <c r="H478"/>
  <c r="H357" s="1"/>
  <c r="J478"/>
  <c r="J357" s="1"/>
  <c r="N478"/>
  <c r="N357" s="1"/>
  <c r="F628"/>
  <c r="J628"/>
  <c r="N628"/>
  <c r="F478"/>
  <c r="F357" s="1"/>
  <c r="L478"/>
  <c r="L357" s="1"/>
  <c r="K52"/>
  <c r="E628"/>
  <c r="G628"/>
  <c r="I628"/>
  <c r="K628"/>
  <c r="M628"/>
  <c r="O628"/>
  <c r="E478"/>
  <c r="E357" s="1"/>
  <c r="G478"/>
  <c r="G357" s="1"/>
  <c r="I478"/>
  <c r="I357" s="1"/>
  <c r="K478"/>
  <c r="K357" s="1"/>
  <c r="M478"/>
  <c r="M357" s="1"/>
  <c r="O478"/>
  <c r="O357" s="1"/>
  <c r="T52"/>
  <c r="C52"/>
  <c r="C53"/>
  <c r="T53"/>
  <c r="C609" l="1"/>
  <c r="O141" i="10"/>
  <c r="G147" i="8" s="1"/>
  <c r="J99" s="1"/>
  <c r="L99" s="1"/>
  <c r="S141" i="10"/>
  <c r="K147" i="8" s="1"/>
  <c r="P99" s="1"/>
  <c r="R99" s="1"/>
  <c r="P353"/>
  <c r="P351"/>
  <c r="K298"/>
  <c r="O40"/>
  <c r="C491"/>
  <c r="C641"/>
  <c r="C428"/>
  <c r="C569"/>
  <c r="C566"/>
  <c r="C573"/>
  <c r="C683"/>
  <c r="C694"/>
  <c r="D622"/>
  <c r="C494"/>
  <c r="C189"/>
  <c r="C468"/>
  <c r="C467"/>
  <c r="E272"/>
  <c r="C691"/>
  <c r="J55"/>
  <c r="E293"/>
  <c r="R54"/>
  <c r="R55" s="1"/>
  <c r="U54"/>
  <c r="U55" s="1"/>
  <c r="G298"/>
  <c r="D272"/>
  <c r="C564"/>
  <c r="D297"/>
  <c r="D298" s="1"/>
  <c r="F298"/>
  <c r="L298"/>
  <c r="N55"/>
  <c r="F272"/>
  <c r="G272"/>
  <c r="K272"/>
  <c r="O272"/>
  <c r="D293"/>
  <c r="J272"/>
  <c r="D273"/>
  <c r="C104" i="11"/>
  <c r="C110" s="1"/>
  <c r="C119" s="1"/>
  <c r="C120" s="1"/>
  <c r="C94"/>
  <c r="C95" s="1"/>
  <c r="C96" s="1"/>
  <c r="C97" s="1"/>
  <c r="H52" i="8"/>
  <c r="C563"/>
  <c r="C534"/>
  <c r="C509"/>
  <c r="C520"/>
  <c r="C502"/>
  <c r="C519"/>
  <c r="C508"/>
  <c r="R69" i="7"/>
  <c r="W69" s="1"/>
  <c r="C190" i="8"/>
  <c r="E704"/>
  <c r="G554"/>
  <c r="E273"/>
  <c r="G331"/>
  <c r="M314"/>
  <c r="I273"/>
  <c r="K331"/>
  <c r="E314"/>
  <c r="C493"/>
  <c r="C562"/>
  <c r="C618"/>
  <c r="C657"/>
  <c r="C511"/>
  <c r="L554"/>
  <c r="G704"/>
  <c r="C642"/>
  <c r="C433"/>
  <c r="C568"/>
  <c r="C426"/>
  <c r="C435"/>
  <c r="C606"/>
  <c r="C707"/>
  <c r="H273"/>
  <c r="C649"/>
  <c r="C646"/>
  <c r="C421"/>
  <c r="C587"/>
  <c r="C417"/>
  <c r="E554"/>
  <c r="H704"/>
  <c r="C456"/>
  <c r="C589"/>
  <c r="C595"/>
  <c r="C659"/>
  <c r="E15" i="10"/>
  <c r="E14"/>
  <c r="L704" i="8"/>
  <c r="E86" i="11"/>
  <c r="K704" i="8"/>
  <c r="K705" s="1"/>
  <c r="M554"/>
  <c r="E331"/>
  <c r="H554"/>
  <c r="K554"/>
  <c r="M331"/>
  <c r="O314"/>
  <c r="S112" i="10"/>
  <c r="K146" i="8" s="1"/>
  <c r="P98" s="1"/>
  <c r="E16" i="10"/>
  <c r="K314" i="8"/>
  <c r="D86" i="11"/>
  <c r="D87" s="1"/>
  <c r="R112" i="10"/>
  <c r="N83"/>
  <c r="C422" i="8"/>
  <c r="P112" i="10"/>
  <c r="R83"/>
  <c r="P83"/>
  <c r="C619" i="8"/>
  <c r="N112" i="10"/>
  <c r="C514" i="8"/>
  <c r="C572"/>
  <c r="C516"/>
  <c r="C608"/>
  <c r="C638"/>
  <c r="C567"/>
  <c r="C505"/>
  <c r="C692"/>
  <c r="S83" i="10"/>
  <c r="K145" i="8" s="1"/>
  <c r="P97" s="1"/>
  <c r="C492"/>
  <c r="C653"/>
  <c r="C571"/>
  <c r="C498"/>
  <c r="C506"/>
  <c r="C501"/>
  <c r="C464"/>
  <c r="H472"/>
  <c r="C583"/>
  <c r="C614"/>
  <c r="C684"/>
  <c r="F554"/>
  <c r="C500"/>
  <c r="C425"/>
  <c r="N52" i="10"/>
  <c r="M273" i="8"/>
  <c r="C413"/>
  <c r="C544"/>
  <c r="C681"/>
  <c r="C644"/>
  <c r="O622"/>
  <c r="F472"/>
  <c r="M472"/>
  <c r="C419"/>
  <c r="C591"/>
  <c r="C507"/>
  <c r="C582"/>
  <c r="C434"/>
  <c r="C423"/>
  <c r="C418"/>
  <c r="C664"/>
  <c r="C438"/>
  <c r="C496"/>
  <c r="C459"/>
  <c r="C603"/>
  <c r="C542"/>
  <c r="C531"/>
  <c r="J697"/>
  <c r="C458"/>
  <c r="C528"/>
  <c r="O331"/>
  <c r="I314"/>
  <c r="O704"/>
  <c r="O705" s="1"/>
  <c r="C674"/>
  <c r="C540"/>
  <c r="C460"/>
  <c r="K74" s="1"/>
  <c r="L697"/>
  <c r="I622"/>
  <c r="K472"/>
  <c r="G472"/>
  <c r="L472"/>
  <c r="E697"/>
  <c r="M622"/>
  <c r="O472"/>
  <c r="I472"/>
  <c r="M697"/>
  <c r="E622"/>
  <c r="D472"/>
  <c r="F622"/>
  <c r="N472"/>
  <c r="F697"/>
  <c r="N622"/>
  <c r="D547"/>
  <c r="G547"/>
  <c r="H697"/>
  <c r="I547"/>
  <c r="N547"/>
  <c r="K697"/>
  <c r="G622"/>
  <c r="H622"/>
  <c r="J472"/>
  <c r="E472"/>
  <c r="D697"/>
  <c r="I697"/>
  <c r="G697"/>
  <c r="J622"/>
  <c r="N697"/>
  <c r="K622"/>
  <c r="L622"/>
  <c r="O697"/>
  <c r="C662"/>
  <c r="C648"/>
  <c r="C656"/>
  <c r="C654"/>
  <c r="C666"/>
  <c r="C660"/>
  <c r="I70" i="7"/>
  <c r="H753" i="8" s="1"/>
  <c r="H752"/>
  <c r="C752" s="1"/>
  <c r="P52" i="10"/>
  <c r="R52"/>
  <c r="T52"/>
  <c r="D55" i="8"/>
  <c r="C16" s="1"/>
  <c r="C90" i="11"/>
  <c r="F704" i="8"/>
  <c r="O554"/>
  <c r="G314"/>
  <c r="I554"/>
  <c r="C557"/>
  <c r="N554"/>
  <c r="J554"/>
  <c r="J555" s="1"/>
  <c r="N314"/>
  <c r="K547"/>
  <c r="E547"/>
  <c r="L547"/>
  <c r="J547"/>
  <c r="H547"/>
  <c r="F547"/>
  <c r="M547"/>
  <c r="O547"/>
  <c r="Q74"/>
  <c r="N99"/>
  <c r="P553"/>
  <c r="K273"/>
  <c r="D354"/>
  <c r="M354"/>
  <c r="F354"/>
  <c r="H354"/>
  <c r="J354"/>
  <c r="O322"/>
  <c r="J314"/>
  <c r="N331"/>
  <c r="F314"/>
  <c r="L331"/>
  <c r="L314"/>
  <c r="H314"/>
  <c r="D322"/>
  <c r="H331"/>
  <c r="D331"/>
  <c r="I331"/>
  <c r="J331"/>
  <c r="F331"/>
  <c r="F273"/>
  <c r="J273"/>
  <c r="L273"/>
  <c r="G273"/>
  <c r="N273"/>
  <c r="O273"/>
  <c r="O306"/>
  <c r="O780"/>
  <c r="O340" s="1"/>
  <c r="I780"/>
  <c r="L780"/>
  <c r="N780"/>
  <c r="H780"/>
  <c r="D780"/>
  <c r="G780"/>
  <c r="E780"/>
  <c r="J780"/>
  <c r="M780"/>
  <c r="F780"/>
  <c r="K780"/>
  <c r="C679"/>
  <c r="C454"/>
  <c r="C412"/>
  <c r="C489"/>
  <c r="C411"/>
  <c r="C640"/>
  <c r="C637"/>
  <c r="E45" i="11"/>
  <c r="C52"/>
  <c r="C53" s="1"/>
  <c r="C54" s="1"/>
  <c r="M704" i="8"/>
  <c r="O139"/>
  <c r="D44" i="11"/>
  <c r="C76"/>
  <c r="C77" s="1"/>
  <c r="C78" s="1"/>
  <c r="J704" i="8"/>
  <c r="P703"/>
  <c r="N704"/>
  <c r="I704"/>
  <c r="S55"/>
  <c r="E17" i="10"/>
  <c r="M148" i="8"/>
  <c r="C55" i="11"/>
  <c r="C56" s="1"/>
  <c r="C57" s="1"/>
  <c r="C599" i="8"/>
  <c r="C524"/>
  <c r="C73" i="11"/>
  <c r="C74" s="1"/>
  <c r="C75" s="1"/>
  <c r="C576" i="8"/>
  <c r="C672"/>
  <c r="C647"/>
  <c r="C529"/>
  <c r="C443"/>
  <c r="C570"/>
  <c r="C490"/>
  <c r="C504"/>
  <c r="C584"/>
  <c r="C191"/>
  <c r="C234"/>
  <c r="D76" i="11"/>
  <c r="Q55" i="8"/>
  <c r="C231"/>
  <c r="C193"/>
  <c r="H88" i="11"/>
  <c r="I88" s="1"/>
  <c r="C54" i="8"/>
  <c r="C55" s="1"/>
  <c r="D73" i="11"/>
  <c r="P54" i="8"/>
  <c r="P55" s="1"/>
  <c r="F86" i="11"/>
  <c r="C230" i="8"/>
  <c r="E65" i="11"/>
  <c r="E72" s="1"/>
  <c r="F66"/>
  <c r="E18" i="10"/>
  <c r="E53" i="8"/>
  <c r="C669"/>
  <c r="C580"/>
  <c r="C650"/>
  <c r="C466"/>
  <c r="C643"/>
  <c r="C607"/>
  <c r="C439"/>
  <c r="C682"/>
  <c r="C513"/>
  <c r="C538"/>
  <c r="C541"/>
  <c r="C444"/>
  <c r="C416"/>
  <c r="C113"/>
  <c r="H77"/>
  <c r="T99"/>
  <c r="C457"/>
  <c r="C437"/>
  <c r="C689"/>
  <c r="C688"/>
  <c r="C651"/>
  <c r="C497"/>
  <c r="G46" i="11"/>
  <c r="C565" i="8"/>
  <c r="C420"/>
  <c r="C588"/>
  <c r="C441"/>
  <c r="C685"/>
  <c r="H67" i="11"/>
  <c r="C543" i="8"/>
  <c r="F89" i="11"/>
  <c r="C578" i="8"/>
  <c r="C510"/>
  <c r="C667"/>
  <c r="C424"/>
  <c r="C499"/>
  <c r="C616"/>
  <c r="C522"/>
  <c r="C532"/>
  <c r="C515"/>
  <c r="E96"/>
  <c r="E97"/>
  <c r="E99"/>
  <c r="H100"/>
  <c r="E95"/>
  <c r="E98"/>
  <c r="C495"/>
  <c r="C613"/>
  <c r="C663"/>
  <c r="C517"/>
  <c r="C429"/>
  <c r="C436"/>
  <c r="C503"/>
  <c r="C574"/>
  <c r="C575"/>
  <c r="C665"/>
  <c r="C463"/>
  <c r="C590"/>
  <c r="C670"/>
  <c r="C448"/>
  <c r="C539"/>
  <c r="C427"/>
  <c r="C605"/>
  <c r="C455"/>
  <c r="P70" i="9"/>
  <c r="C597" i="8"/>
  <c r="C645"/>
  <c r="C535"/>
  <c r="C658"/>
  <c r="C488"/>
  <c r="C585"/>
  <c r="C655"/>
  <c r="T91"/>
  <c r="K306"/>
  <c r="L479"/>
  <c r="G306"/>
  <c r="H479"/>
  <c r="M322"/>
  <c r="N629"/>
  <c r="J629"/>
  <c r="I322"/>
  <c r="F629"/>
  <c r="E322"/>
  <c r="L306"/>
  <c r="M479"/>
  <c r="G479"/>
  <c r="F306"/>
  <c r="J322"/>
  <c r="K629"/>
  <c r="J306"/>
  <c r="K479"/>
  <c r="H306"/>
  <c r="I479"/>
  <c r="D306"/>
  <c r="E479"/>
  <c r="P478"/>
  <c r="C482"/>
  <c r="H322"/>
  <c r="I629"/>
  <c r="P628"/>
  <c r="C632"/>
  <c r="E629"/>
  <c r="M306"/>
  <c r="N479"/>
  <c r="I306"/>
  <c r="J479"/>
  <c r="E306"/>
  <c r="F479"/>
  <c r="K322"/>
  <c r="L629"/>
  <c r="G322"/>
  <c r="H629"/>
  <c r="N322"/>
  <c r="O629"/>
  <c r="G629"/>
  <c r="F322"/>
  <c r="O479"/>
  <c r="N306"/>
  <c r="M629"/>
  <c r="L322"/>
  <c r="K55"/>
  <c r="T55"/>
  <c r="S69" i="7" l="1"/>
  <c r="G675" i="8" s="1"/>
  <c r="K99"/>
  <c r="Q99"/>
  <c r="M147"/>
  <c r="C56"/>
  <c r="C108" i="11"/>
  <c r="C109" s="1"/>
  <c r="C125" s="1"/>
  <c r="C132" s="1"/>
  <c r="C130" s="1"/>
  <c r="F87"/>
  <c r="F94" s="1"/>
  <c r="D51"/>
  <c r="D52" s="1"/>
  <c r="D53" s="1"/>
  <c r="D54" s="1"/>
  <c r="D104"/>
  <c r="D110" s="1"/>
  <c r="D108" s="1"/>
  <c r="D115" s="1"/>
  <c r="D94"/>
  <c r="D95" s="1"/>
  <c r="D96" s="1"/>
  <c r="D97" s="1"/>
  <c r="Q97" i="8"/>
  <c r="R97"/>
  <c r="Q98"/>
  <c r="R98"/>
  <c r="H55"/>
  <c r="K525"/>
  <c r="O525"/>
  <c r="G525"/>
  <c r="I525"/>
  <c r="E525"/>
  <c r="L525"/>
  <c r="F525"/>
  <c r="M525"/>
  <c r="N525"/>
  <c r="J525"/>
  <c r="U69" i="7"/>
  <c r="D525" i="8"/>
  <c r="H525"/>
  <c r="J675"/>
  <c r="L705"/>
  <c r="M555"/>
  <c r="L555"/>
  <c r="H705"/>
  <c r="F144"/>
  <c r="T90" i="7"/>
  <c r="S52" i="10"/>
  <c r="K144" i="8" s="1"/>
  <c r="P96" s="1"/>
  <c r="Z90" i="7"/>
  <c r="E87" i="11"/>
  <c r="V90" i="7"/>
  <c r="J144" i="8"/>
  <c r="X90" i="7"/>
  <c r="D98" i="11"/>
  <c r="D99" s="1"/>
  <c r="D100" s="1"/>
  <c r="J146" i="8"/>
  <c r="Q112" i="10"/>
  <c r="I146" i="8" s="1"/>
  <c r="M98" s="1"/>
  <c r="F145"/>
  <c r="M83" i="10"/>
  <c r="E145" i="8" s="1"/>
  <c r="S97" s="1"/>
  <c r="F146"/>
  <c r="M112" i="10"/>
  <c r="E146" i="8" s="1"/>
  <c r="H145"/>
  <c r="O83" i="10"/>
  <c r="G145" i="8" s="1"/>
  <c r="H146"/>
  <c r="O112" i="10"/>
  <c r="G146" i="8" s="1"/>
  <c r="J98" s="1"/>
  <c r="J145"/>
  <c r="Q83" i="10"/>
  <c r="I145" i="8" s="1"/>
  <c r="M97" s="1"/>
  <c r="K75"/>
  <c r="Q52" i="10"/>
  <c r="I144" i="8" s="1"/>
  <c r="M96" s="1"/>
  <c r="O96" s="1"/>
  <c r="D55" i="11"/>
  <c r="D56" s="1"/>
  <c r="D57" s="1"/>
  <c r="E52" i="8"/>
  <c r="D90" i="11"/>
  <c r="L144" i="8"/>
  <c r="L149" s="1"/>
  <c r="E54"/>
  <c r="O555"/>
  <c r="T75"/>
  <c r="N75"/>
  <c r="N74"/>
  <c r="Q75"/>
  <c r="T74"/>
  <c r="P354"/>
  <c r="L630"/>
  <c r="K630"/>
  <c r="M630"/>
  <c r="O630"/>
  <c r="J630"/>
  <c r="M340"/>
  <c r="N781"/>
  <c r="N782" s="1"/>
  <c r="E781"/>
  <c r="E782" s="1"/>
  <c r="L340"/>
  <c r="M781"/>
  <c r="M782" s="1"/>
  <c r="H630"/>
  <c r="M705"/>
  <c r="J340"/>
  <c r="K781"/>
  <c r="K782" s="1"/>
  <c r="I340"/>
  <c r="J781"/>
  <c r="J782" s="1"/>
  <c r="E630"/>
  <c r="F630"/>
  <c r="K340"/>
  <c r="L781"/>
  <c r="L782" s="1"/>
  <c r="E340"/>
  <c r="F781"/>
  <c r="F782" s="1"/>
  <c r="H340"/>
  <c r="I781"/>
  <c r="I782" s="1"/>
  <c r="G630"/>
  <c r="J705"/>
  <c r="F340"/>
  <c r="G781"/>
  <c r="G782" s="1"/>
  <c r="G340"/>
  <c r="H781"/>
  <c r="H782" s="1"/>
  <c r="N340"/>
  <c r="O781"/>
  <c r="O782" s="1"/>
  <c r="E76" i="11"/>
  <c r="J480" i="8"/>
  <c r="E480"/>
  <c r="G480"/>
  <c r="H480"/>
  <c r="M480"/>
  <c r="F480"/>
  <c r="K480"/>
  <c r="L480"/>
  <c r="D340"/>
  <c r="C784"/>
  <c r="P780"/>
  <c r="N675"/>
  <c r="K675"/>
  <c r="I675"/>
  <c r="H675"/>
  <c r="E44" i="11"/>
  <c r="E51" s="1"/>
  <c r="F45"/>
  <c r="M52" i="10"/>
  <c r="E144" i="8" s="1"/>
  <c r="S96" s="1"/>
  <c r="U96" s="1"/>
  <c r="Y69" i="7"/>
  <c r="K600" i="8" s="1"/>
  <c r="D77" i="11"/>
  <c r="D78" s="1"/>
  <c r="C194" i="8"/>
  <c r="D74" i="11"/>
  <c r="D75" s="1"/>
  <c r="H86"/>
  <c r="H87" s="1"/>
  <c r="E73"/>
  <c r="C235" i="8"/>
  <c r="G87" i="11"/>
  <c r="G66"/>
  <c r="F65"/>
  <c r="F72" s="1"/>
  <c r="H144" i="8"/>
  <c r="O52" i="10"/>
  <c r="G144" i="8" s="1"/>
  <c r="J96" s="1"/>
  <c r="Q69" i="7"/>
  <c r="Q33"/>
  <c r="E19" i="10"/>
  <c r="E98" i="11"/>
  <c r="I67"/>
  <c r="C121"/>
  <c r="G89"/>
  <c r="J88"/>
  <c r="I86"/>
  <c r="H46"/>
  <c r="L675" i="8" l="1"/>
  <c r="M675"/>
  <c r="D675"/>
  <c r="F675"/>
  <c r="E675"/>
  <c r="O675"/>
  <c r="F90" i="11"/>
  <c r="C115"/>
  <c r="C116" s="1"/>
  <c r="C117" s="1"/>
  <c r="C118" s="1"/>
  <c r="F104"/>
  <c r="G104"/>
  <c r="G94"/>
  <c r="E104"/>
  <c r="E110" s="1"/>
  <c r="E94"/>
  <c r="C131"/>
  <c r="C138"/>
  <c r="C139" s="1"/>
  <c r="C140" s="1"/>
  <c r="H104"/>
  <c r="K96" i="8"/>
  <c r="L96"/>
  <c r="K98"/>
  <c r="L98"/>
  <c r="N98"/>
  <c r="O98"/>
  <c r="P100"/>
  <c r="R100" s="1"/>
  <c r="R96"/>
  <c r="N97"/>
  <c r="O97"/>
  <c r="T97"/>
  <c r="U97"/>
  <c r="C525"/>
  <c r="N449"/>
  <c r="J449"/>
  <c r="K449"/>
  <c r="O449"/>
  <c r="G449"/>
  <c r="I449"/>
  <c r="E449"/>
  <c r="L449"/>
  <c r="F449"/>
  <c r="M449"/>
  <c r="H449"/>
  <c r="D449"/>
  <c r="E99" i="11"/>
  <c r="E100" s="1"/>
  <c r="D109"/>
  <c r="D125" s="1"/>
  <c r="D132" s="1"/>
  <c r="D130" s="1"/>
  <c r="E90"/>
  <c r="E95"/>
  <c r="E96" s="1"/>
  <c r="E97" s="1"/>
  <c r="J149" i="8"/>
  <c r="M83" s="1"/>
  <c r="D119" i="11"/>
  <c r="D120" s="1"/>
  <c r="D121" s="1"/>
  <c r="H149" i="8"/>
  <c r="J83" s="1"/>
  <c r="X91" i="7"/>
  <c r="M145" i="8"/>
  <c r="J97"/>
  <c r="S98"/>
  <c r="M146"/>
  <c r="E119" i="11"/>
  <c r="D116"/>
  <c r="D117" s="1"/>
  <c r="D118" s="1"/>
  <c r="O600" i="8"/>
  <c r="H600"/>
  <c r="P83"/>
  <c r="Z91" i="7"/>
  <c r="E52" i="11"/>
  <c r="E53" s="1"/>
  <c r="E54" s="1"/>
  <c r="E55"/>
  <c r="E56" s="1"/>
  <c r="E57" s="1"/>
  <c r="G45"/>
  <c r="F44"/>
  <c r="F51" s="1"/>
  <c r="F600" i="8"/>
  <c r="L600"/>
  <c r="G600"/>
  <c r="M600"/>
  <c r="I600"/>
  <c r="D600"/>
  <c r="J600"/>
  <c r="E600"/>
  <c r="N600"/>
  <c r="E77" i="11"/>
  <c r="E78" s="1"/>
  <c r="E74"/>
  <c r="E75" s="1"/>
  <c r="I87"/>
  <c r="G65"/>
  <c r="G72" s="1"/>
  <c r="H66"/>
  <c r="F76"/>
  <c r="F73"/>
  <c r="M144" i="8"/>
  <c r="M100"/>
  <c r="O100" s="1"/>
  <c r="J21" i="10"/>
  <c r="E20"/>
  <c r="F98" i="11"/>
  <c r="F95"/>
  <c r="G90"/>
  <c r="H89"/>
  <c r="H94" s="1"/>
  <c r="J67"/>
  <c r="C142"/>
  <c r="C143" s="1"/>
  <c r="C144" s="1"/>
  <c r="I46"/>
  <c r="K88"/>
  <c r="J86"/>
  <c r="J87" s="1"/>
  <c r="C675" i="8" l="1"/>
  <c r="F110" i="11"/>
  <c r="F108" s="1"/>
  <c r="E108"/>
  <c r="E115" s="1"/>
  <c r="E116" s="1"/>
  <c r="E117" s="1"/>
  <c r="E118" s="1"/>
  <c r="J104"/>
  <c r="I104"/>
  <c r="K97" i="8"/>
  <c r="L97"/>
  <c r="T98"/>
  <c r="U98"/>
  <c r="C449"/>
  <c r="F99" i="11"/>
  <c r="F100" s="1"/>
  <c r="E120"/>
  <c r="E121" s="1"/>
  <c r="J100" i="8"/>
  <c r="F119" i="11"/>
  <c r="F96"/>
  <c r="F97" s="1"/>
  <c r="V91" i="7"/>
  <c r="F55" i="11"/>
  <c r="F56" s="1"/>
  <c r="F57" s="1"/>
  <c r="F77"/>
  <c r="F78" s="1"/>
  <c r="G44"/>
  <c r="F52"/>
  <c r="F53" s="1"/>
  <c r="F54" s="1"/>
  <c r="H45"/>
  <c r="C600" i="8"/>
  <c r="F74" i="11"/>
  <c r="F75" s="1"/>
  <c r="I66"/>
  <c r="H65"/>
  <c r="H72" s="1"/>
  <c r="G73"/>
  <c r="G76"/>
  <c r="C143" i="8"/>
  <c r="K67" i="11"/>
  <c r="H90"/>
  <c r="I89"/>
  <c r="I94" s="1"/>
  <c r="K86"/>
  <c r="K87" s="1"/>
  <c r="L88"/>
  <c r="G95"/>
  <c r="G98"/>
  <c r="J46"/>
  <c r="C141"/>
  <c r="G110" l="1"/>
  <c r="H110" s="1"/>
  <c r="I110" s="1"/>
  <c r="E109"/>
  <c r="E125" s="1"/>
  <c r="E132" s="1"/>
  <c r="E130" s="1"/>
  <c r="G51"/>
  <c r="G52" s="1"/>
  <c r="G53" s="1"/>
  <c r="G54" s="1"/>
  <c r="F109"/>
  <c r="F125" s="1"/>
  <c r="F115"/>
  <c r="F116" s="1"/>
  <c r="F117" s="1"/>
  <c r="F118" s="1"/>
  <c r="D131"/>
  <c r="D138"/>
  <c r="D139" s="1"/>
  <c r="D140" s="1"/>
  <c r="D141" s="1"/>
  <c r="D142"/>
  <c r="D143" s="1"/>
  <c r="D144" s="1"/>
  <c r="K100" i="8"/>
  <c r="L100"/>
  <c r="G99" i="11"/>
  <c r="G100" s="1"/>
  <c r="F120"/>
  <c r="F121" s="1"/>
  <c r="G96"/>
  <c r="G97" s="1"/>
  <c r="I45"/>
  <c r="S100" i="8"/>
  <c r="U100" s="1"/>
  <c r="G55" i="11"/>
  <c r="G56" s="1"/>
  <c r="G57" s="1"/>
  <c r="G77"/>
  <c r="G78" s="1"/>
  <c r="H44"/>
  <c r="G74"/>
  <c r="G75" s="1"/>
  <c r="H73"/>
  <c r="H76"/>
  <c r="I65"/>
  <c r="I72" s="1"/>
  <c r="J66"/>
  <c r="F143" i="8"/>
  <c r="C149"/>
  <c r="I90" i="11"/>
  <c r="J89"/>
  <c r="J94" s="1"/>
  <c r="K46"/>
  <c r="M88"/>
  <c r="L86"/>
  <c r="L87" s="1"/>
  <c r="K104"/>
  <c r="L67"/>
  <c r="H98"/>
  <c r="H95"/>
  <c r="H108" l="1"/>
  <c r="H115" s="1"/>
  <c r="H116" s="1"/>
  <c r="H117" s="1"/>
  <c r="H118" s="1"/>
  <c r="G108"/>
  <c r="G115" s="1"/>
  <c r="G116" s="1"/>
  <c r="G117" s="1"/>
  <c r="G118" s="1"/>
  <c r="H51"/>
  <c r="H52" s="1"/>
  <c r="H53" s="1"/>
  <c r="H54" s="1"/>
  <c r="F132"/>
  <c r="F130" s="1"/>
  <c r="L104"/>
  <c r="E131"/>
  <c r="E138"/>
  <c r="E139" s="1"/>
  <c r="E140" s="1"/>
  <c r="E141" s="1"/>
  <c r="H99"/>
  <c r="H100" s="1"/>
  <c r="E142"/>
  <c r="E143" s="1"/>
  <c r="E144" s="1"/>
  <c r="G119"/>
  <c r="G120" s="1"/>
  <c r="G121" s="1"/>
  <c r="H96"/>
  <c r="H97" s="1"/>
  <c r="J45"/>
  <c r="I44"/>
  <c r="I51" s="1"/>
  <c r="H77"/>
  <c r="H78" s="1"/>
  <c r="H55"/>
  <c r="H56" s="1"/>
  <c r="H57" s="1"/>
  <c r="H74"/>
  <c r="H75" s="1"/>
  <c r="K66"/>
  <c r="J65"/>
  <c r="J72" s="1"/>
  <c r="I76"/>
  <c r="I73"/>
  <c r="K149" i="8"/>
  <c r="D83"/>
  <c r="G149"/>
  <c r="I149"/>
  <c r="E143"/>
  <c r="F149"/>
  <c r="S83" s="1"/>
  <c r="H119" i="11"/>
  <c r="N88"/>
  <c r="M86"/>
  <c r="M87" s="1"/>
  <c r="M67"/>
  <c r="L46"/>
  <c r="K89"/>
  <c r="K94" s="1"/>
  <c r="J90"/>
  <c r="I98"/>
  <c r="I95"/>
  <c r="I108"/>
  <c r="J110"/>
  <c r="H109" l="1"/>
  <c r="H125" s="1"/>
  <c r="G109"/>
  <c r="G125" s="1"/>
  <c r="G132" s="1"/>
  <c r="I109"/>
  <c r="I125" s="1"/>
  <c r="I115"/>
  <c r="I116" s="1"/>
  <c r="I117" s="1"/>
  <c r="I118" s="1"/>
  <c r="N86"/>
  <c r="N87" s="1"/>
  <c r="M104"/>
  <c r="F131"/>
  <c r="F138"/>
  <c r="F139" s="1"/>
  <c r="F140" s="1"/>
  <c r="F141" s="1"/>
  <c r="I99"/>
  <c r="I100" s="1"/>
  <c r="F142"/>
  <c r="F143" s="1"/>
  <c r="F144" s="1"/>
  <c r="H120"/>
  <c r="H121" s="1"/>
  <c r="I55"/>
  <c r="I56" s="1"/>
  <c r="I57" s="1"/>
  <c r="I52"/>
  <c r="I53" s="1"/>
  <c r="I54" s="1"/>
  <c r="I96"/>
  <c r="I97" s="1"/>
  <c r="J44"/>
  <c r="J51" s="1"/>
  <c r="K45"/>
  <c r="L45" s="1"/>
  <c r="I77"/>
  <c r="I78" s="1"/>
  <c r="E149" i="8"/>
  <c r="M149" s="1"/>
  <c r="I74" i="11"/>
  <c r="I75" s="1"/>
  <c r="D776" i="8"/>
  <c r="C774"/>
  <c r="K65" i="11"/>
  <c r="K72" s="1"/>
  <c r="L66"/>
  <c r="J76"/>
  <c r="J73"/>
  <c r="H83" i="8"/>
  <c r="R90" i="7"/>
  <c r="I119" i="11"/>
  <c r="J108"/>
  <c r="K110"/>
  <c r="K90"/>
  <c r="L89"/>
  <c r="N67"/>
  <c r="J98"/>
  <c r="J95"/>
  <c r="M46"/>
  <c r="H132" l="1"/>
  <c r="H130" s="1"/>
  <c r="G130"/>
  <c r="G138" s="1"/>
  <c r="G139" s="1"/>
  <c r="G140" s="1"/>
  <c r="G141" s="1"/>
  <c r="J109"/>
  <c r="J125" s="1"/>
  <c r="J115"/>
  <c r="J116" s="1"/>
  <c r="J117" s="1"/>
  <c r="J118" s="1"/>
  <c r="L94"/>
  <c r="O87"/>
  <c r="G21" s="1"/>
  <c r="G22" s="1"/>
  <c r="G142"/>
  <c r="G143" s="1"/>
  <c r="G144" s="1"/>
  <c r="J99"/>
  <c r="J100" s="1"/>
  <c r="I120"/>
  <c r="I121" s="1"/>
  <c r="E90" i="7"/>
  <c r="N90"/>
  <c r="J90"/>
  <c r="F90"/>
  <c r="M90"/>
  <c r="I90"/>
  <c r="L90"/>
  <c r="H90"/>
  <c r="O90"/>
  <c r="K90"/>
  <c r="G90"/>
  <c r="J55" i="11"/>
  <c r="J56" s="1"/>
  <c r="J57" s="1"/>
  <c r="J96"/>
  <c r="J97" s="1"/>
  <c r="J52"/>
  <c r="J53" s="1"/>
  <c r="J54" s="1"/>
  <c r="K44"/>
  <c r="K51" s="1"/>
  <c r="J74"/>
  <c r="J75" s="1"/>
  <c r="J77"/>
  <c r="J78" s="1"/>
  <c r="T91" i="7"/>
  <c r="D341" i="8"/>
  <c r="D777"/>
  <c r="D778"/>
  <c r="D779" s="1"/>
  <c r="D343"/>
  <c r="N104" i="11"/>
  <c r="K76"/>
  <c r="K73"/>
  <c r="M66"/>
  <c r="L65"/>
  <c r="L72" s="1"/>
  <c r="J119"/>
  <c r="N46"/>
  <c r="K98"/>
  <c r="K95"/>
  <c r="L110"/>
  <c r="K108"/>
  <c r="L90"/>
  <c r="M89"/>
  <c r="M94" s="1"/>
  <c r="L44"/>
  <c r="L51" s="1"/>
  <c r="M45"/>
  <c r="G131" l="1"/>
  <c r="I132"/>
  <c r="J132" s="1"/>
  <c r="K109"/>
  <c r="K125" s="1"/>
  <c r="K115"/>
  <c r="K116" s="1"/>
  <c r="K117" s="1"/>
  <c r="K118" s="1"/>
  <c r="H131"/>
  <c r="H138"/>
  <c r="H139" s="1"/>
  <c r="H140" s="1"/>
  <c r="H141" s="1"/>
  <c r="K99"/>
  <c r="K100" s="1"/>
  <c r="H142"/>
  <c r="H143" s="1"/>
  <c r="H144" s="1"/>
  <c r="J120"/>
  <c r="J121" s="1"/>
  <c r="K55"/>
  <c r="K56" s="1"/>
  <c r="K57" s="1"/>
  <c r="K96"/>
  <c r="K97" s="1"/>
  <c r="K52"/>
  <c r="K53" s="1"/>
  <c r="K54" s="1"/>
  <c r="K77"/>
  <c r="K78" s="1"/>
  <c r="K74"/>
  <c r="K75" s="1"/>
  <c r="D781" i="8"/>
  <c r="D782"/>
  <c r="D783" s="1"/>
  <c r="C547"/>
  <c r="L52" i="11"/>
  <c r="L55"/>
  <c r="L76"/>
  <c r="L73"/>
  <c r="M65"/>
  <c r="M72" s="1"/>
  <c r="N66"/>
  <c r="M44"/>
  <c r="M51" s="1"/>
  <c r="N45"/>
  <c r="N44" s="1"/>
  <c r="K119"/>
  <c r="M110"/>
  <c r="L108"/>
  <c r="M90"/>
  <c r="N89"/>
  <c r="N94" s="1"/>
  <c r="L95"/>
  <c r="L98"/>
  <c r="K132" l="1"/>
  <c r="K130" s="1"/>
  <c r="J130"/>
  <c r="J138" s="1"/>
  <c r="J139" s="1"/>
  <c r="I130"/>
  <c r="I131" s="1"/>
  <c r="L109"/>
  <c r="L125" s="1"/>
  <c r="L115"/>
  <c r="L116" s="1"/>
  <c r="L117" s="1"/>
  <c r="L118" s="1"/>
  <c r="N51"/>
  <c r="L99"/>
  <c r="L100" s="1"/>
  <c r="I142"/>
  <c r="I143" s="1"/>
  <c r="I144" s="1"/>
  <c r="K120"/>
  <c r="K121" s="1"/>
  <c r="L74"/>
  <c r="L75" s="1"/>
  <c r="L96"/>
  <c r="L97" s="1"/>
  <c r="L53"/>
  <c r="L54" s="1"/>
  <c r="L56"/>
  <c r="L57" s="1"/>
  <c r="L77"/>
  <c r="L78" s="1"/>
  <c r="D784" i="8"/>
  <c r="D393" s="1"/>
  <c r="M73" i="11"/>
  <c r="N65"/>
  <c r="M76"/>
  <c r="P71" i="8"/>
  <c r="C472"/>
  <c r="C622"/>
  <c r="C697"/>
  <c r="M71"/>
  <c r="O48" i="11"/>
  <c r="M55"/>
  <c r="M52"/>
  <c r="N90"/>
  <c r="O90" s="1"/>
  <c r="G23" s="1"/>
  <c r="M98"/>
  <c r="M95"/>
  <c r="N110"/>
  <c r="M108"/>
  <c r="J142"/>
  <c r="L119"/>
  <c r="O44"/>
  <c r="O43"/>
  <c r="G14" s="1"/>
  <c r="L132" l="1"/>
  <c r="L130" s="1"/>
  <c r="J131"/>
  <c r="I138"/>
  <c r="I139" s="1"/>
  <c r="I140" s="1"/>
  <c r="I141" s="1"/>
  <c r="N72"/>
  <c r="N73" s="1"/>
  <c r="M109"/>
  <c r="M125" s="1"/>
  <c r="M115"/>
  <c r="M116" s="1"/>
  <c r="M117" s="1"/>
  <c r="M118" s="1"/>
  <c r="K131"/>
  <c r="K138"/>
  <c r="K139" s="1"/>
  <c r="M99"/>
  <c r="M100" s="1"/>
  <c r="J143"/>
  <c r="J144" s="1"/>
  <c r="L120"/>
  <c r="L121" s="1"/>
  <c r="M74"/>
  <c r="M75" s="1"/>
  <c r="M77"/>
  <c r="M78" s="1"/>
  <c r="M96"/>
  <c r="M97" s="1"/>
  <c r="M53"/>
  <c r="M54" s="1"/>
  <c r="M56"/>
  <c r="M57" s="1"/>
  <c r="O65"/>
  <c r="S71" i="8"/>
  <c r="T73"/>
  <c r="D342"/>
  <c r="O64" i="11"/>
  <c r="G15" s="1"/>
  <c r="O69"/>
  <c r="N76"/>
  <c r="N55"/>
  <c r="N52"/>
  <c r="N98"/>
  <c r="N95"/>
  <c r="K142"/>
  <c r="M119"/>
  <c r="N108"/>
  <c r="M132" l="1"/>
  <c r="M130" s="1"/>
  <c r="J140"/>
  <c r="J141" s="1"/>
  <c r="N109"/>
  <c r="O109" s="1"/>
  <c r="N115"/>
  <c r="N116" s="1"/>
  <c r="N117" s="1"/>
  <c r="N118" s="1"/>
  <c r="O118" s="1"/>
  <c r="L131"/>
  <c r="L138"/>
  <c r="L139" s="1"/>
  <c r="N99"/>
  <c r="N100" s="1"/>
  <c r="O100" s="1"/>
  <c r="K143"/>
  <c r="K144" s="1"/>
  <c r="N77"/>
  <c r="N78" s="1"/>
  <c r="O78" s="1"/>
  <c r="M120"/>
  <c r="M121" s="1"/>
  <c r="N74"/>
  <c r="N75" s="1"/>
  <c r="O75" s="1"/>
  <c r="N56"/>
  <c r="N57" s="1"/>
  <c r="O57" s="1"/>
  <c r="N96"/>
  <c r="N97" s="1"/>
  <c r="O97" s="1"/>
  <c r="N53"/>
  <c r="N54" s="1"/>
  <c r="O54" s="1"/>
  <c r="D347" i="8"/>
  <c r="D344"/>
  <c r="D346"/>
  <c r="D345"/>
  <c r="N125" i="11"/>
  <c r="N119"/>
  <c r="L142"/>
  <c r="N132" l="1"/>
  <c r="N130" s="1"/>
  <c r="K140"/>
  <c r="K141" s="1"/>
  <c r="M131"/>
  <c r="M138"/>
  <c r="M139" s="1"/>
  <c r="L143"/>
  <c r="L144" s="1"/>
  <c r="N120"/>
  <c r="N121" s="1"/>
  <c r="O121" s="1"/>
  <c r="D348" i="8"/>
  <c r="M142" i="11"/>
  <c r="L140" l="1"/>
  <c r="L141" s="1"/>
  <c r="N131"/>
  <c r="O131" s="1"/>
  <c r="N138"/>
  <c r="N139" s="1"/>
  <c r="M143"/>
  <c r="M144" s="1"/>
  <c r="N142"/>
  <c r="M140" l="1"/>
  <c r="M141" s="1"/>
  <c r="N143"/>
  <c r="N144" s="1"/>
  <c r="O144" s="1"/>
  <c r="G25" s="1"/>
  <c r="G24" l="1"/>
  <c r="N140"/>
  <c r="N141" s="1"/>
  <c r="O141" s="1"/>
  <c r="E24"/>
  <c r="J71" i="8" l="1"/>
  <c r="E776"/>
  <c r="F776"/>
  <c r="F343" s="1"/>
  <c r="G776"/>
  <c r="G778" s="1"/>
  <c r="G783" s="1"/>
  <c r="G784" s="1"/>
  <c r="H776"/>
  <c r="H778" s="1"/>
  <c r="H783" s="1"/>
  <c r="H784" s="1"/>
  <c r="I776"/>
  <c r="I778" s="1"/>
  <c r="I783" s="1"/>
  <c r="I784" s="1"/>
  <c r="J776"/>
  <c r="J778" s="1"/>
  <c r="J783" s="1"/>
  <c r="J784" s="1"/>
  <c r="K776"/>
  <c r="K778" s="1"/>
  <c r="K783" s="1"/>
  <c r="K784" s="1"/>
  <c r="L776"/>
  <c r="L778" s="1"/>
  <c r="L783" s="1"/>
  <c r="L784" s="1"/>
  <c r="M776"/>
  <c r="M778" s="1"/>
  <c r="M783" s="1"/>
  <c r="M784" s="1"/>
  <c r="N776"/>
  <c r="N778" s="1"/>
  <c r="N783" s="1"/>
  <c r="N784" s="1"/>
  <c r="N73"/>
  <c r="Q73"/>
  <c r="M342" l="1"/>
  <c r="M344" s="1"/>
  <c r="M393"/>
  <c r="I342"/>
  <c r="I344" s="1"/>
  <c r="I393"/>
  <c r="E778"/>
  <c r="E783" s="1"/>
  <c r="E784" s="1"/>
  <c r="E393" s="1"/>
  <c r="L342"/>
  <c r="L344" s="1"/>
  <c r="L393"/>
  <c r="H342"/>
  <c r="H344" s="1"/>
  <c r="H393"/>
  <c r="K342"/>
  <c r="K344" s="1"/>
  <c r="K393"/>
  <c r="G342"/>
  <c r="G344" s="1"/>
  <c r="G393"/>
  <c r="N342"/>
  <c r="N344" s="1"/>
  <c r="N393"/>
  <c r="J342"/>
  <c r="J344" s="1"/>
  <c r="J393"/>
  <c r="I341"/>
  <c r="J341"/>
  <c r="H341"/>
  <c r="J343"/>
  <c r="H343"/>
  <c r="L341"/>
  <c r="I343"/>
  <c r="N341"/>
  <c r="N343"/>
  <c r="G343"/>
  <c r="K341"/>
  <c r="M341"/>
  <c r="M343"/>
  <c r="E341"/>
  <c r="F778"/>
  <c r="F783" s="1"/>
  <c r="F784" s="1"/>
  <c r="G341"/>
  <c r="K343"/>
  <c r="E777"/>
  <c r="F777" s="1"/>
  <c r="G777" s="1"/>
  <c r="H777" s="1"/>
  <c r="I777" s="1"/>
  <c r="J777" s="1"/>
  <c r="K777" s="1"/>
  <c r="L777" s="1"/>
  <c r="M777" s="1"/>
  <c r="N777" s="1"/>
  <c r="L343"/>
  <c r="F341"/>
  <c r="E343"/>
  <c r="K73"/>
  <c r="J345"/>
  <c r="M346"/>
  <c r="O480"/>
  <c r="K346" l="1"/>
  <c r="G347"/>
  <c r="G346"/>
  <c r="H346"/>
  <c r="G345"/>
  <c r="L347"/>
  <c r="N347"/>
  <c r="L346"/>
  <c r="M347"/>
  <c r="L345"/>
  <c r="N346"/>
  <c r="I347"/>
  <c r="I346"/>
  <c r="I345"/>
  <c r="J347"/>
  <c r="J346"/>
  <c r="H345"/>
  <c r="K345"/>
  <c r="N345"/>
  <c r="M345"/>
  <c r="E779"/>
  <c r="F779" s="1"/>
  <c r="G779" s="1"/>
  <c r="H779" s="1"/>
  <c r="I779" s="1"/>
  <c r="J779" s="1"/>
  <c r="K779" s="1"/>
  <c r="L779" s="1"/>
  <c r="M779" s="1"/>
  <c r="N779" s="1"/>
  <c r="H347"/>
  <c r="K347"/>
  <c r="F342"/>
  <c r="F344" s="1"/>
  <c r="F393"/>
  <c r="E342"/>
  <c r="N348" l="1"/>
  <c r="G348"/>
  <c r="L348"/>
  <c r="M348"/>
  <c r="I348"/>
  <c r="J348"/>
  <c r="K348"/>
  <c r="F346"/>
  <c r="H348"/>
  <c r="F347"/>
  <c r="F345"/>
  <c r="E345"/>
  <c r="E346"/>
  <c r="E347"/>
  <c r="E344"/>
  <c r="F348" l="1"/>
  <c r="E348"/>
  <c r="Q77" l="1"/>
  <c r="Q100"/>
  <c r="Q96"/>
  <c r="N96"/>
  <c r="N100"/>
  <c r="T77"/>
  <c r="T96"/>
  <c r="T95"/>
  <c r="T100"/>
  <c r="N480" l="1"/>
  <c r="Q75" i="7" l="1"/>
  <c r="I91" l="1"/>
  <c r="H773" i="8"/>
  <c r="K773"/>
  <c r="L91" i="7"/>
  <c r="E773" i="8"/>
  <c r="F91" i="7"/>
  <c r="F773" i="8"/>
  <c r="G91" i="7"/>
  <c r="N773" i="8"/>
  <c r="O91" i="7"/>
  <c r="H91"/>
  <c r="G773" i="8"/>
  <c r="M773"/>
  <c r="N91" i="7"/>
  <c r="I773" i="8"/>
  <c r="J91" i="7"/>
  <c r="J773" i="8"/>
  <c r="K91" i="7"/>
  <c r="L773" i="8"/>
  <c r="M91" i="7"/>
  <c r="M93" l="1"/>
  <c r="K93"/>
  <c r="N93"/>
  <c r="H93"/>
  <c r="E91"/>
  <c r="D773" i="8"/>
  <c r="I93" i="7"/>
  <c r="O93"/>
  <c r="G93"/>
  <c r="F93"/>
  <c r="L93"/>
  <c r="J93"/>
  <c r="T99" l="1"/>
  <c r="S99" s="1"/>
  <c r="G100"/>
  <c r="J100"/>
  <c r="L100"/>
  <c r="O100"/>
  <c r="I100"/>
  <c r="H100"/>
  <c r="K100"/>
  <c r="M100"/>
  <c r="Z99"/>
  <c r="Y99" s="1"/>
  <c r="F100"/>
  <c r="E93"/>
  <c r="N100"/>
  <c r="V99" l="1"/>
  <c r="U99" s="1"/>
  <c r="X99"/>
  <c r="W99" s="1"/>
  <c r="E100"/>
  <c r="R91" l="1"/>
  <c r="Q74" s="1"/>
  <c r="U90"/>
  <c r="E470" i="8" s="1"/>
  <c r="S90" i="7"/>
  <c r="E695" i="8" s="1"/>
  <c r="Y90" i="7"/>
  <c r="N620" i="8" s="1"/>
  <c r="W90" i="7"/>
  <c r="M545" i="8" s="1"/>
  <c r="P90" i="7"/>
  <c r="S91" l="1"/>
  <c r="Q80"/>
  <c r="O695" i="8"/>
  <c r="P91" i="7"/>
  <c r="D545" i="8"/>
  <c r="D620"/>
  <c r="D695"/>
  <c r="D470"/>
  <c r="N470"/>
  <c r="H470"/>
  <c r="K470"/>
  <c r="J470"/>
  <c r="G470"/>
  <c r="Q90" i="7"/>
  <c r="Y91"/>
  <c r="U91"/>
  <c r="W91"/>
  <c r="H695" i="8"/>
  <c r="G695"/>
  <c r="I695"/>
  <c r="F695"/>
  <c r="N695"/>
  <c r="F545"/>
  <c r="L545"/>
  <c r="H545"/>
  <c r="K545"/>
  <c r="E545"/>
  <c r="J620"/>
  <c r="L620"/>
  <c r="I620"/>
  <c r="G620"/>
  <c r="M620"/>
  <c r="O545"/>
  <c r="O620"/>
  <c r="O773"/>
  <c r="C773" s="1"/>
  <c r="F470"/>
  <c r="I470"/>
  <c r="L470"/>
  <c r="M470"/>
  <c r="Q76" i="7"/>
  <c r="J695" i="8"/>
  <c r="K695"/>
  <c r="L695"/>
  <c r="M695"/>
  <c r="I545"/>
  <c r="G545"/>
  <c r="J545"/>
  <c r="N545"/>
  <c r="H620"/>
  <c r="K620"/>
  <c r="F620"/>
  <c r="E620"/>
  <c r="O470"/>
  <c r="C545" l="1"/>
  <c r="C470"/>
  <c r="C620"/>
  <c r="C695"/>
  <c r="N705" l="1"/>
  <c r="N630"/>
  <c r="N555"/>
  <c r="C745"/>
  <c r="P70" i="7"/>
  <c r="O753" i="8" s="1"/>
  <c r="T70" i="7"/>
  <c r="T93" s="1"/>
  <c r="R62"/>
  <c r="Z70" s="1"/>
  <c r="Z93" s="1"/>
  <c r="P93" l="1"/>
  <c r="P100" s="1"/>
  <c r="D68" i="8"/>
  <c r="V70" i="7"/>
  <c r="V93" s="1"/>
  <c r="R70"/>
  <c r="S62"/>
  <c r="Y62"/>
  <c r="C753" i="8"/>
  <c r="O776"/>
  <c r="R393" s="1"/>
  <c r="S393" s="1"/>
  <c r="Q39" i="7" l="1"/>
  <c r="Q44"/>
  <c r="Q62"/>
  <c r="Q35"/>
  <c r="F593" i="8"/>
  <c r="F601" s="1"/>
  <c r="F624" s="1"/>
  <c r="J593"/>
  <c r="J601" s="1"/>
  <c r="J624" s="1"/>
  <c r="N593"/>
  <c r="N601" s="1"/>
  <c r="N624" s="1"/>
  <c r="G593"/>
  <c r="K593"/>
  <c r="O593"/>
  <c r="O601" s="1"/>
  <c r="O624" s="1"/>
  <c r="E593"/>
  <c r="E601" s="1"/>
  <c r="E624" s="1"/>
  <c r="E323" s="1"/>
  <c r="I593"/>
  <c r="I601" s="1"/>
  <c r="I624" s="1"/>
  <c r="M593"/>
  <c r="M601" s="1"/>
  <c r="M624" s="1"/>
  <c r="D593"/>
  <c r="L593"/>
  <c r="H593"/>
  <c r="H601" s="1"/>
  <c r="H624" s="1"/>
  <c r="F668"/>
  <c r="F676" s="1"/>
  <c r="F699" s="1"/>
  <c r="J668"/>
  <c r="J676" s="1"/>
  <c r="J699" s="1"/>
  <c r="N668"/>
  <c r="N676" s="1"/>
  <c r="N699" s="1"/>
  <c r="L668"/>
  <c r="L676" s="1"/>
  <c r="L699" s="1"/>
  <c r="G668"/>
  <c r="G676" s="1"/>
  <c r="G699" s="1"/>
  <c r="K668"/>
  <c r="K676" s="1"/>
  <c r="K699" s="1"/>
  <c r="O668"/>
  <c r="O676" s="1"/>
  <c r="O699" s="1"/>
  <c r="H668"/>
  <c r="E668"/>
  <c r="E676" s="1"/>
  <c r="E699" s="1"/>
  <c r="I668"/>
  <c r="I676" s="1"/>
  <c r="I699" s="1"/>
  <c r="M668"/>
  <c r="M676" s="1"/>
  <c r="M699" s="1"/>
  <c r="D668"/>
  <c r="R93" i="7"/>
  <c r="Y93" s="1"/>
  <c r="D59" i="8"/>
  <c r="C110"/>
  <c r="H68"/>
  <c r="X70" i="7"/>
  <c r="X93" s="1"/>
  <c r="W62"/>
  <c r="L601" i="8"/>
  <c r="L624" s="1"/>
  <c r="G601"/>
  <c r="G624" s="1"/>
  <c r="K601"/>
  <c r="K624" s="1"/>
  <c r="Q51" i="7"/>
  <c r="Q47"/>
  <c r="Q68"/>
  <c r="Q52"/>
  <c r="Q34"/>
  <c r="Q56"/>
  <c r="Q66"/>
  <c r="Q31"/>
  <c r="Q59"/>
  <c r="Q45"/>
  <c r="Q60"/>
  <c r="Q48"/>
  <c r="Q46"/>
  <c r="Q36"/>
  <c r="Q58"/>
  <c r="Q53"/>
  <c r="S70"/>
  <c r="Y70"/>
  <c r="Q67"/>
  <c r="Q32"/>
  <c r="U70"/>
  <c r="O777" i="8"/>
  <c r="P776"/>
  <c r="R342"/>
  <c r="S342" s="1"/>
  <c r="O341"/>
  <c r="P341" s="1"/>
  <c r="Q341" s="1"/>
  <c r="R341"/>
  <c r="S341" s="1"/>
  <c r="O778"/>
  <c r="R343"/>
  <c r="S343" s="1"/>
  <c r="O343"/>
  <c r="P343" s="1"/>
  <c r="Q343" s="1"/>
  <c r="H676"/>
  <c r="H699" s="1"/>
  <c r="U62" i="7"/>
  <c r="F442" i="8" l="1"/>
  <c r="F450" s="1"/>
  <c r="F474" s="1"/>
  <c r="J442"/>
  <c r="J450" s="1"/>
  <c r="J474" s="1"/>
  <c r="N442"/>
  <c r="N450" s="1"/>
  <c r="N474" s="1"/>
  <c r="H442"/>
  <c r="G442"/>
  <c r="G450" s="1"/>
  <c r="G474" s="1"/>
  <c r="K442"/>
  <c r="K450" s="1"/>
  <c r="K474" s="1"/>
  <c r="O442"/>
  <c r="O450" s="1"/>
  <c r="O474" s="1"/>
  <c r="D442"/>
  <c r="E442"/>
  <c r="E450" s="1"/>
  <c r="E474" s="1"/>
  <c r="I442"/>
  <c r="I450" s="1"/>
  <c r="I474" s="1"/>
  <c r="M442"/>
  <c r="M450" s="1"/>
  <c r="M474" s="1"/>
  <c r="L442"/>
  <c r="L450" s="1"/>
  <c r="L474" s="1"/>
  <c r="F518"/>
  <c r="F526" s="1"/>
  <c r="F549" s="1"/>
  <c r="J518"/>
  <c r="J526" s="1"/>
  <c r="J549" s="1"/>
  <c r="N518"/>
  <c r="N526" s="1"/>
  <c r="N549" s="1"/>
  <c r="G518"/>
  <c r="K518"/>
  <c r="K526" s="1"/>
  <c r="K549" s="1"/>
  <c r="O518"/>
  <c r="O526" s="1"/>
  <c r="O549" s="1"/>
  <c r="E518"/>
  <c r="E526" s="1"/>
  <c r="E549" s="1"/>
  <c r="I518"/>
  <c r="I526" s="1"/>
  <c r="I549" s="1"/>
  <c r="M518"/>
  <c r="M526" s="1"/>
  <c r="M549" s="1"/>
  <c r="D518"/>
  <c r="L518"/>
  <c r="L526" s="1"/>
  <c r="L549" s="1"/>
  <c r="H518"/>
  <c r="H526" s="1"/>
  <c r="H549" s="1"/>
  <c r="T343"/>
  <c r="W93" i="7"/>
  <c r="S93"/>
  <c r="U93"/>
  <c r="E332" i="8"/>
  <c r="E334"/>
  <c r="E701"/>
  <c r="M701"/>
  <c r="M332"/>
  <c r="M334"/>
  <c r="J325"/>
  <c r="J323"/>
  <c r="J626"/>
  <c r="G526"/>
  <c r="G549" s="1"/>
  <c r="C668"/>
  <c r="D676"/>
  <c r="T341"/>
  <c r="G325"/>
  <c r="G626"/>
  <c r="G323"/>
  <c r="N701"/>
  <c r="N334"/>
  <c r="N332"/>
  <c r="L323"/>
  <c r="L626"/>
  <c r="L325"/>
  <c r="M325"/>
  <c r="M626"/>
  <c r="M323"/>
  <c r="I701"/>
  <c r="I332"/>
  <c r="I334"/>
  <c r="F325"/>
  <c r="F626"/>
  <c r="F323"/>
  <c r="F701"/>
  <c r="F334"/>
  <c r="F332"/>
  <c r="O323"/>
  <c r="O325"/>
  <c r="O626"/>
  <c r="H450"/>
  <c r="H474" s="1"/>
  <c r="J334"/>
  <c r="J701"/>
  <c r="J332"/>
  <c r="K626"/>
  <c r="K323"/>
  <c r="K325"/>
  <c r="O779"/>
  <c r="O783"/>
  <c r="P783" s="1"/>
  <c r="P782" s="1"/>
  <c r="O784" s="1"/>
  <c r="O393" s="1"/>
  <c r="P393" s="1"/>
  <c r="Q393" s="1"/>
  <c r="T393" s="1"/>
  <c r="I626"/>
  <c r="I323"/>
  <c r="I325"/>
  <c r="H332"/>
  <c r="H334"/>
  <c r="H701"/>
  <c r="N325"/>
  <c r="N323"/>
  <c r="N626"/>
  <c r="G701"/>
  <c r="G334"/>
  <c r="G332"/>
  <c r="D601"/>
  <c r="C593"/>
  <c r="K334"/>
  <c r="K332"/>
  <c r="K701"/>
  <c r="H323"/>
  <c r="H626"/>
  <c r="H325"/>
  <c r="H59"/>
  <c r="D78"/>
  <c r="L334"/>
  <c r="L332"/>
  <c r="L701"/>
  <c r="O701"/>
  <c r="O334"/>
  <c r="O332"/>
  <c r="E626"/>
  <c r="E325"/>
  <c r="W70" i="7"/>
  <c r="P784" i="8" l="1"/>
  <c r="O342"/>
  <c r="P59"/>
  <c r="J307"/>
  <c r="J309"/>
  <c r="J476"/>
  <c r="L631"/>
  <c r="S59"/>
  <c r="G317"/>
  <c r="G551"/>
  <c r="G315"/>
  <c r="K631"/>
  <c r="L307"/>
  <c r="L476"/>
  <c r="L309"/>
  <c r="N307"/>
  <c r="N476"/>
  <c r="N309"/>
  <c r="D699"/>
  <c r="R384" s="1"/>
  <c r="S384" s="1"/>
  <c r="C676"/>
  <c r="L315"/>
  <c r="L551"/>
  <c r="L317"/>
  <c r="H78"/>
  <c r="D79"/>
  <c r="N631"/>
  <c r="M307"/>
  <c r="M309"/>
  <c r="M476"/>
  <c r="F309"/>
  <c r="F476"/>
  <c r="F307"/>
  <c r="N706"/>
  <c r="H317"/>
  <c r="H315"/>
  <c r="H551"/>
  <c r="J631"/>
  <c r="G307"/>
  <c r="G309"/>
  <c r="G476"/>
  <c r="M631"/>
  <c r="E631"/>
  <c r="K706"/>
  <c r="C442"/>
  <c r="D450"/>
  <c r="M315"/>
  <c r="M551"/>
  <c r="M317"/>
  <c r="M706"/>
  <c r="I317"/>
  <c r="I315"/>
  <c r="I551"/>
  <c r="J706"/>
  <c r="E309"/>
  <c r="E307"/>
  <c r="E476"/>
  <c r="F317"/>
  <c r="F315"/>
  <c r="F551"/>
  <c r="I309"/>
  <c r="I476"/>
  <c r="I307"/>
  <c r="G631"/>
  <c r="K317"/>
  <c r="K315"/>
  <c r="K551"/>
  <c r="O476"/>
  <c r="O309"/>
  <c r="O307"/>
  <c r="F631"/>
  <c r="E317"/>
  <c r="E551"/>
  <c r="E315"/>
  <c r="L706"/>
  <c r="H631"/>
  <c r="H706"/>
  <c r="K309"/>
  <c r="K476"/>
  <c r="K307"/>
  <c r="O631"/>
  <c r="J315"/>
  <c r="J317"/>
  <c r="J551"/>
  <c r="O551"/>
  <c r="O315"/>
  <c r="O317"/>
  <c r="O706"/>
  <c r="D624"/>
  <c r="R375" s="1"/>
  <c r="S375" s="1"/>
  <c r="C601"/>
  <c r="H307"/>
  <c r="H309"/>
  <c r="H476"/>
  <c r="C518"/>
  <c r="D526"/>
  <c r="N317"/>
  <c r="N315"/>
  <c r="N551"/>
  <c r="H481" l="1"/>
  <c r="O481"/>
  <c r="E481"/>
  <c r="G481"/>
  <c r="F481"/>
  <c r="R324"/>
  <c r="S324" s="1"/>
  <c r="P624"/>
  <c r="D625"/>
  <c r="D323"/>
  <c r="P323" s="1"/>
  <c r="D325"/>
  <c r="P325" s="1"/>
  <c r="D626"/>
  <c r="D629" s="1"/>
  <c r="O347"/>
  <c r="P347" s="1"/>
  <c r="O345"/>
  <c r="O344"/>
  <c r="P344" s="1"/>
  <c r="O346"/>
  <c r="P346" s="1"/>
  <c r="C785"/>
  <c r="P342"/>
  <c r="C526"/>
  <c r="D549"/>
  <c r="R367" s="1"/>
  <c r="S367" s="1"/>
  <c r="J556"/>
  <c r="M556"/>
  <c r="M59"/>
  <c r="L556"/>
  <c r="D474"/>
  <c r="C450"/>
  <c r="E75"/>
  <c r="E65"/>
  <c r="E71"/>
  <c r="E74"/>
  <c r="E61"/>
  <c r="E73"/>
  <c r="E78"/>
  <c r="E69"/>
  <c r="E63"/>
  <c r="E66"/>
  <c r="E59"/>
  <c r="H79"/>
  <c r="E77"/>
  <c r="E62"/>
  <c r="D82"/>
  <c r="E67"/>
  <c r="E72"/>
  <c r="E64"/>
  <c r="E68"/>
  <c r="E60"/>
  <c r="J481"/>
  <c r="O556"/>
  <c r="N481"/>
  <c r="P78"/>
  <c r="K481"/>
  <c r="D701"/>
  <c r="D704" s="1"/>
  <c r="P699"/>
  <c r="D332"/>
  <c r="P332" s="1"/>
  <c r="D700"/>
  <c r="R333"/>
  <c r="S333" s="1"/>
  <c r="D334"/>
  <c r="P334" s="1"/>
  <c r="M481"/>
  <c r="N556"/>
  <c r="J59"/>
  <c r="L481"/>
  <c r="S78"/>
  <c r="R359" l="1"/>
  <c r="S359" s="1"/>
  <c r="D309"/>
  <c r="P309" s="1"/>
  <c r="Q309" s="1"/>
  <c r="J78"/>
  <c r="D475"/>
  <c r="D307"/>
  <c r="P307" s="1"/>
  <c r="Q307" s="1"/>
  <c r="R308"/>
  <c r="S308" s="1"/>
  <c r="D476"/>
  <c r="D479" s="1"/>
  <c r="R307"/>
  <c r="S307" s="1"/>
  <c r="R309"/>
  <c r="S309" s="1"/>
  <c r="P474"/>
  <c r="P79"/>
  <c r="D627"/>
  <c r="R316"/>
  <c r="S316" s="1"/>
  <c r="D317"/>
  <c r="P317" s="1"/>
  <c r="D550"/>
  <c r="P549"/>
  <c r="D315"/>
  <c r="P315" s="1"/>
  <c r="D551"/>
  <c r="D554" s="1"/>
  <c r="S79"/>
  <c r="N324"/>
  <c r="O348"/>
  <c r="P348" s="1"/>
  <c r="P345"/>
  <c r="K324"/>
  <c r="E625"/>
  <c r="D702"/>
  <c r="D705" s="1"/>
  <c r="M78"/>
  <c r="L324"/>
  <c r="H82"/>
  <c r="D84"/>
  <c r="M324"/>
  <c r="J324"/>
  <c r="E700"/>
  <c r="C786"/>
  <c r="Q342"/>
  <c r="T342" s="1"/>
  <c r="P774" l="1"/>
  <c r="D706"/>
  <c r="F625"/>
  <c r="N308"/>
  <c r="N329"/>
  <c r="N326"/>
  <c r="N327"/>
  <c r="N328"/>
  <c r="G308"/>
  <c r="E83"/>
  <c r="D87"/>
  <c r="E82"/>
  <c r="H84"/>
  <c r="K326"/>
  <c r="K329"/>
  <c r="K328"/>
  <c r="K327"/>
  <c r="M308"/>
  <c r="L308"/>
  <c r="D477"/>
  <c r="D480" s="1"/>
  <c r="F308"/>
  <c r="T307"/>
  <c r="S82"/>
  <c r="E627"/>
  <c r="E308"/>
  <c r="M79"/>
  <c r="P82"/>
  <c r="J79"/>
  <c r="J308"/>
  <c r="D552"/>
  <c r="M327"/>
  <c r="M328"/>
  <c r="M326"/>
  <c r="M329"/>
  <c r="F700"/>
  <c r="L328"/>
  <c r="L326"/>
  <c r="L327"/>
  <c r="L329"/>
  <c r="J327"/>
  <c r="J328"/>
  <c r="J326"/>
  <c r="J329"/>
  <c r="H308"/>
  <c r="K308"/>
  <c r="N316"/>
  <c r="E702"/>
  <c r="E705" s="1"/>
  <c r="E706" s="1"/>
  <c r="E550"/>
  <c r="M316"/>
  <c r="E475"/>
  <c r="D630"/>
  <c r="T309"/>
  <c r="S84" l="1"/>
  <c r="P84"/>
  <c r="F627"/>
  <c r="H87"/>
  <c r="G311"/>
  <c r="G312"/>
  <c r="G310"/>
  <c r="K311"/>
  <c r="K310"/>
  <c r="K312"/>
  <c r="M311"/>
  <c r="M310"/>
  <c r="M312"/>
  <c r="N318"/>
  <c r="N320"/>
  <c r="N319"/>
  <c r="E552"/>
  <c r="E555" s="1"/>
  <c r="E556" s="1"/>
  <c r="F702"/>
  <c r="F705" s="1"/>
  <c r="F706" s="1"/>
  <c r="J82"/>
  <c r="D555"/>
  <c r="D481"/>
  <c r="M320"/>
  <c r="M319"/>
  <c r="M318"/>
  <c r="G700"/>
  <c r="N312"/>
  <c r="N310"/>
  <c r="N311"/>
  <c r="F475"/>
  <c r="E310"/>
  <c r="E312"/>
  <c r="E311"/>
  <c r="E477"/>
  <c r="G625"/>
  <c r="J310"/>
  <c r="J312"/>
  <c r="J311"/>
  <c r="L312"/>
  <c r="L311"/>
  <c r="L310"/>
  <c r="D631"/>
  <c r="F550"/>
  <c r="H310"/>
  <c r="H311"/>
  <c r="H312"/>
  <c r="M82"/>
  <c r="F310"/>
  <c r="F311"/>
  <c r="F312"/>
  <c r="M330"/>
  <c r="J330"/>
  <c r="L330"/>
  <c r="K330"/>
  <c r="N330"/>
  <c r="J313" l="1"/>
  <c r="P87"/>
  <c r="N321"/>
  <c r="H700"/>
  <c r="M321"/>
  <c r="E313"/>
  <c r="S87"/>
  <c r="D556"/>
  <c r="N313"/>
  <c r="F552"/>
  <c r="F555" s="1"/>
  <c r="F556" s="1"/>
  <c r="L313"/>
  <c r="G702"/>
  <c r="G705" s="1"/>
  <c r="G706" s="1"/>
  <c r="M313"/>
  <c r="J84"/>
  <c r="G550"/>
  <c r="F313"/>
  <c r="F477"/>
  <c r="H313"/>
  <c r="H625"/>
  <c r="G313"/>
  <c r="K313"/>
  <c r="G475"/>
  <c r="G627"/>
  <c r="M84"/>
  <c r="M87" l="1"/>
  <c r="D308"/>
  <c r="G477"/>
  <c r="G552"/>
  <c r="G555" s="1"/>
  <c r="G556" s="1"/>
  <c r="I700"/>
  <c r="H475"/>
  <c r="H627"/>
  <c r="I625"/>
  <c r="H550"/>
  <c r="J87"/>
  <c r="H702"/>
  <c r="K482" l="1"/>
  <c r="K359" s="1"/>
  <c r="H482"/>
  <c r="H359" s="1"/>
  <c r="N482"/>
  <c r="N359" s="1"/>
  <c r="F482"/>
  <c r="F359" s="1"/>
  <c r="G482"/>
  <c r="G359" s="1"/>
  <c r="M482"/>
  <c r="M359" s="1"/>
  <c r="L482"/>
  <c r="L359" s="1"/>
  <c r="J482"/>
  <c r="J359" s="1"/>
  <c r="E482"/>
  <c r="E359" s="1"/>
  <c r="D482"/>
  <c r="D359" s="1"/>
  <c r="U68"/>
  <c r="U64"/>
  <c r="U66"/>
  <c r="U67"/>
  <c r="U72"/>
  <c r="U69"/>
  <c r="U63"/>
  <c r="U65"/>
  <c r="U88"/>
  <c r="U83"/>
  <c r="U71"/>
  <c r="J700"/>
  <c r="J625"/>
  <c r="I550"/>
  <c r="I475"/>
  <c r="D311"/>
  <c r="D312"/>
  <c r="D310"/>
  <c r="I702"/>
  <c r="I705" s="1"/>
  <c r="I706" s="1"/>
  <c r="P706" s="1"/>
  <c r="P705" s="1"/>
  <c r="J19" s="1"/>
  <c r="I627"/>
  <c r="I630" s="1"/>
  <c r="I631" s="1"/>
  <c r="P631" s="1"/>
  <c r="P630" s="1"/>
  <c r="J18" s="1"/>
  <c r="O482"/>
  <c r="O359" s="1"/>
  <c r="H477"/>
  <c r="H552"/>
  <c r="H555" s="1"/>
  <c r="H556" s="1"/>
  <c r="N632" l="1"/>
  <c r="N375" s="1"/>
  <c r="H632"/>
  <c r="G632"/>
  <c r="O632"/>
  <c r="O375" s="1"/>
  <c r="D632"/>
  <c r="M632"/>
  <c r="M375" s="1"/>
  <c r="E632"/>
  <c r="K632"/>
  <c r="K375" s="1"/>
  <c r="F632"/>
  <c r="J632"/>
  <c r="J375" s="1"/>
  <c r="L632"/>
  <c r="L375" s="1"/>
  <c r="I632"/>
  <c r="I324" s="1"/>
  <c r="H375"/>
  <c r="H324"/>
  <c r="G375"/>
  <c r="G324"/>
  <c r="F707"/>
  <c r="L707"/>
  <c r="H707"/>
  <c r="K707"/>
  <c r="E707"/>
  <c r="D707"/>
  <c r="N707"/>
  <c r="G707"/>
  <c r="M707"/>
  <c r="J707"/>
  <c r="O707"/>
  <c r="I707"/>
  <c r="F375"/>
  <c r="F324"/>
  <c r="E375"/>
  <c r="E324"/>
  <c r="D375"/>
  <c r="D324"/>
  <c r="R88"/>
  <c r="R91"/>
  <c r="R71"/>
  <c r="L91"/>
  <c r="L88"/>
  <c r="L83"/>
  <c r="J702"/>
  <c r="D313"/>
  <c r="J627"/>
  <c r="J550"/>
  <c r="K625"/>
  <c r="I552"/>
  <c r="I555" s="1"/>
  <c r="I556" s="1"/>
  <c r="J475"/>
  <c r="K700"/>
  <c r="I477"/>
  <c r="I480" s="1"/>
  <c r="I481" s="1"/>
  <c r="P481" s="1"/>
  <c r="P480" s="1"/>
  <c r="O324"/>
  <c r="O308"/>
  <c r="P632" l="1"/>
  <c r="I375"/>
  <c r="P375" s="1"/>
  <c r="Q375" s="1"/>
  <c r="T375" s="1"/>
  <c r="J16"/>
  <c r="I482"/>
  <c r="I328"/>
  <c r="I326"/>
  <c r="I329"/>
  <c r="I327"/>
  <c r="H329"/>
  <c r="H326"/>
  <c r="H328"/>
  <c r="H327"/>
  <c r="G327"/>
  <c r="G329"/>
  <c r="G328"/>
  <c r="G326"/>
  <c r="L65"/>
  <c r="C633"/>
  <c r="D333"/>
  <c r="D384"/>
  <c r="E384"/>
  <c r="E333"/>
  <c r="F384"/>
  <c r="F333"/>
  <c r="O384"/>
  <c r="O333"/>
  <c r="N384"/>
  <c r="N333"/>
  <c r="M384"/>
  <c r="M333"/>
  <c r="L384"/>
  <c r="L333"/>
  <c r="K384"/>
  <c r="K333"/>
  <c r="J384"/>
  <c r="J333"/>
  <c r="H384"/>
  <c r="H333"/>
  <c r="G384"/>
  <c r="G333"/>
  <c r="I384"/>
  <c r="I333"/>
  <c r="P707"/>
  <c r="L71"/>
  <c r="L72"/>
  <c r="L63"/>
  <c r="L66"/>
  <c r="L62"/>
  <c r="L64"/>
  <c r="L69"/>
  <c r="L67"/>
  <c r="L68"/>
  <c r="F326"/>
  <c r="F329"/>
  <c r="F328"/>
  <c r="F327"/>
  <c r="E326"/>
  <c r="E327"/>
  <c r="E328"/>
  <c r="E329"/>
  <c r="D327"/>
  <c r="D326"/>
  <c r="D329"/>
  <c r="D328"/>
  <c r="O328"/>
  <c r="O326"/>
  <c r="O327"/>
  <c r="O329"/>
  <c r="P324"/>
  <c r="J477"/>
  <c r="K627"/>
  <c r="T65"/>
  <c r="T67"/>
  <c r="T69"/>
  <c r="T88"/>
  <c r="T71"/>
  <c r="T72"/>
  <c r="T66"/>
  <c r="T64"/>
  <c r="T83"/>
  <c r="T63"/>
  <c r="T68"/>
  <c r="L700"/>
  <c r="K702"/>
  <c r="J552"/>
  <c r="K475"/>
  <c r="K550"/>
  <c r="O312"/>
  <c r="O310"/>
  <c r="O311"/>
  <c r="L625"/>
  <c r="I359" l="1"/>
  <c r="P359" s="1"/>
  <c r="Q359" s="1"/>
  <c r="T359" s="1"/>
  <c r="N26" s="1"/>
  <c r="L61" s="1"/>
  <c r="I308"/>
  <c r="P482"/>
  <c r="I330"/>
  <c r="H330"/>
  <c r="G330"/>
  <c r="R61"/>
  <c r="N28"/>
  <c r="D336"/>
  <c r="D338"/>
  <c r="D335"/>
  <c r="D337"/>
  <c r="E337"/>
  <c r="E338"/>
  <c r="E336"/>
  <c r="E335"/>
  <c r="F336"/>
  <c r="F337"/>
  <c r="F335"/>
  <c r="F338"/>
  <c r="O336"/>
  <c r="O337"/>
  <c r="O338"/>
  <c r="O335"/>
  <c r="N336"/>
  <c r="N337"/>
  <c r="N338"/>
  <c r="N335"/>
  <c r="M337"/>
  <c r="M338"/>
  <c r="M335"/>
  <c r="M336"/>
  <c r="L336"/>
  <c r="L337"/>
  <c r="L335"/>
  <c r="L338"/>
  <c r="K338"/>
  <c r="K337"/>
  <c r="K335"/>
  <c r="K336"/>
  <c r="J338"/>
  <c r="J336"/>
  <c r="J337"/>
  <c r="J335"/>
  <c r="P384"/>
  <c r="Q384" s="1"/>
  <c r="T384" s="1"/>
  <c r="N29" s="1"/>
  <c r="H335"/>
  <c r="H338"/>
  <c r="H336"/>
  <c r="H337"/>
  <c r="G337"/>
  <c r="G336"/>
  <c r="G335"/>
  <c r="G338"/>
  <c r="I335"/>
  <c r="I337"/>
  <c r="I338"/>
  <c r="I336"/>
  <c r="P333"/>
  <c r="C708"/>
  <c r="R64"/>
  <c r="R69"/>
  <c r="R68"/>
  <c r="R66"/>
  <c r="R65"/>
  <c r="R62"/>
  <c r="R63"/>
  <c r="R67"/>
  <c r="P326"/>
  <c r="R82"/>
  <c r="R60"/>
  <c r="R59"/>
  <c r="R78"/>
  <c r="R79"/>
  <c r="J28" s="1"/>
  <c r="F330"/>
  <c r="R83"/>
  <c r="R84"/>
  <c r="K28" s="1"/>
  <c r="R87"/>
  <c r="R72"/>
  <c r="E330"/>
  <c r="P329"/>
  <c r="D330"/>
  <c r="K477"/>
  <c r="L702"/>
  <c r="P328"/>
  <c r="L475"/>
  <c r="M625"/>
  <c r="K552"/>
  <c r="K555" s="1"/>
  <c r="K556" s="1"/>
  <c r="O313"/>
  <c r="M700"/>
  <c r="L627"/>
  <c r="L550"/>
  <c r="O330"/>
  <c r="P327"/>
  <c r="C634"/>
  <c r="Q324"/>
  <c r="T324" s="1"/>
  <c r="M28" s="1"/>
  <c r="G18" i="11" s="1"/>
  <c r="U60" i="8" l="1"/>
  <c r="U61"/>
  <c r="L60"/>
  <c r="L59"/>
  <c r="L84"/>
  <c r="K26" s="1"/>
  <c r="L78"/>
  <c r="L87"/>
  <c r="L82"/>
  <c r="L79"/>
  <c r="J26" s="1"/>
  <c r="U79"/>
  <c r="J29" s="1"/>
  <c r="U87"/>
  <c r="U78"/>
  <c r="U62"/>
  <c r="U59"/>
  <c r="U84"/>
  <c r="K29" s="1"/>
  <c r="U82"/>
  <c r="I311"/>
  <c r="I310"/>
  <c r="P310" s="1"/>
  <c r="I312"/>
  <c r="P312" s="1"/>
  <c r="C483"/>
  <c r="P308"/>
  <c r="K339"/>
  <c r="M339"/>
  <c r="E339"/>
  <c r="D339"/>
  <c r="F339"/>
  <c r="O339"/>
  <c r="N339"/>
  <c r="L339"/>
  <c r="P338"/>
  <c r="H339"/>
  <c r="J339"/>
  <c r="P337"/>
  <c r="G339"/>
  <c r="P335"/>
  <c r="I339"/>
  <c r="P336"/>
  <c r="Q333"/>
  <c r="T333" s="1"/>
  <c r="M29" s="1"/>
  <c r="C709"/>
  <c r="P330"/>
  <c r="P556"/>
  <c r="P555" s="1"/>
  <c r="Q59"/>
  <c r="K72"/>
  <c r="K83"/>
  <c r="K71"/>
  <c r="M627"/>
  <c r="L552"/>
  <c r="M702"/>
  <c r="M550"/>
  <c r="M475"/>
  <c r="L477"/>
  <c r="Q65"/>
  <c r="Q66"/>
  <c r="Q67"/>
  <c r="Q72"/>
  <c r="Q60"/>
  <c r="Q63"/>
  <c r="Q71"/>
  <c r="Q61"/>
  <c r="Q69"/>
  <c r="Q64"/>
  <c r="Q91"/>
  <c r="Q83"/>
  <c r="Q62"/>
  <c r="Q88"/>
  <c r="Q68"/>
  <c r="Q78"/>
  <c r="Q79"/>
  <c r="G28" s="1"/>
  <c r="Q82"/>
  <c r="Q84"/>
  <c r="H28" s="1"/>
  <c r="Q87"/>
  <c r="N700"/>
  <c r="N625"/>
  <c r="K91"/>
  <c r="K67"/>
  <c r="K62"/>
  <c r="K63"/>
  <c r="K88"/>
  <c r="K66"/>
  <c r="K65"/>
  <c r="K69"/>
  <c r="K64"/>
  <c r="K68"/>
  <c r="T60" l="1"/>
  <c r="T61"/>
  <c r="T62"/>
  <c r="T78"/>
  <c r="T87"/>
  <c r="T84"/>
  <c r="H29" s="1"/>
  <c r="T59"/>
  <c r="T82"/>
  <c r="T79"/>
  <c r="G29" s="1"/>
  <c r="Q308"/>
  <c r="T308" s="1"/>
  <c r="M26" s="1"/>
  <c r="K61" s="1"/>
  <c r="C484"/>
  <c r="I313"/>
  <c r="P313" s="1"/>
  <c r="P311"/>
  <c r="G19" i="11"/>
  <c r="K557" i="8"/>
  <c r="K367" s="1"/>
  <c r="J17"/>
  <c r="J21" s="1"/>
  <c r="P339"/>
  <c r="M557"/>
  <c r="M367" s="1"/>
  <c r="N557"/>
  <c r="N367" s="1"/>
  <c r="I557"/>
  <c r="J557"/>
  <c r="L557"/>
  <c r="E557"/>
  <c r="D557"/>
  <c r="F557"/>
  <c r="G557"/>
  <c r="H557"/>
  <c r="O557"/>
  <c r="O700"/>
  <c r="O625"/>
  <c r="M477"/>
  <c r="N475"/>
  <c r="N627"/>
  <c r="M552"/>
  <c r="N550"/>
  <c r="N702"/>
  <c r="G16" i="11" l="1"/>
  <c r="K84" i="8"/>
  <c r="H26" s="1"/>
  <c r="K82"/>
  <c r="K79"/>
  <c r="G26" s="1"/>
  <c r="K60"/>
  <c r="K59"/>
  <c r="K87"/>
  <c r="K78"/>
  <c r="K316"/>
  <c r="K319" s="1"/>
  <c r="L367"/>
  <c r="L316"/>
  <c r="J367"/>
  <c r="J316"/>
  <c r="I367"/>
  <c r="I316"/>
  <c r="H316"/>
  <c r="H367"/>
  <c r="G316"/>
  <c r="G367"/>
  <c r="F367"/>
  <c r="F316"/>
  <c r="E367"/>
  <c r="E316"/>
  <c r="D367"/>
  <c r="D316"/>
  <c r="P557"/>
  <c r="O367"/>
  <c r="O316"/>
  <c r="N552"/>
  <c r="N477"/>
  <c r="O550"/>
  <c r="O702"/>
  <c r="O627"/>
  <c r="O475"/>
  <c r="K318" l="1"/>
  <c r="K320"/>
  <c r="K321" s="1"/>
  <c r="L318"/>
  <c r="L320"/>
  <c r="L319"/>
  <c r="P316"/>
  <c r="C559" s="1"/>
  <c r="J318"/>
  <c r="J319"/>
  <c r="J320"/>
  <c r="I318"/>
  <c r="I320"/>
  <c r="I319"/>
  <c r="H318"/>
  <c r="H319"/>
  <c r="H320"/>
  <c r="G318"/>
  <c r="G320"/>
  <c r="G319"/>
  <c r="F319"/>
  <c r="F320"/>
  <c r="F318"/>
  <c r="E318"/>
  <c r="E319"/>
  <c r="E320"/>
  <c r="P367"/>
  <c r="Q367" s="1"/>
  <c r="T367" s="1"/>
  <c r="D318"/>
  <c r="D320"/>
  <c r="D319"/>
  <c r="N27"/>
  <c r="N30" s="1"/>
  <c r="F50" s="1"/>
  <c r="Q316"/>
  <c r="T316" s="1"/>
  <c r="M27" s="1"/>
  <c r="O319"/>
  <c r="C558"/>
  <c r="O320"/>
  <c r="O318"/>
  <c r="O552"/>
  <c r="O477"/>
  <c r="P319" l="1"/>
  <c r="L321"/>
  <c r="G321"/>
  <c r="I321"/>
  <c r="J321"/>
  <c r="H321"/>
  <c r="E321"/>
  <c r="F321"/>
  <c r="P320"/>
  <c r="P318"/>
  <c r="D321"/>
  <c r="G63"/>
  <c r="G98"/>
  <c r="G75"/>
  <c r="G55"/>
  <c r="Y54" s="1"/>
  <c r="G79"/>
  <c r="G69"/>
  <c r="G62"/>
  <c r="G83"/>
  <c r="Y52" s="1"/>
  <c r="G67"/>
  <c r="G71"/>
  <c r="Y50" s="1"/>
  <c r="G99"/>
  <c r="G73"/>
  <c r="G54"/>
  <c r="G84"/>
  <c r="G66"/>
  <c r="G97"/>
  <c r="G77"/>
  <c r="G59"/>
  <c r="G91"/>
  <c r="G64"/>
  <c r="G61"/>
  <c r="G100"/>
  <c r="G78"/>
  <c r="G60"/>
  <c r="G95"/>
  <c r="G72"/>
  <c r="G52"/>
  <c r="G82"/>
  <c r="G68"/>
  <c r="G87"/>
  <c r="G65"/>
  <c r="G96"/>
  <c r="G74"/>
  <c r="G53"/>
  <c r="G17" i="11"/>
  <c r="M30" i="8"/>
  <c r="O321"/>
  <c r="N71"/>
  <c r="N65"/>
  <c r="O65" s="1"/>
  <c r="N66"/>
  <c r="O66" s="1"/>
  <c r="N91"/>
  <c r="O91" s="1"/>
  <c r="N59"/>
  <c r="N68"/>
  <c r="O68" s="1"/>
  <c r="N63"/>
  <c r="O63" s="1"/>
  <c r="N79"/>
  <c r="N62"/>
  <c r="O62" s="1"/>
  <c r="N87"/>
  <c r="N67"/>
  <c r="O67" s="1"/>
  <c r="N60"/>
  <c r="O60" s="1"/>
  <c r="N88"/>
  <c r="O88" s="1"/>
  <c r="N84"/>
  <c r="O84" s="1"/>
  <c r="N72"/>
  <c r="O72" s="1"/>
  <c r="N61"/>
  <c r="O61" s="1"/>
  <c r="N83"/>
  <c r="N78"/>
  <c r="O78" s="1"/>
  <c r="N82"/>
  <c r="O82" s="1"/>
  <c r="N69"/>
  <c r="O69" s="1"/>
  <c r="N64"/>
  <c r="O64" s="1"/>
  <c r="P321" l="1"/>
  <c r="Y51"/>
  <c r="C50"/>
  <c r="H27"/>
  <c r="O87"/>
  <c r="K27" s="1"/>
  <c r="O83"/>
  <c r="O59"/>
  <c r="O71"/>
  <c r="O79"/>
  <c r="J27" s="1"/>
  <c r="G27"/>
  <c r="AB51" l="1"/>
  <c r="AB52" s="1"/>
  <c r="C18"/>
  <c r="I34" s="1"/>
  <c r="C17"/>
  <c r="H30"/>
  <c r="K30"/>
  <c r="G30"/>
  <c r="J30"/>
  <c r="F98"/>
  <c r="F87"/>
  <c r="F82"/>
  <c r="F73"/>
  <c r="F71"/>
  <c r="F64"/>
  <c r="F68"/>
  <c r="F55"/>
  <c r="D39"/>
  <c r="H39"/>
  <c r="L39"/>
  <c r="C39"/>
  <c r="F100"/>
  <c r="F99"/>
  <c r="D88"/>
  <c r="G88" s="1"/>
  <c r="F79"/>
  <c r="F74"/>
  <c r="F61"/>
  <c r="F65"/>
  <c r="F69"/>
  <c r="F54"/>
  <c r="E39"/>
  <c r="I39"/>
  <c r="M39"/>
  <c r="D90"/>
  <c r="G90" s="1"/>
  <c r="F96"/>
  <c r="F95"/>
  <c r="F84"/>
  <c r="F78"/>
  <c r="F75"/>
  <c r="F62"/>
  <c r="F66"/>
  <c r="F60"/>
  <c r="F53"/>
  <c r="F39"/>
  <c r="J39"/>
  <c r="N39"/>
  <c r="D89"/>
  <c r="G89" s="1"/>
  <c r="F97"/>
  <c r="F91"/>
  <c r="F83"/>
  <c r="F77"/>
  <c r="F72"/>
  <c r="F63"/>
  <c r="F67"/>
  <c r="F59"/>
  <c r="F52"/>
  <c r="G39"/>
  <c r="K39"/>
  <c r="D34"/>
  <c r="H34"/>
  <c r="D50"/>
  <c r="C34" l="1"/>
  <c r="N34"/>
  <c r="M34"/>
  <c r="L34"/>
  <c r="G34"/>
  <c r="F34"/>
  <c r="E34"/>
  <c r="K34"/>
  <c r="J34"/>
  <c r="Z57"/>
  <c r="C27" s="1"/>
  <c r="Z58"/>
  <c r="C28" s="1"/>
  <c r="F90"/>
  <c r="F89"/>
  <c r="F88"/>
  <c r="C30"/>
  <c r="C29"/>
  <c r="C19"/>
  <c r="C21" s="1"/>
  <c r="O39"/>
  <c r="G35"/>
  <c r="K35"/>
  <c r="C35"/>
  <c r="C41" s="1"/>
  <c r="H35"/>
  <c r="H41" s="1"/>
  <c r="E35"/>
  <c r="E41" s="1"/>
  <c r="I35"/>
  <c r="I41" s="1"/>
  <c r="M35"/>
  <c r="M41" s="1"/>
  <c r="L35"/>
  <c r="F35"/>
  <c r="J35"/>
  <c r="N35"/>
  <c r="N41" s="1"/>
  <c r="D35"/>
  <c r="D41" s="1"/>
  <c r="M89"/>
  <c r="H89"/>
  <c r="S89"/>
  <c r="J89"/>
  <c r="P89"/>
  <c r="J90"/>
  <c r="P90"/>
  <c r="H90"/>
  <c r="S90"/>
  <c r="M90"/>
  <c r="N90" s="1"/>
  <c r="O90" s="1"/>
  <c r="H88"/>
  <c r="D92"/>
  <c r="F41" l="1"/>
  <c r="G41"/>
  <c r="J41"/>
  <c r="O34"/>
  <c r="K41"/>
  <c r="L41"/>
  <c r="G92"/>
  <c r="I30"/>
  <c r="F92"/>
  <c r="L30"/>
  <c r="P92"/>
  <c r="R92" s="1"/>
  <c r="L28" s="1"/>
  <c r="N89"/>
  <c r="O89" s="1"/>
  <c r="M92"/>
  <c r="J92"/>
  <c r="S92"/>
  <c r="R90"/>
  <c r="Q90"/>
  <c r="U89"/>
  <c r="T89"/>
  <c r="O35"/>
  <c r="L90"/>
  <c r="K90"/>
  <c r="U90"/>
  <c r="T90"/>
  <c r="R89"/>
  <c r="Q89"/>
  <c r="E87"/>
  <c r="H92"/>
  <c r="E88"/>
  <c r="E90"/>
  <c r="E89"/>
  <c r="E91"/>
  <c r="L89"/>
  <c r="K89"/>
  <c r="O41" l="1"/>
  <c r="Q92"/>
  <c r="I28" s="1"/>
  <c r="N92"/>
  <c r="I27" s="1"/>
  <c r="O92"/>
  <c r="L27" s="1"/>
  <c r="U92"/>
  <c r="L29" s="1"/>
  <c r="T92"/>
  <c r="I29" s="1"/>
  <c r="L92"/>
  <c r="L26" s="1"/>
  <c r="K92"/>
  <c r="I26" s="1"/>
  <c r="C44"/>
  <c r="D44" s="1"/>
  <c r="E44" s="1"/>
  <c r="F44" s="1"/>
  <c r="G44" s="1"/>
  <c r="H44" s="1"/>
  <c r="I44" s="1"/>
  <c r="J44" s="1"/>
  <c r="K44" s="1"/>
  <c r="L44" s="1"/>
  <c r="M44" s="1"/>
  <c r="N44" s="1"/>
  <c r="O44" s="1"/>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sharedStrings.xml><?xml version="1.0" encoding="utf-8"?>
<sst xmlns="http://schemas.openxmlformats.org/spreadsheetml/2006/main" count="1518" uniqueCount="512">
  <si>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</si>
  <si>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</si>
  <si>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</si>
  <si>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</si>
  <si>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</si>
  <si>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</si>
  <si>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</si>
  <si>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</si>
  <si>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</si>
  <si>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</si>
  <si>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</si>
  <si>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</si>
  <si>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</si>
  <si>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</si>
  <si>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</si>
  <si>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</si>
  <si>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</si>
  <si>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</si>
  <si>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</si>
  <si>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</si>
  <si>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</si>
  <si>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</si>
  <si>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</si>
  <si>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</si>
  <si>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</si>
  <si>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</si>
  <si>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</si>
  <si>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</si>
  <si>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</si>
  <si>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</si>
  <si>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</si>
  <si>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</si>
  <si>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</si>
  <si>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</si>
  <si>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</si>
  <si>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</si>
  <si>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</si>
  <si>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</si>
  <si>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</si>
  <si>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</si>
  <si>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</si>
  <si>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</si>
  <si>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</si>
  <si>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</si>
  <si>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</si>
  <si>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</si>
  <si>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</si>
  <si>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</si>
  <si>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</si>
  <si>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</si>
  <si>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</si>
  <si>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</si>
  <si>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</si>
  <si>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</si>
  <si>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</si>
  <si>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</si>
  <si>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</si>
  <si>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</si>
  <si>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</si>
  <si>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</si>
  <si>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</si>
  <si>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</si>
  <si>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</si>
  <si>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</si>
  <si>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</si>
  <si>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</si>
  <si>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</si>
  <si>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</si>
  <si>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</si>
  <si>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</si>
  <si>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</si>
  <si>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</si>
  <si>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</si>
  <si>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</si>
  <si>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</si>
  <si>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</si>
  <si>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</si>
  <si>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</si>
  <si>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</si>
  <si>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</si>
  <si>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</si>
  <si>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</si>
  <si>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</si>
  <si>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</si>
  <si>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</si>
  <si>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</si>
  <si>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</si>
  <si>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</si>
  <si>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</si>
  <si>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</si>
  <si>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</si>
  <si>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</si>
  <si>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</si>
  <si>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</si>
  <si>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</si>
  <si>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</si>
  <si>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</si>
  <si>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</si>
  <si>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</si>
  <si>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</si>
  <si>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</si>
  <si>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</si>
  <si>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</si>
  <si>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</si>
  <si>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</si>
  <si>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</si>
  <si>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</si>
  <si>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</si>
  <si>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</si>
  <si>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</si>
  <si>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</si>
  <si>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</si>
  <si>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</si>
  <si>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</si>
  <si>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</si>
  <si>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</si>
  <si>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</si>
  <si>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</si>
  <si>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</si>
  <si>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</si>
  <si>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</si>
  <si>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</si>
  <si>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</si>
  <si>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</si>
  <si>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</si>
  <si>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</si>
  <si>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</si>
  <si>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</si>
  <si>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</si>
  <si>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</si>
  <si>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</si>
  <si>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</si>
  <si>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</si>
  <si>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</si>
  <si>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</si>
  <si>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</si>
  <si>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</si>
  <si>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</si>
  <si>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</si>
  <si>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</si>
  <si>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</si>
  <si>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</si>
  <si>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</si>
  <si>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</si>
  <si>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</si>
  <si>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</si>
  <si>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</si>
  <si>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</si>
  <si>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</si>
  <si>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</si>
  <si>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</si>
  <si>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</si>
  <si>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</si>
  <si>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</si>
  <si>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</si>
  <si>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</si>
  <si>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</si>
  <si>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</si>
  <si>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</si>
  <si>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</si>
  <si>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</si>
  <si>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</si>
  <si>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</si>
  <si>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</si>
  <si>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</si>
  <si>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</si>
  <si>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</si>
  <si>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</si>
  <si>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</si>
  <si>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</si>
  <si>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</si>
  <si>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</si>
  <si>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</si>
  <si>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</si>
  <si>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</si>
  <si>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</si>
  <si>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</si>
  <si>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</si>
  <si>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</si>
  <si>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</si>
  <si>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</si>
  <si>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</si>
  <si>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</si>
  <si>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</si>
  <si>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</si>
  <si>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</si>
  <si>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</si>
  <si>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</si>
  <si>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</si>
  <si>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</si>
  <si>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</si>
  <si>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</si>
  <si>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</si>
  <si>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</si>
  <si>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</si>
  <si>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</si>
  <si>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</si>
  <si>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</si>
  <si>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</si>
  <si>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</si>
  <si>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</si>
  <si>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</si>
  <si>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</si>
  <si>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</si>
  <si>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</si>
  <si>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</si>
  <si>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</si>
  <si>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</si>
  <si>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</si>
  <si>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</si>
  <si>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</si>
  <si>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</si>
  <si>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</si>
  <si>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</si>
  <si>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</si>
  <si>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</si>
  <si>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</si>
  <si>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</si>
  <si>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</si>
  <si>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</si>
  <si>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</si>
  <si>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</si>
  <si>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</si>
  <si>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</si>
  <si>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</si>
  <si>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</si>
  <si>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</si>
  <si>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</si>
  <si>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</si>
  <si>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</si>
  <si>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</si>
  <si>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</si>
  <si>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</si>
  <si>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</si>
  <si>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</si>
  <si>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</si>
  <si>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</si>
  <si>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</si>
  <si>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</si>
  <si>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</si>
  <si>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</si>
  <si>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</si>
  <si>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</si>
  <si>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</si>
  <si>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</si>
  <si>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</si>
  <si>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</si>
  <si>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</si>
  <si>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</si>
  <si>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</si>
  <si>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</si>
  <si>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</si>
  <si>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</si>
  <si>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</si>
  <si>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</si>
  <si>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</si>
  <si>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</si>
  <si>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</si>
  <si>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</si>
  <si>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</si>
  <si>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</si>
  <si>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</si>
  <si>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</si>
  <si>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</si>
  <si>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</si>
  <si>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</si>
  <si>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</si>
  <si>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</si>
  <si>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</si>
  <si>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</si>
  <si>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</si>
  <si>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</si>
  <si>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</si>
  <si>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</si>
  <si>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</si>
  <si>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</si>
  <si>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</si>
  <si>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</si>
  <si>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</si>
  <si>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</si>
  <si>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</si>
  <si>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</si>
  <si>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</si>
  <si>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</si>
  <si>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</si>
  <si>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</si>
  <si>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</si>
  <si>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</si>
  <si>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</si>
  <si>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</si>
  <si>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</si>
  <si>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</si>
  <si>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</si>
  <si>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</si>
  <si>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</si>
  <si>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</si>
  <si>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</si>
  <si>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</si>
  <si>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</si>
  <si>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</si>
  <si>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</si>
  <si>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</si>
  <si>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</si>
  <si>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</si>
  <si>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</si>
  <si>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</si>
  <si>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</si>
  <si>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</si>
  <si>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</si>
  <si>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</si>
  <si>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</si>
  <si>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</si>
  <si>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</si>
  <si>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</si>
  <si>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</si>
  <si>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</si>
  <si>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</si>
  <si>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</si>
  <si>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</si>
  <si>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</si>
  <si>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</si>
  <si>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</si>
  <si>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</si>
  <si>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</si>
  <si>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</si>
  <si>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</si>
  <si>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</si>
  <si>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</si>
  <si>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</si>
  <si>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</si>
  <si>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</si>
  <si>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</si>
  <si>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</si>
  <si>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</si>
  <si>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</si>
  <si>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</si>
  <si>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</si>
  <si>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</si>
  <si>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</si>
  <si>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</si>
  <si>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</si>
  <si>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</si>
  <si>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</si>
  <si>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</si>
  <si>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</si>
  <si>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</si>
  <si>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</si>
  <si>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</si>
  <si>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</si>
  <si>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</si>
  <si>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</si>
  <si>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</si>
  <si>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</si>
  <si>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</si>
  <si>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</si>
  <si>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</si>
  <si>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</si>
  <si>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</si>
  <si>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</si>
  <si>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</si>
  <si>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</si>
  <si>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</si>
  <si>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</si>
  <si>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</si>
  <si>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</si>
  <si>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</si>
  <si>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</si>
  <si>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</si>
  <si>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</si>
  <si>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</si>
  <si>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</si>
  <si>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</si>
  <si>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</si>
  <si>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</si>
  <si>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</si>
  <si>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</si>
  <si>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</si>
  <si>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</si>
  <si>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</si>
  <si>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</si>
  <si>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</si>
  <si>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</si>
  <si>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</si>
  <si>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</si>
  <si>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</si>
  <si>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</si>
  <si>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</si>
  <si>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</si>
  <si>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</si>
  <si>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</si>
  <si>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</si>
  <si>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</si>
  <si>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</si>
  <si>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</si>
  <si>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</si>
  <si>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</si>
  <si>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</si>
  <si>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</si>
  <si>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</si>
  <si>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</si>
  <si>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</si>
  <si>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</si>
  <si>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</si>
  <si>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</si>
  <si>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</si>
  <si>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</si>
  <si>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</si>
  <si>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</si>
  <si>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</si>
  <si>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</si>
  <si>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</si>
  <si>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</si>
  <si>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</si>
  <si>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</si>
  <si>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</si>
  <si>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</si>
  <si>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</si>
  <si>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</si>
  <si>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</si>
  <si>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</si>
  <si>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</si>
  <si>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</si>
  <si>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</si>
  <si>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</si>
  <si>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</si>
  <si>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</si>
  <si>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</si>
  <si>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</si>
  <si>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</si>
  <si>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</si>
  <si>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</si>
  <si>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</si>
  <si>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</si>
  <si>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</si>
  <si>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</si>
  <si>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</si>
  <si>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</si>
  <si>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</si>
  <si>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</si>
  <si>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</si>
  <si>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</si>
  <si>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</si>
  <si>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</si>
  <si>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</si>
  <si>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</si>
  <si>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</si>
  <si>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</si>
  <si>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</si>
  <si>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</si>
  <si>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</si>
  <si>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</si>
  <si>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</si>
  <si>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</si>
  <si>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</si>
  <si>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</si>
  <si>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</si>
  <si>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</si>
  <si>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</si>
  <si>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</si>
  <si>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</si>
  <si>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</si>
  <si>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</si>
  <si>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</si>
  <si>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</si>
  <si>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</si>
  <si>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</si>
  <si>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</si>
  <si>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</si>
  <si>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</si>
  <si>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</si>
  <si>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</si>
  <si>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</si>
  <si>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</si>
  <si>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</si>
  <si>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</si>
  <si>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</si>
  <si>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</si>
  <si>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</si>
  <si>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</si>
  <si>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</si>
  <si>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</si>
  <si>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</si>
  <si>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</si>
  <si>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</si>
  <si>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</si>
  <si>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</si>
  <si>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</si>
  <si>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</si>
  <si>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</si>
  <si>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</si>
  <si>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</si>
  <si>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</si>
  <si>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</si>
  <si>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</si>
  <si>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</si>
  <si>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</si>
  <si>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</si>
  <si>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</si>
  <si>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</si>
  <si>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Rentabilidade Operacional* (%)</t>
  </si>
  <si>
    <t>* não considera Terra</t>
  </si>
  <si>
    <t xml:space="preserve">CUSTO (COE) A SER ATRIBUÍDO EM </t>
  </si>
  <si>
    <t>Pastagem</t>
  </si>
  <si>
    <t>Milheto</t>
  </si>
  <si>
    <t>** com aquisição de animais</t>
  </si>
  <si>
    <t>Técnico responsável</t>
  </si>
  <si>
    <t>RENASCER</t>
  </si>
  <si>
    <t>INDIARA</t>
  </si>
  <si>
    <t>GO</t>
  </si>
  <si>
    <t>AUREA</t>
  </si>
  <si>
    <t>CICLO COMPLETO</t>
  </si>
  <si>
    <t>X</t>
  </si>
</sst>
</file>

<file path=xl/styles.xml><?xml version="1.0" encoding="utf-8"?>
<styleSheet xmlns="http://schemas.openxmlformats.org/spreadsheetml/2006/main">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6">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15" fillId="7" borderId="5" xfId="0" applyFont="1" applyFill="1" applyBorder="1" applyAlignment="1" applyProtection="1">
      <alignment horizontal="left" vertical="center"/>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locked="0"/>
    </xf>
    <xf numFmtId="0" fontId="11" fillId="6" borderId="345" xfId="0" applyFont="1" applyFill="1" applyBorder="1" applyAlignment="1" applyProtection="1">
      <alignment horizontal="center" vertical="center"/>
      <protection locked="0"/>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Separador de milhares"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14"/>
          <c:y val="1.7443441586446676E-2"/>
        </c:manualLayout>
      </c:layout>
    </c:title>
    <c:plotArea>
      <c:layout>
        <c:manualLayout>
          <c:layoutTarget val="inner"/>
          <c:xMode val="edge"/>
          <c:yMode val="edge"/>
          <c:x val="6.9322724389802554E-2"/>
          <c:y val="9.1465974645605283E-2"/>
          <c:w val="0.90960919862377743"/>
          <c:h val="0.81988656666489501"/>
        </c:manualLayout>
      </c:layout>
      <c:barChart>
        <c:barDir val="col"/>
        <c:grouping val="clustered"/>
        <c:ser>
          <c:idx val="0"/>
          <c:order val="0"/>
          <c:tx>
            <c:strRef>
              <c:f>REBANHO!$B$38</c:f>
              <c:strCache>
                <c:ptCount val="1"/>
                <c:pt idx="0">
                  <c:v>CRIA (Bezerros e Bezerras)</c:v>
                </c:pt>
              </c:strCache>
            </c:strRef>
          </c:tx>
          <c:spPr>
            <a:solidFill>
              <a:schemeClr val="tx2">
                <a:lumMod val="40000"/>
                <a:lumOff val="60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215</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0</c:v>
                </c:pt>
                <c:pt idx="1">
                  <c:v>0</c:v>
                </c:pt>
                <c:pt idx="2">
                  <c:v>0</c:v>
                </c:pt>
                <c:pt idx="3">
                  <c:v>0</c:v>
                </c:pt>
                <c:pt idx="4">
                  <c:v>0</c:v>
                </c:pt>
                <c:pt idx="5">
                  <c:v>340</c:v>
                </c:pt>
                <c:pt idx="6">
                  <c:v>0</c:v>
                </c:pt>
                <c:pt idx="7">
                  <c:v>0</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284</c:v>
                </c:pt>
                <c:pt idx="6">
                  <c:v>0</c:v>
                </c:pt>
                <c:pt idx="7">
                  <c:v>0</c:v>
                </c:pt>
                <c:pt idx="8">
                  <c:v>0</c:v>
                </c:pt>
                <c:pt idx="9">
                  <c:v>0</c:v>
                </c:pt>
                <c:pt idx="10">
                  <c:v>0</c:v>
                </c:pt>
                <c:pt idx="11">
                  <c:v>0</c:v>
                </c:pt>
              </c:numCache>
            </c:numRef>
          </c:val>
        </c:ser>
        <c:axId val="126661376"/>
        <c:axId val="126663296"/>
      </c:barChart>
      <c:catAx>
        <c:axId val="126661376"/>
        <c:scaling>
          <c:orientation val="minMax"/>
        </c:scaling>
        <c:axPos val="b"/>
        <c:title>
          <c:tx>
            <c:rich>
              <a:bodyPr/>
              <a:lstStyle/>
              <a:p>
                <a:pPr>
                  <a:defRPr/>
                </a:pPr>
                <a:r>
                  <a:rPr lang="en-US"/>
                  <a:t>Meses</a:t>
                </a:r>
              </a:p>
            </c:rich>
          </c:tx>
          <c:layout/>
        </c:title>
        <c:numFmt formatCode="#,##0;\-#,##0" sourceLinked="1"/>
        <c:tickLblPos val="nextTo"/>
        <c:crossAx val="126663296"/>
        <c:crosses val="autoZero"/>
        <c:auto val="1"/>
        <c:lblAlgn val="ctr"/>
        <c:lblOffset val="100"/>
      </c:catAx>
      <c:valAx>
        <c:axId val="126663296"/>
        <c:scaling>
          <c:orientation val="minMax"/>
        </c:scaling>
        <c:axPos val="l"/>
        <c:title>
          <c:tx>
            <c:rich>
              <a:bodyPr rot="-5400000" vert="horz"/>
              <a:lstStyle/>
              <a:p>
                <a:pPr>
                  <a:defRPr/>
                </a:pPr>
                <a:r>
                  <a:rPr lang="en-US"/>
                  <a:t>Número de animais</a:t>
                </a:r>
              </a:p>
            </c:rich>
          </c:tx>
          <c:layout>
            <c:manualLayout>
              <c:xMode val="edge"/>
              <c:yMode val="edge"/>
              <c:x val="1.2475214910273156E-2"/>
              <c:y val="0.35759567453046581"/>
            </c:manualLayout>
          </c:layout>
        </c:title>
        <c:numFmt formatCode="#,##0_ ;\-#,##0\ " sourceLinked="1"/>
        <c:tickLblPos val="nextTo"/>
        <c:crossAx val="126661376"/>
        <c:crosses val="autoZero"/>
        <c:crossBetween val="between"/>
      </c:valAx>
    </c:plotArea>
    <c:legend>
      <c:legendPos val="r"/>
      <c:layout>
        <c:manualLayout>
          <c:xMode val="edge"/>
          <c:yMode val="edge"/>
          <c:x val="0.12606094743422591"/>
          <c:y val="9.1877791378289567E-2"/>
          <c:w val="0.80113299367485424"/>
          <c:h val="5.9895470353841851E-2"/>
        </c:manualLayout>
      </c:layout>
    </c:legend>
    <c:plotVisOnly val="1"/>
    <c:dispBlanksAs val="gap"/>
  </c:chart>
  <c:spPr>
    <a:ln w="38100" cmpd="dbl">
      <a:solidFill>
        <a:schemeClr val="bg1">
          <a:lumMod val="75000"/>
        </a:schemeClr>
      </a:solidFill>
    </a:ln>
  </c:spPr>
  <c:printSettings>
    <c:headerFooter/>
    <c:pageMargins b="0.78740157499999996" l="0.511811024" r="0.511811024" t="0.78740157499999996" header="0.31496062000000141" footer="0.3149606200000014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400"/>
            </a:pPr>
            <a:r>
              <a:rPr lang="pt-BR" sz="1400"/>
              <a:t>Distribuição do COE  - Categoria*</a:t>
            </a:r>
          </a:p>
        </c:rich>
      </c:tx>
      <c:layout>
        <c:manualLayout>
          <c:xMode val="edge"/>
          <c:yMode val="edge"/>
          <c:x val="5.59930008748908E-2"/>
          <c:y val="2.8474570190936566E-2"/>
        </c:manualLayout>
      </c:layout>
      <c:overlay val="1"/>
    </c:title>
    <c:plotArea>
      <c:layout>
        <c:manualLayout>
          <c:layoutTarget val="inner"/>
          <c:xMode val="edge"/>
          <c:yMode val="edge"/>
          <c:x val="6.4367811270711367E-2"/>
          <c:y val="9.5438388802693008E-2"/>
          <c:w val="0.60758949450208477"/>
          <c:h val="0.86607236277648725"/>
        </c:manualLayout>
      </c:layout>
      <c:pieChart>
        <c:varyColors val="1"/>
        <c:ser>
          <c:idx val="0"/>
          <c:order val="0"/>
          <c:dPt>
            <c:idx val="5"/>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7000</c:v>
                </c:pt>
                <c:pt idx="1">
                  <c:v>300</c:v>
                </c:pt>
                <c:pt idx="2">
                  <c:v>0</c:v>
                </c:pt>
                <c:pt idx="3">
                  <c:v>0</c:v>
                </c:pt>
                <c:pt idx="4">
                  <c:v>0</c:v>
                </c:pt>
                <c:pt idx="5">
                  <c:v>0</c:v>
                </c:pt>
                <c:pt idx="6">
                  <c:v>0</c:v>
                </c:pt>
                <c:pt idx="7">
                  <c:v>0</c:v>
                </c:pt>
                <c:pt idx="8">
                  <c:v>0</c:v>
                </c:pt>
                <c:pt idx="9">
                  <c:v>0</c:v>
                </c:pt>
                <c:pt idx="10">
                  <c:v>0</c:v>
                </c:pt>
              </c:numCache>
            </c:numRef>
          </c:val>
        </c:ser>
        <c:firstSliceAng val="0"/>
      </c:pieChart>
    </c:plotArea>
    <c:legend>
      <c:legendPos val="r"/>
      <c:layout>
        <c:manualLayout>
          <c:xMode val="edge"/>
          <c:yMode val="edge"/>
          <c:x val="0.71055560620199465"/>
          <c:y val="3.3346353252049522E-2"/>
          <c:w val="0.27277773004764189"/>
          <c:h val="0.96665361270798034"/>
        </c:manualLayout>
      </c:layout>
    </c:legend>
    <c:plotVisOnly val="1"/>
    <c:dispBlanksAs val="zero"/>
  </c:chart>
  <c:spPr>
    <a:ln w="38100" cmpd="dbl">
      <a:solidFill>
        <a:schemeClr val="bg1">
          <a:lumMod val="75000"/>
        </a:schemeClr>
      </a:solidFill>
    </a:ln>
  </c:spPr>
  <c:printSettings>
    <c:headerFooter/>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a:pPr>
            <a:r>
              <a:rPr lang="pt-BR"/>
              <a:t>Entradas e saídas da pecuária durante o ano</a:t>
            </a:r>
          </a:p>
        </c:rich>
      </c:tx>
      <c:layout/>
      <c:overlay val="1"/>
    </c:title>
    <c:plotArea>
      <c:layout>
        <c:manualLayout>
          <c:layoutTarget val="inner"/>
          <c:xMode val="edge"/>
          <c:yMode val="edge"/>
          <c:x val="6.2772409471213514E-2"/>
          <c:y val="0.20336573198855817"/>
          <c:w val="0.92404802535651065"/>
          <c:h val="0.68722001722209725"/>
        </c:manualLayout>
      </c:layout>
      <c:barChart>
        <c:barDir val="col"/>
        <c:grouping val="clustered"/>
        <c:ser>
          <c:idx val="0"/>
          <c:order val="0"/>
          <c:tx>
            <c:v>RECEITAS</c:v>
          </c:tx>
          <c:spPr>
            <a:solidFill>
              <a:schemeClr val="accent3">
                <a:lumMod val="60000"/>
                <a:lumOff val="40000"/>
              </a:schemeClr>
            </a:solidFill>
          </c:spPr>
          <c:val>
            <c:numRef>
              <c:f>ENTRADAS!$D$70:$O$70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v>COE</c:v>
          </c:tx>
          <c:spPr>
            <a:solidFill>
              <a:schemeClr val="bg1">
                <a:lumMod val="75000"/>
              </a:schemeClr>
            </a:solidFill>
          </c:spPr>
          <c:val>
            <c:numRef>
              <c:f>SAÍDAS!$E$100:$P$100</c:f>
              <c:numCache>
                <c:formatCode>#,##0.00</c:formatCode>
                <c:ptCount val="12"/>
                <c:pt idx="0">
                  <c:v>0</c:v>
                </c:pt>
                <c:pt idx="1">
                  <c:v>0</c:v>
                </c:pt>
                <c:pt idx="2">
                  <c:v>0</c:v>
                </c:pt>
                <c:pt idx="3">
                  <c:v>0</c:v>
                </c:pt>
                <c:pt idx="4">
                  <c:v>0</c:v>
                </c:pt>
                <c:pt idx="5">
                  <c:v>5300</c:v>
                </c:pt>
                <c:pt idx="6">
                  <c:v>2000</c:v>
                </c:pt>
                <c:pt idx="7">
                  <c:v>0</c:v>
                </c:pt>
                <c:pt idx="8">
                  <c:v>0</c:v>
                </c:pt>
                <c:pt idx="9">
                  <c:v>0</c:v>
                </c:pt>
                <c:pt idx="10">
                  <c:v>0</c:v>
                </c:pt>
                <c:pt idx="11">
                  <c:v>0</c:v>
                </c:pt>
              </c:numCache>
            </c:numRef>
          </c:val>
        </c:ser>
        <c:axId val="136121344"/>
        <c:axId val="136164480"/>
      </c:barChart>
      <c:catAx>
        <c:axId val="136121344"/>
        <c:scaling>
          <c:orientation val="minMax"/>
        </c:scaling>
        <c:axPos val="b"/>
        <c:title>
          <c:tx>
            <c:rich>
              <a:bodyPr/>
              <a:lstStyle/>
              <a:p>
                <a:pPr>
                  <a:defRPr/>
                </a:pPr>
                <a:r>
                  <a:rPr lang="pt-BR"/>
                  <a:t>Meses</a:t>
                </a:r>
              </a:p>
            </c:rich>
          </c:tx>
          <c:layout/>
        </c:title>
        <c:tickLblPos val="nextTo"/>
        <c:crossAx val="136164480"/>
        <c:crosses val="autoZero"/>
        <c:auto val="1"/>
        <c:lblAlgn val="ctr"/>
        <c:lblOffset val="100"/>
      </c:catAx>
      <c:valAx>
        <c:axId val="136164480"/>
        <c:scaling>
          <c:orientation val="minMax"/>
        </c:scaling>
        <c:axPos val="l"/>
        <c:numFmt formatCode="#,##0.00" sourceLinked="1"/>
        <c:tickLblPos val="nextTo"/>
        <c:crossAx val="136121344"/>
        <c:crosses val="autoZero"/>
        <c:crossBetween val="between"/>
      </c:valAx>
    </c:plotArea>
    <c:legend>
      <c:legendPos val="r"/>
      <c:layout>
        <c:manualLayout>
          <c:xMode val="edge"/>
          <c:yMode val="edge"/>
          <c:x val="0.17734490353655227"/>
          <c:y val="0.11906307840012686"/>
          <c:w val="0.61229010152176278"/>
          <c:h val="4.7340381734457239E-2"/>
        </c:manualLayout>
      </c:layout>
    </c:legend>
    <c:plotVisOnly val="1"/>
    <c:dispBlanksAs val="gap"/>
  </c:chart>
  <c:spPr>
    <a:ln w="38100" cmpd="dbl">
      <a:solidFill>
        <a:sysClr val="window" lastClr="FFFFFF">
          <a:lumMod val="75000"/>
        </a:sysClr>
      </a:solidFill>
    </a:ln>
  </c:spPr>
  <c:txPr>
    <a:bodyPr/>
    <a:lstStyle/>
    <a:p>
      <a:pPr>
        <a:defRPr sz="1200"/>
      </a:pPr>
      <a:endParaRPr lang="pt-BR"/>
    </a:p>
  </c:txPr>
  <c:printSettings>
    <c:headerFooter/>
    <c:pageMargins b="0.75000000000000133" l="0.70000000000000062" r="0.70000000000000062" t="0.750000000000001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pt-BR"/>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r>
              <a:rPr lang="pt-BR" sz="1400" b="1" i="0" u="none" strike="noStrike" baseline="0"/>
              <a:t>*</a:t>
            </a:r>
            <a:endParaRPr lang="pt-BR" sz="1400"/>
          </a:p>
        </c:rich>
      </c:tx>
      <c:layout>
        <c:manualLayout>
          <c:xMode val="edge"/>
          <c:yMode val="edge"/>
          <c:x val="5.59930008748908E-2"/>
          <c:y val="2.8474570190936566E-2"/>
        </c:manualLayout>
      </c:layout>
      <c:overlay val="1"/>
    </c:title>
    <c:plotArea>
      <c:layout>
        <c:manualLayout>
          <c:layoutTarget val="inner"/>
          <c:xMode val="edge"/>
          <c:yMode val="edge"/>
          <c:x val="6.4367811270711367E-2"/>
          <c:y val="9.5438388802693008E-2"/>
          <c:w val="0.60758949450208477"/>
          <c:h val="0.86607236277648725"/>
        </c:manualLayout>
      </c:layout>
      <c:pieChart>
        <c:varyColors val="1"/>
        <c:ser>
          <c:idx val="0"/>
          <c:order val="0"/>
          <c:dPt>
            <c:idx val="5"/>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7000</c:v>
                </c:pt>
                <c:pt idx="1">
                  <c:v>300</c:v>
                </c:pt>
                <c:pt idx="2">
                  <c:v>0</c:v>
                </c:pt>
                <c:pt idx="3">
                  <c:v>0</c:v>
                </c:pt>
                <c:pt idx="4">
                  <c:v>0</c:v>
                </c:pt>
                <c:pt idx="5">
                  <c:v>0</c:v>
                </c:pt>
                <c:pt idx="6">
                  <c:v>0</c:v>
                </c:pt>
                <c:pt idx="7">
                  <c:v>0</c:v>
                </c:pt>
                <c:pt idx="8">
                  <c:v>0</c:v>
                </c:pt>
                <c:pt idx="9">
                  <c:v>0</c:v>
                </c:pt>
                <c:pt idx="10">
                  <c:v>0</c:v>
                </c:pt>
                <c:pt idx="11">
                  <c:v>0</c:v>
                </c:pt>
              </c:numCache>
            </c:numRef>
          </c:val>
        </c:ser>
        <c:firstSliceAng val="0"/>
      </c:pieChart>
    </c:plotArea>
    <c:legend>
      <c:legendPos val="r"/>
      <c:layout>
        <c:manualLayout>
          <c:xMode val="edge"/>
          <c:yMode val="edge"/>
          <c:x val="0.71055560620199465"/>
          <c:y val="3.3346353252049522E-2"/>
          <c:w val="0.27277773004764189"/>
          <c:h val="0.96665361270798034"/>
        </c:manualLayout>
      </c:layout>
    </c:legend>
    <c:plotVisOnly val="1"/>
    <c:dispBlanksAs val="zero"/>
  </c:chart>
  <c:spPr>
    <a:ln w="38100" cmpd="dbl">
      <a:solidFill>
        <a:schemeClr val="bg1">
          <a:lumMod val="75000"/>
        </a:schemeClr>
      </a:solidFill>
    </a:ln>
  </c:spPr>
  <c:printSettings>
    <c:headerFooter/>
    <c:pageMargins b="0.75000000000000133" l="0.70000000000000062" r="0.70000000000000062" t="0.7500000000000013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sheetPr codeName="Plan1"/>
  <dimension ref="A1:K39"/>
  <sheetViews>
    <sheetView showGridLines="0" showRowColHeaders="0" zoomScale="90" zoomScaleNormal="90" workbookViewId="0">
      <selection activeCell="J1" sqref="J1"/>
    </sheetView>
  </sheetViews>
  <sheetFormatPr defaultColWidth="0" defaultRowHeight="15" zeroHeight="1"/>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row r="2" spans="2:11" ht="15.75" thickBot="1">
      <c r="B2" s="461"/>
      <c r="C2" s="462"/>
    </row>
    <row r="3" spans="2:11" ht="16.5" thickTop="1" thickBot="1">
      <c r="B3" s="1112" t="s">
        <v>414</v>
      </c>
      <c r="C3" s="1113"/>
      <c r="D3" s="1114"/>
    </row>
    <row r="4" spans="2:11" ht="16.5" thickTop="1" thickBot="1">
      <c r="B4" s="1112" t="s">
        <v>431</v>
      </c>
      <c r="C4" s="1113"/>
      <c r="D4" s="1114"/>
    </row>
    <row r="5" spans="2:11" ht="15.75" thickTop="1"/>
    <row r="6" spans="2:11" ht="82.5" customHeight="1">
      <c r="B6" s="1111" t="s">
        <v>450</v>
      </c>
      <c r="C6" s="1111"/>
      <c r="D6" s="1111"/>
      <c r="E6" s="1111"/>
      <c r="F6" s="1111"/>
      <c r="G6" s="1111"/>
      <c r="H6" s="1111"/>
      <c r="I6" s="1111"/>
      <c r="J6" s="1111"/>
      <c r="K6" s="463"/>
    </row>
    <row r="7" spans="2:11"/>
    <row r="8" spans="2:11">
      <c r="B8" s="460" t="s">
        <v>418</v>
      </c>
    </row>
    <row r="9" spans="2:11">
      <c r="B9" s="464" t="s">
        <v>415</v>
      </c>
    </row>
    <row r="10" spans="2:11">
      <c r="B10" s="464" t="s">
        <v>416</v>
      </c>
    </row>
    <row r="11" spans="2:11">
      <c r="B11" s="464" t="s">
        <v>417</v>
      </c>
    </row>
    <row r="12" spans="2:11"/>
    <row r="13" spans="2:11">
      <c r="B13" s="460" t="s">
        <v>419</v>
      </c>
    </row>
    <row r="14" spans="2:11" ht="33.75" customHeight="1">
      <c r="B14" s="1110" t="s">
        <v>420</v>
      </c>
      <c r="C14" s="1110"/>
      <c r="D14" s="1110"/>
      <c r="E14" s="1110"/>
      <c r="F14" s="1110"/>
      <c r="G14" s="1110"/>
      <c r="H14" s="1110"/>
      <c r="I14" s="1110"/>
      <c r="J14" s="1110"/>
      <c r="K14" s="1110"/>
    </row>
    <row r="15" spans="2:11">
      <c r="B15" s="464" t="s">
        <v>421</v>
      </c>
    </row>
    <row r="16" spans="2:11"/>
    <row r="17" spans="2:2">
      <c r="B17" s="460" t="s">
        <v>422</v>
      </c>
    </row>
    <row r="18" spans="2:2">
      <c r="B18" s="464" t="s">
        <v>423</v>
      </c>
    </row>
    <row r="19" spans="2:2">
      <c r="B19" s="464" t="s">
        <v>451</v>
      </c>
    </row>
    <row r="20" spans="2:2"/>
    <row r="21" spans="2:2">
      <c r="B21" s="460" t="s">
        <v>424</v>
      </c>
    </row>
    <row r="22" spans="2:2">
      <c r="B22" s="464" t="s">
        <v>425</v>
      </c>
    </row>
    <row r="23" spans="2:2">
      <c r="B23" s="464" t="s">
        <v>426</v>
      </c>
    </row>
    <row r="24" spans="2:2">
      <c r="B24" s="464" t="s">
        <v>427</v>
      </c>
    </row>
    <row r="25" spans="2:2"/>
    <row r="26" spans="2:2">
      <c r="B26" s="460" t="s">
        <v>428</v>
      </c>
    </row>
    <row r="27" spans="2:2">
      <c r="B27" s="464" t="s">
        <v>435</v>
      </c>
    </row>
    <row r="28" spans="2:2">
      <c r="B28" s="464" t="s">
        <v>436</v>
      </c>
    </row>
    <row r="29" spans="2:2">
      <c r="B29" s="464" t="s">
        <v>429</v>
      </c>
    </row>
    <row r="30" spans="2:2">
      <c r="B30" s="464" t="s">
        <v>452</v>
      </c>
    </row>
    <row r="31" spans="2:2">
      <c r="B31" s="464"/>
    </row>
    <row r="32" spans="2:2">
      <c r="B32" s="460" t="s">
        <v>433</v>
      </c>
    </row>
    <row r="33" spans="2:10">
      <c r="B33" s="464" t="s">
        <v>434</v>
      </c>
    </row>
    <row r="34" spans="2:10">
      <c r="B34" s="464"/>
    </row>
    <row r="35" spans="2:10" ht="77.25" customHeight="1">
      <c r="B35" s="1111" t="s">
        <v>438</v>
      </c>
      <c r="C35" s="1111"/>
      <c r="D35" s="1111"/>
      <c r="E35" s="1111"/>
      <c r="F35" s="1111"/>
      <c r="G35" s="1111"/>
      <c r="H35" s="1111"/>
      <c r="I35" s="1111"/>
      <c r="J35" s="1111"/>
    </row>
    <row r="36" spans="2:10" ht="61.5" customHeight="1">
      <c r="B36" s="1111" t="s">
        <v>432</v>
      </c>
      <c r="C36" s="1111"/>
      <c r="D36" s="1111"/>
      <c r="E36" s="1111"/>
      <c r="F36" s="1111"/>
      <c r="G36" s="1111"/>
      <c r="H36" s="1111"/>
      <c r="I36" s="1111"/>
      <c r="J36" s="1111"/>
    </row>
    <row r="37" spans="2:10"/>
    <row r="38" spans="2:10">
      <c r="F38" s="464" t="s">
        <v>430</v>
      </c>
    </row>
    <row r="39" spans="2:10"/>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Plan2"/>
  <dimension ref="A1:XFC193"/>
  <sheetViews>
    <sheetView topLeftCell="A46" zoomScale="90" zoomScaleNormal="90" workbookViewId="0">
      <selection activeCell="J44" sqref="J44"/>
    </sheetView>
  </sheetViews>
  <sheetFormatPr defaultColWidth="0" defaultRowHeight="15" zeroHeight="1"/>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c r="B1" s="841"/>
      <c r="T1" s="86"/>
      <c r="U1" s="86"/>
      <c r="V1" s="86"/>
      <c r="W1" s="86"/>
      <c r="X1" s="86"/>
      <c r="Y1" s="86"/>
    </row>
    <row r="2" spans="2:25" s="51" customFormat="1" ht="27.75" thickTop="1" thickBot="1">
      <c r="B2" s="842" t="s">
        <v>21</v>
      </c>
      <c r="C2" s="1149" t="s">
        <v>506</v>
      </c>
      <c r="D2" s="1149"/>
      <c r="E2" s="1149"/>
      <c r="F2" s="1146" t="s">
        <v>120</v>
      </c>
      <c r="G2" s="1146"/>
      <c r="H2" s="1146"/>
      <c r="I2" s="843">
        <v>2016</v>
      </c>
      <c r="J2" s="844"/>
      <c r="K2" s="226">
        <f ca="1">YEAR(TODAY())</f>
        <v>2016</v>
      </c>
      <c r="T2" s="86"/>
      <c r="U2" s="86"/>
      <c r="V2" s="86"/>
      <c r="W2" s="86"/>
      <c r="X2" s="86"/>
      <c r="Y2" s="86"/>
    </row>
    <row r="3" spans="2:25" s="51" customFormat="1" ht="15.75" thickTop="1">
      <c r="B3" s="845" t="s">
        <v>22</v>
      </c>
      <c r="C3" s="1136" t="s">
        <v>507</v>
      </c>
      <c r="D3" s="1136"/>
      <c r="E3" s="1136"/>
      <c r="F3" s="1147" t="s">
        <v>115</v>
      </c>
      <c r="G3" s="1147"/>
      <c r="H3" s="1147"/>
      <c r="I3" s="846"/>
      <c r="J3" s="844"/>
      <c r="K3" s="786"/>
      <c r="T3" s="86"/>
      <c r="U3" s="86"/>
      <c r="V3" s="86"/>
      <c r="W3" s="86"/>
      <c r="X3" s="86"/>
      <c r="Y3" s="86"/>
    </row>
    <row r="4" spans="2:25" s="51" customFormat="1">
      <c r="B4" s="845" t="s">
        <v>23</v>
      </c>
      <c r="C4" s="1136" t="s">
        <v>508</v>
      </c>
      <c r="D4" s="1136"/>
      <c r="E4" s="1136"/>
      <c r="F4" s="1147" t="s">
        <v>116</v>
      </c>
      <c r="G4" s="1147"/>
      <c r="H4" s="1147"/>
      <c r="I4" s="847">
        <v>363</v>
      </c>
      <c r="J4" s="844"/>
      <c r="K4" s="786"/>
      <c r="T4" s="86"/>
      <c r="U4" s="86"/>
      <c r="V4" s="86"/>
      <c r="W4" s="86"/>
      <c r="X4" s="86"/>
      <c r="Y4" s="86"/>
    </row>
    <row r="5" spans="2:25" s="51" customFormat="1">
      <c r="B5" s="845" t="s">
        <v>122</v>
      </c>
      <c r="C5" s="848" t="s">
        <v>509</v>
      </c>
      <c r="D5" s="849"/>
      <c r="E5" s="849"/>
      <c r="F5" s="850" t="s">
        <v>117</v>
      </c>
      <c r="G5" s="850"/>
      <c r="H5" s="850"/>
      <c r="I5" s="847"/>
      <c r="J5" s="844"/>
      <c r="K5" s="786"/>
      <c r="T5" s="86"/>
      <c r="U5" s="86"/>
      <c r="V5" s="86"/>
      <c r="W5" s="86"/>
      <c r="X5" s="86"/>
      <c r="Y5" s="86"/>
    </row>
    <row r="6" spans="2:25" s="51" customFormat="1">
      <c r="B6" s="845" t="s">
        <v>24</v>
      </c>
      <c r="C6" s="1136" t="s">
        <v>510</v>
      </c>
      <c r="D6" s="1136"/>
      <c r="E6" s="1136"/>
      <c r="F6" s="850" t="s">
        <v>118</v>
      </c>
      <c r="G6" s="850"/>
      <c r="H6" s="850"/>
      <c r="I6" s="847"/>
      <c r="J6" s="844"/>
      <c r="K6" s="786"/>
      <c r="T6" s="86"/>
      <c r="U6" s="86"/>
      <c r="V6" s="86"/>
      <c r="W6" s="86"/>
      <c r="X6" s="86"/>
      <c r="Y6" s="86"/>
    </row>
    <row r="7" spans="2:25" s="51" customFormat="1" ht="15.75" thickBot="1">
      <c r="B7" s="851" t="s">
        <v>114</v>
      </c>
      <c r="C7" s="852"/>
      <c r="D7" s="852"/>
      <c r="E7" s="853"/>
      <c r="F7" s="854" t="s">
        <v>287</v>
      </c>
      <c r="G7" s="854"/>
      <c r="H7" s="854"/>
      <c r="I7" s="855">
        <v>6</v>
      </c>
      <c r="J7" s="844"/>
      <c r="K7" s="786"/>
      <c r="M7" s="79"/>
      <c r="N7" s="79"/>
      <c r="O7" s="79"/>
      <c r="P7" s="79"/>
      <c r="Q7" s="79"/>
      <c r="R7" s="79"/>
      <c r="S7" s="79"/>
      <c r="T7" s="786"/>
      <c r="U7" s="786"/>
      <c r="V7" s="786"/>
      <c r="W7" s="786"/>
      <c r="X7" s="86"/>
      <c r="Y7" s="86"/>
    </row>
    <row r="8" spans="2:25" s="51" customFormat="1" ht="15.75" thickTop="1">
      <c r="B8" s="841"/>
      <c r="T8" s="86"/>
      <c r="U8" s="86"/>
      <c r="V8" s="86"/>
      <c r="W8" s="86"/>
      <c r="X8" s="86"/>
      <c r="Y8" s="86"/>
    </row>
    <row r="9" spans="2:25" s="51" customFormat="1">
      <c r="B9" s="1109" t="s">
        <v>505</v>
      </c>
      <c r="C9" s="1144"/>
      <c r="D9" s="1144"/>
      <c r="E9" s="1145"/>
      <c r="T9" s="86"/>
      <c r="U9" s="86"/>
      <c r="V9" s="86"/>
      <c r="W9" s="86"/>
      <c r="X9" s="86"/>
      <c r="Y9" s="86"/>
    </row>
    <row r="10" spans="2:25" s="51" customFormat="1">
      <c r="B10" s="841"/>
      <c r="T10" s="86"/>
      <c r="U10" s="86"/>
      <c r="V10" s="86"/>
      <c r="W10" s="86"/>
      <c r="X10" s="86"/>
      <c r="Y10" s="86"/>
    </row>
    <row r="11" spans="2:25" s="51" customFormat="1">
      <c r="B11" s="841"/>
      <c r="T11" s="86"/>
      <c r="U11" s="86"/>
      <c r="V11" s="86"/>
      <c r="W11" s="86"/>
      <c r="X11" s="86"/>
      <c r="Y11" s="86"/>
    </row>
    <row r="12" spans="2:25" s="51" customFormat="1" ht="15.75" thickBot="1">
      <c r="B12" s="841"/>
      <c r="T12" s="86"/>
      <c r="U12" s="86"/>
      <c r="V12" s="86"/>
      <c r="W12" s="86"/>
      <c r="X12" s="86"/>
      <c r="Y12" s="86"/>
    </row>
    <row r="13" spans="2:25" s="51" customFormat="1" ht="16.5" thickTop="1" thickBot="1">
      <c r="B13" s="841"/>
      <c r="L13" s="1142" t="s">
        <v>479</v>
      </c>
      <c r="M13" s="1143"/>
      <c r="T13" s="86"/>
      <c r="U13" s="86"/>
      <c r="V13" s="86"/>
      <c r="W13" s="86"/>
      <c r="X13" s="86"/>
      <c r="Y13" s="86"/>
    </row>
    <row r="14" spans="2:25" s="51" customFormat="1" ht="16.5" thickTop="1" thickBot="1">
      <c r="B14" s="841"/>
      <c r="L14" s="979"/>
      <c r="T14" s="86"/>
      <c r="U14" s="86"/>
      <c r="V14" s="86"/>
      <c r="W14" s="86"/>
      <c r="X14" s="86"/>
      <c r="Y14" s="86"/>
    </row>
    <row r="15" spans="2:25" s="51" customFormat="1" ht="16.5" thickTop="1" thickBot="1">
      <c r="B15" s="841"/>
      <c r="L15" s="980" t="s">
        <v>465</v>
      </c>
      <c r="M15" s="981" t="s">
        <v>477</v>
      </c>
      <c r="T15" s="86"/>
      <c r="U15" s="86"/>
      <c r="V15" s="86"/>
      <c r="W15" s="86"/>
      <c r="X15" s="86"/>
      <c r="Y15" s="86"/>
    </row>
    <row r="16" spans="2:25" s="51" customFormat="1" ht="15.75" thickTop="1">
      <c r="B16" s="841"/>
      <c r="L16" s="984">
        <v>1</v>
      </c>
      <c r="M16" s="982">
        <f>L16*14.689</f>
        <v>14.689</v>
      </c>
      <c r="T16" s="86"/>
      <c r="U16" s="86"/>
      <c r="V16" s="86"/>
      <c r="W16" s="86"/>
      <c r="X16" s="86"/>
      <c r="Y16" s="86"/>
    </row>
    <row r="17" spans="2:25" s="51" customFormat="1" ht="15.75" thickBot="1">
      <c r="B17" s="841"/>
      <c r="L17" s="983">
        <f>M17/14.689</f>
        <v>39.485329157873238</v>
      </c>
      <c r="M17" s="985">
        <v>580</v>
      </c>
      <c r="T17" s="86"/>
      <c r="U17" s="86"/>
      <c r="V17" s="86"/>
      <c r="W17" s="86"/>
      <c r="X17" s="86"/>
      <c r="Y17" s="86"/>
    </row>
    <row r="18" spans="2:25" s="51" customFormat="1" ht="16.5" thickTop="1" thickBot="1">
      <c r="B18" s="841"/>
      <c r="T18" s="86"/>
      <c r="U18" s="86"/>
      <c r="V18" s="86"/>
      <c r="W18" s="86"/>
      <c r="X18" s="86"/>
      <c r="Y18" s="86"/>
    </row>
    <row r="19" spans="2:25" s="51" customFormat="1" ht="16.5" thickTop="1" thickBot="1">
      <c r="B19" s="841"/>
      <c r="L19" s="980" t="s">
        <v>478</v>
      </c>
      <c r="M19" s="981" t="s">
        <v>491</v>
      </c>
      <c r="T19" s="86"/>
      <c r="U19" s="86"/>
      <c r="V19" s="86"/>
      <c r="W19" s="86"/>
      <c r="X19" s="86"/>
      <c r="Y19" s="86"/>
    </row>
    <row r="20" spans="2:25" s="51" customFormat="1" ht="15.75" thickTop="1">
      <c r="B20" s="841"/>
      <c r="L20" s="984">
        <v>1</v>
      </c>
      <c r="M20" s="1078">
        <f>2.42*L20</f>
        <v>2.42</v>
      </c>
      <c r="T20" s="86"/>
      <c r="U20" s="86"/>
      <c r="V20" s="86"/>
      <c r="W20" s="86"/>
      <c r="X20" s="86"/>
      <c r="Y20" s="86"/>
    </row>
    <row r="21" spans="2:25" s="51" customFormat="1" ht="15.75" thickBot="1">
      <c r="B21" s="841"/>
      <c r="L21" s="1077">
        <f>M21/2.42</f>
        <v>0.41322314049586778</v>
      </c>
      <c r="M21" s="985">
        <v>1</v>
      </c>
      <c r="T21" s="86"/>
      <c r="U21" s="86"/>
      <c r="V21" s="86"/>
      <c r="W21" s="86"/>
      <c r="X21" s="86"/>
      <c r="Y21" s="86"/>
    </row>
    <row r="22" spans="2:25" s="51" customFormat="1" ht="15.75" thickTop="1">
      <c r="B22" s="841"/>
      <c r="T22" s="86"/>
      <c r="U22" s="86"/>
      <c r="V22" s="86"/>
      <c r="W22" s="86"/>
      <c r="X22" s="86"/>
      <c r="Y22" s="86"/>
    </row>
    <row r="23" spans="2:25" s="51" customFormat="1">
      <c r="B23" s="841"/>
      <c r="T23" s="86"/>
      <c r="U23" s="86"/>
      <c r="V23" s="86"/>
      <c r="W23" s="86"/>
      <c r="X23" s="86"/>
      <c r="Y23" s="86"/>
    </row>
    <row r="24" spans="2:25" s="51" customFormat="1">
      <c r="B24" s="841"/>
      <c r="T24" s="86"/>
      <c r="U24" s="86"/>
      <c r="V24" s="86"/>
      <c r="W24" s="86"/>
      <c r="X24" s="86"/>
      <c r="Y24" s="86"/>
    </row>
    <row r="25" spans="2:25" s="51" customFormat="1">
      <c r="B25" s="841"/>
      <c r="T25" s="86"/>
      <c r="U25" s="86"/>
      <c r="V25" s="86"/>
      <c r="W25" s="86"/>
      <c r="X25" s="86"/>
      <c r="Y25" s="86"/>
    </row>
    <row r="26" spans="2:25" s="51" customFormat="1">
      <c r="B26" s="841"/>
      <c r="T26" s="86"/>
      <c r="U26" s="86"/>
      <c r="V26" s="86"/>
      <c r="W26" s="86"/>
      <c r="X26" s="86"/>
      <c r="Y26" s="86"/>
    </row>
    <row r="27" spans="2:25" s="51" customFormat="1">
      <c r="B27" s="841"/>
      <c r="T27" s="86"/>
      <c r="U27" s="86"/>
      <c r="V27" s="86"/>
      <c r="W27" s="86"/>
      <c r="X27" s="86"/>
      <c r="Y27" s="86"/>
    </row>
    <row r="28" spans="2:25" s="51" customFormat="1">
      <c r="B28" s="841"/>
      <c r="T28" s="86"/>
      <c r="U28" s="86"/>
      <c r="V28" s="86"/>
      <c r="W28" s="86"/>
      <c r="X28" s="86"/>
      <c r="Y28" s="86"/>
    </row>
    <row r="29" spans="2:25" s="51" customFormat="1">
      <c r="B29" s="841"/>
      <c r="T29" s="86"/>
      <c r="U29" s="86"/>
      <c r="V29" s="86"/>
      <c r="W29" s="86"/>
      <c r="X29" s="86"/>
      <c r="Y29" s="86"/>
    </row>
    <row r="30" spans="2:25" s="51" customFormat="1">
      <c r="B30" s="841"/>
      <c r="T30" s="86"/>
      <c r="U30" s="86"/>
      <c r="V30" s="86"/>
      <c r="W30" s="86"/>
      <c r="X30" s="86"/>
      <c r="Y30" s="86"/>
    </row>
    <row r="31" spans="2:25" s="51" customFormat="1">
      <c r="B31" s="456"/>
      <c r="C31" s="844"/>
      <c r="D31" s="844"/>
      <c r="T31" s="86"/>
      <c r="U31" s="86"/>
      <c r="V31" s="86"/>
      <c r="W31" s="86"/>
      <c r="X31" s="86"/>
      <c r="Y31" s="86"/>
    </row>
    <row r="32" spans="2:25" s="51" customFormat="1">
      <c r="B32" s="456"/>
      <c r="C32" s="844"/>
      <c r="D32" s="844"/>
      <c r="T32" s="86"/>
      <c r="U32" s="86"/>
      <c r="V32" s="86"/>
      <c r="W32" s="86"/>
      <c r="X32" s="86"/>
      <c r="Y32" s="86"/>
    </row>
    <row r="33" spans="2:25" s="51" customFormat="1">
      <c r="B33" s="456"/>
      <c r="C33" s="844"/>
      <c r="D33" s="844"/>
      <c r="T33" s="86"/>
      <c r="U33" s="86"/>
      <c r="V33" s="86"/>
      <c r="W33" s="86"/>
      <c r="X33" s="86"/>
      <c r="Y33" s="86"/>
    </row>
    <row r="34" spans="2:25" s="51" customFormat="1">
      <c r="B34" s="456"/>
      <c r="C34" s="844"/>
      <c r="D34" s="844"/>
      <c r="T34" s="86"/>
      <c r="U34" s="86"/>
      <c r="V34" s="86"/>
      <c r="W34" s="86"/>
      <c r="X34" s="86"/>
      <c r="Y34" s="86"/>
    </row>
    <row r="35" spans="2:25" s="51" customFormat="1" ht="15.75" thickBot="1">
      <c r="B35" s="456"/>
      <c r="C35" s="844"/>
      <c r="D35" s="844"/>
      <c r="T35" s="86"/>
      <c r="U35" s="86"/>
      <c r="V35" s="86"/>
      <c r="W35" s="86"/>
      <c r="X35" s="86"/>
      <c r="Y35" s="86"/>
    </row>
    <row r="36" spans="2:25" s="51" customFormat="1" ht="27" thickTop="1">
      <c r="B36" s="1137" t="s">
        <v>27</v>
      </c>
      <c r="C36" s="1138"/>
      <c r="D36" s="1138"/>
      <c r="E36" s="1138"/>
      <c r="F36" s="1138"/>
      <c r="G36" s="1138"/>
      <c r="H36" s="1138"/>
      <c r="I36" s="1138"/>
      <c r="J36" s="1138"/>
      <c r="K36" s="1138"/>
      <c r="L36" s="1138"/>
      <c r="M36" s="1138"/>
      <c r="N36" s="1138"/>
      <c r="O36" s="1138"/>
      <c r="P36" s="1138"/>
      <c r="Q36" s="1139"/>
      <c r="T36" s="86"/>
      <c r="U36" s="86"/>
      <c r="V36" s="86"/>
      <c r="W36" s="86"/>
      <c r="X36" s="86"/>
      <c r="Y36" s="86"/>
    </row>
    <row r="37" spans="2:25" s="51" customFormat="1" ht="49.5" customHeight="1" thickBot="1">
      <c r="B37" s="856" t="s">
        <v>108</v>
      </c>
      <c r="C37" s="1140">
        <f>IF(I2="","",I2)</f>
        <v>2016</v>
      </c>
      <c r="D37" s="1140"/>
      <c r="E37" s="857" t="s">
        <v>0</v>
      </c>
      <c r="F37" s="857" t="s">
        <v>1</v>
      </c>
      <c r="G37" s="857" t="s">
        <v>2</v>
      </c>
      <c r="H37" s="857" t="s">
        <v>3</v>
      </c>
      <c r="I37" s="857" t="s">
        <v>4</v>
      </c>
      <c r="J37" s="857" t="s">
        <v>5</v>
      </c>
      <c r="K37" s="857" t="s">
        <v>6</v>
      </c>
      <c r="L37" s="857" t="s">
        <v>7</v>
      </c>
      <c r="M37" s="857" t="s">
        <v>8</v>
      </c>
      <c r="N37" s="857" t="s">
        <v>9</v>
      </c>
      <c r="O37" s="857" t="s">
        <v>10</v>
      </c>
      <c r="P37" s="858" t="s">
        <v>11</v>
      </c>
      <c r="Q37" s="859" t="s">
        <v>302</v>
      </c>
      <c r="R37" s="79"/>
      <c r="S37" s="79"/>
      <c r="T37" s="86"/>
      <c r="U37" s="86"/>
      <c r="V37" s="86"/>
      <c r="W37" s="86"/>
      <c r="X37" s="86"/>
      <c r="Y37" s="86"/>
    </row>
    <row r="38" spans="2:25" s="51" customFormat="1" ht="18" customHeight="1" thickTop="1">
      <c r="B38" s="1123" t="s">
        <v>225</v>
      </c>
      <c r="C38" s="1115" t="s">
        <v>110</v>
      </c>
      <c r="D38" s="860" t="s">
        <v>111</v>
      </c>
      <c r="E38" s="861"/>
      <c r="F38" s="861"/>
      <c r="G38" s="861"/>
      <c r="H38" s="861"/>
      <c r="I38" s="861"/>
      <c r="J38" s="861">
        <v>108</v>
      </c>
      <c r="K38" s="861"/>
      <c r="L38" s="861"/>
      <c r="M38" s="861"/>
      <c r="N38" s="861"/>
      <c r="O38" s="861"/>
      <c r="P38" s="862"/>
      <c r="Q38" s="863"/>
      <c r="R38" s="864"/>
      <c r="S38" s="865"/>
      <c r="T38" s="86"/>
      <c r="U38" s="86"/>
      <c r="V38" s="86"/>
      <c r="W38" s="86"/>
      <c r="X38" s="86"/>
      <c r="Y38" s="86"/>
    </row>
    <row r="39" spans="2:25" s="51" customFormat="1" ht="18" customHeight="1">
      <c r="B39" s="1124"/>
      <c r="C39" s="1116"/>
      <c r="D39" s="866" t="s">
        <v>112</v>
      </c>
      <c r="E39" s="867"/>
      <c r="F39" s="867"/>
      <c r="G39" s="867"/>
      <c r="H39" s="867"/>
      <c r="I39" s="867"/>
      <c r="J39" s="867">
        <v>150</v>
      </c>
      <c r="K39" s="867"/>
      <c r="L39" s="867"/>
      <c r="M39" s="867"/>
      <c r="N39" s="867"/>
      <c r="O39" s="867"/>
      <c r="P39" s="868"/>
      <c r="Q39" s="869">
        <f>P38*Q38</f>
        <v>0</v>
      </c>
      <c r="R39" s="864"/>
      <c r="S39" s="782"/>
      <c r="T39" s="86"/>
      <c r="U39" s="86"/>
      <c r="V39" s="86"/>
      <c r="W39" s="86"/>
      <c r="X39" s="86"/>
      <c r="Y39" s="86"/>
    </row>
    <row r="40" spans="2:25" s="51" customFormat="1" ht="18" customHeight="1">
      <c r="B40" s="1124"/>
      <c r="C40" s="1116" t="s">
        <v>109</v>
      </c>
      <c r="D40" s="866" t="s">
        <v>15</v>
      </c>
      <c r="E40" s="870"/>
      <c r="F40" s="870"/>
      <c r="G40" s="870"/>
      <c r="H40" s="870"/>
      <c r="I40" s="870"/>
      <c r="J40" s="870">
        <v>107</v>
      </c>
      <c r="K40" s="870"/>
      <c r="L40" s="870"/>
      <c r="M40" s="870"/>
      <c r="N40" s="870"/>
      <c r="O40" s="870"/>
      <c r="P40" s="871"/>
      <c r="Q40" s="872"/>
      <c r="R40" s="864"/>
      <c r="S40" s="873"/>
      <c r="T40" s="86"/>
      <c r="U40" s="86"/>
      <c r="V40" s="86"/>
      <c r="W40" s="86"/>
      <c r="X40" s="86"/>
      <c r="Y40" s="86"/>
    </row>
    <row r="41" spans="2:25" s="51" customFormat="1" ht="18" customHeight="1">
      <c r="B41" s="1124"/>
      <c r="C41" s="1116"/>
      <c r="D41" s="866" t="s">
        <v>112</v>
      </c>
      <c r="E41" s="867"/>
      <c r="F41" s="867"/>
      <c r="G41" s="867"/>
      <c r="H41" s="867"/>
      <c r="I41" s="867"/>
      <c r="J41" s="867">
        <v>160</v>
      </c>
      <c r="K41" s="867"/>
      <c r="L41" s="867"/>
      <c r="M41" s="867"/>
      <c r="N41" s="867"/>
      <c r="O41" s="867"/>
      <c r="P41" s="868"/>
      <c r="Q41" s="869">
        <f>P40*Q40</f>
        <v>0</v>
      </c>
      <c r="R41" s="864" t="s">
        <v>259</v>
      </c>
      <c r="S41" s="782" t="s">
        <v>250</v>
      </c>
      <c r="T41" s="86"/>
      <c r="U41" s="86"/>
      <c r="V41" s="86"/>
      <c r="W41" s="86"/>
      <c r="X41" s="86"/>
      <c r="Y41" s="86"/>
    </row>
    <row r="42" spans="2:25" s="51" customFormat="1" ht="16.5" customHeight="1" thickBot="1">
      <c r="B42" s="1125"/>
      <c r="C42" s="1116" t="s">
        <v>299</v>
      </c>
      <c r="D42" s="1116"/>
      <c r="E42" s="874" t="str">
        <f t="shared" ref="E42:P42" si="0">IF(AND(E38="",E40=""),"",SUM(E38,E40))</f>
        <v/>
      </c>
      <c r="F42" s="874" t="str">
        <f t="shared" si="0"/>
        <v/>
      </c>
      <c r="G42" s="874" t="str">
        <f t="shared" si="0"/>
        <v/>
      </c>
      <c r="H42" s="874" t="str">
        <f t="shared" si="0"/>
        <v/>
      </c>
      <c r="I42" s="874" t="str">
        <f t="shared" si="0"/>
        <v/>
      </c>
      <c r="J42" s="874">
        <f t="shared" si="0"/>
        <v>215</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215</v>
      </c>
      <c r="S42" s="864" t="e">
        <f>IF(SUM('ÍNDICES ZOOTÉCNICOS'!#REF!)=0,0,AVERAGE('ÍNDICES ZOOTÉCNICOS'!#REF!))</f>
        <v>#REF!</v>
      </c>
      <c r="T42" s="86"/>
      <c r="U42" s="86"/>
      <c r="V42" s="86"/>
      <c r="W42" s="86"/>
      <c r="X42" s="86"/>
      <c r="Y42" s="86"/>
    </row>
    <row r="43" spans="2:25" s="51" customFormat="1" ht="18" customHeight="1" thickTop="1">
      <c r="B43" s="1123" t="s">
        <v>13</v>
      </c>
      <c r="C43" s="1148" t="s">
        <v>110</v>
      </c>
      <c r="D43" s="860" t="s">
        <v>111</v>
      </c>
      <c r="E43" s="861"/>
      <c r="F43" s="861"/>
      <c r="G43" s="861"/>
      <c r="H43" s="861"/>
      <c r="I43" s="861"/>
      <c r="J43" s="861">
        <f>134+136+36</f>
        <v>306</v>
      </c>
      <c r="K43" s="861"/>
      <c r="L43" s="861"/>
      <c r="M43" s="861"/>
      <c r="N43" s="861"/>
      <c r="O43" s="861"/>
      <c r="P43" s="862"/>
      <c r="Q43" s="863"/>
      <c r="R43" s="864"/>
      <c r="S43" s="873"/>
      <c r="T43" s="86"/>
      <c r="U43" s="86"/>
      <c r="V43" s="86"/>
      <c r="W43" s="86"/>
      <c r="X43" s="86"/>
      <c r="Y43" s="86"/>
    </row>
    <row r="44" spans="2:25" s="51" customFormat="1" ht="18" customHeight="1">
      <c r="B44" s="1124"/>
      <c r="C44" s="1116"/>
      <c r="D44" s="866" t="s">
        <v>112</v>
      </c>
      <c r="E44" s="867"/>
      <c r="F44" s="867"/>
      <c r="G44" s="867"/>
      <c r="H44" s="867"/>
      <c r="I44" s="867"/>
      <c r="J44" s="867">
        <v>230</v>
      </c>
      <c r="K44" s="867"/>
      <c r="L44" s="867"/>
      <c r="M44" s="867"/>
      <c r="N44" s="867"/>
      <c r="O44" s="867"/>
      <c r="P44" s="868"/>
      <c r="Q44" s="869">
        <f>P43*Q43</f>
        <v>0</v>
      </c>
      <c r="R44" s="864"/>
      <c r="S44" s="782"/>
      <c r="T44" s="86"/>
      <c r="U44" s="86"/>
      <c r="V44" s="86"/>
      <c r="W44" s="86"/>
      <c r="X44" s="86"/>
      <c r="Y44" s="86"/>
    </row>
    <row r="45" spans="2:25" s="51" customFormat="1" ht="18" customHeight="1">
      <c r="B45" s="1124"/>
      <c r="C45" s="1116" t="s">
        <v>109</v>
      </c>
      <c r="D45" s="866" t="s">
        <v>15</v>
      </c>
      <c r="E45" s="870"/>
      <c r="F45" s="870"/>
      <c r="G45" s="870"/>
      <c r="H45" s="870"/>
      <c r="I45" s="870"/>
      <c r="J45" s="870">
        <v>34</v>
      </c>
      <c r="K45" s="870"/>
      <c r="L45" s="870"/>
      <c r="M45" s="870"/>
      <c r="N45" s="870"/>
      <c r="O45" s="870"/>
      <c r="P45" s="871"/>
      <c r="Q45" s="872"/>
      <c r="R45" s="864"/>
      <c r="S45" s="873"/>
      <c r="T45" s="86"/>
      <c r="U45" s="86"/>
      <c r="V45" s="86"/>
      <c r="W45" s="86"/>
      <c r="X45" s="86"/>
      <c r="Y45" s="86"/>
    </row>
    <row r="46" spans="2:25" s="51" customFormat="1" ht="18" customHeight="1">
      <c r="B46" s="1124"/>
      <c r="C46" s="1116"/>
      <c r="D46" s="866" t="s">
        <v>112</v>
      </c>
      <c r="E46" s="867"/>
      <c r="F46" s="867"/>
      <c r="G46" s="867"/>
      <c r="H46" s="867"/>
      <c r="I46" s="867"/>
      <c r="J46" s="867">
        <v>250</v>
      </c>
      <c r="K46" s="867"/>
      <c r="L46" s="867"/>
      <c r="M46" s="867"/>
      <c r="N46" s="867"/>
      <c r="O46" s="867"/>
      <c r="P46" s="868"/>
      <c r="Q46" s="869">
        <f>P45*Q45</f>
        <v>0</v>
      </c>
      <c r="R46" s="864"/>
      <c r="S46" s="782"/>
      <c r="T46" s="86"/>
      <c r="U46" s="86"/>
      <c r="V46" s="86"/>
      <c r="W46" s="86"/>
      <c r="X46" s="86"/>
      <c r="Y46" s="86"/>
    </row>
    <row r="47" spans="2:25" s="51" customFormat="1" ht="18" customHeight="1" thickBot="1">
      <c r="B47" s="1125"/>
      <c r="C47" s="1141" t="s">
        <v>299</v>
      </c>
      <c r="D47" s="1141"/>
      <c r="E47" s="877" t="str">
        <f t="shared" ref="E47:P47" si="1">IF(AND(E43="",E45=""),"",SUM(E43,E45))</f>
        <v/>
      </c>
      <c r="F47" s="877" t="str">
        <f t="shared" si="1"/>
        <v/>
      </c>
      <c r="G47" s="877" t="str">
        <f t="shared" si="1"/>
        <v/>
      </c>
      <c r="H47" s="877" t="str">
        <f t="shared" si="1"/>
        <v/>
      </c>
      <c r="I47" s="877" t="str">
        <f t="shared" si="1"/>
        <v/>
      </c>
      <c r="J47" s="877">
        <f t="shared" si="1"/>
        <v>340</v>
      </c>
      <c r="K47" s="877" t="str">
        <f t="shared" si="1"/>
        <v/>
      </c>
      <c r="L47" s="877" t="str">
        <f t="shared" si="1"/>
        <v/>
      </c>
      <c r="M47" s="877" t="str">
        <f t="shared" si="1"/>
        <v/>
      </c>
      <c r="N47" s="877" t="str">
        <f t="shared" si="1"/>
        <v/>
      </c>
      <c r="O47" s="877" t="str">
        <f t="shared" si="1"/>
        <v/>
      </c>
      <c r="P47" s="878" t="str">
        <f t="shared" si="1"/>
        <v/>
      </c>
      <c r="Q47" s="232">
        <f>(P43*Q43)+(P45*Q45)</f>
        <v>0</v>
      </c>
      <c r="R47" s="876">
        <f>IF(SUM(E47:P47)=0,0,AVERAGE(E47:P47))</f>
        <v>340</v>
      </c>
      <c r="S47" s="864" t="e">
        <f>IF(SUM('ÍNDICES ZOOTÉCNICOS'!#REF!)=0,0,AVERAGE('ÍNDICES ZOOTÉCNICOS'!#REF!))</f>
        <v>#REF!</v>
      </c>
      <c r="T47" s="86"/>
      <c r="U47" s="86"/>
      <c r="V47" s="86"/>
      <c r="W47" s="86"/>
      <c r="X47" s="86"/>
      <c r="Y47" s="86"/>
    </row>
    <row r="48" spans="2:25" s="51" customFormat="1" ht="18" customHeight="1" thickTop="1">
      <c r="B48" s="1123" t="s">
        <v>14</v>
      </c>
      <c r="C48" s="1115"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c r="B49" s="1124"/>
      <c r="C49" s="1116"/>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c r="B50" s="1124"/>
      <c r="C50" s="1116" t="s">
        <v>109</v>
      </c>
      <c r="D50" s="866" t="s">
        <v>15</v>
      </c>
      <c r="E50" s="870"/>
      <c r="F50" s="870"/>
      <c r="G50" s="870"/>
      <c r="H50" s="870"/>
      <c r="I50" s="870"/>
      <c r="J50" s="870"/>
      <c r="K50" s="870"/>
      <c r="L50" s="870"/>
      <c r="M50" s="870"/>
      <c r="N50" s="870"/>
      <c r="O50" s="870"/>
      <c r="P50" s="868"/>
      <c r="Q50" s="872"/>
      <c r="R50" s="864"/>
      <c r="S50" s="873"/>
      <c r="T50" s="86"/>
      <c r="U50" s="86"/>
      <c r="V50" s="86"/>
      <c r="W50" s="86"/>
      <c r="X50" s="86"/>
      <c r="Y50" s="86"/>
    </row>
    <row r="51" spans="2:25" s="51" customFormat="1" ht="18" customHeight="1">
      <c r="B51" s="1124"/>
      <c r="C51" s="1116"/>
      <c r="D51" s="866" t="s">
        <v>112</v>
      </c>
      <c r="E51" s="867"/>
      <c r="F51" s="867"/>
      <c r="G51" s="867"/>
      <c r="H51" s="867"/>
      <c r="I51" s="867"/>
      <c r="J51" s="867"/>
      <c r="K51" s="867"/>
      <c r="L51" s="867"/>
      <c r="M51" s="867"/>
      <c r="N51" s="867"/>
      <c r="O51" s="867"/>
      <c r="P51" s="868"/>
      <c r="Q51" s="869">
        <f>P50*Q50</f>
        <v>0</v>
      </c>
      <c r="R51" s="864"/>
      <c r="S51" s="782"/>
      <c r="T51" s="86"/>
      <c r="U51" s="86"/>
      <c r="V51" s="86"/>
      <c r="W51" s="86"/>
      <c r="X51" s="86"/>
      <c r="Y51" s="86"/>
    </row>
    <row r="52" spans="2:25" s="51" customFormat="1" ht="18" customHeight="1" thickBot="1">
      <c r="B52" s="1125"/>
      <c r="C52" s="1116" t="s">
        <v>299</v>
      </c>
      <c r="D52" s="1116"/>
      <c r="E52" s="874" t="str">
        <f t="shared" ref="E52:P52" si="2">IF(AND(E48="",E50=""),"",SUM(E48,E50))</f>
        <v/>
      </c>
      <c r="F52" s="874" t="str">
        <f t="shared" si="2"/>
        <v/>
      </c>
      <c r="G52" s="874" t="str">
        <f t="shared" si="2"/>
        <v/>
      </c>
      <c r="H52" s="874" t="str">
        <f t="shared" si="2"/>
        <v/>
      </c>
      <c r="I52" s="874" t="str">
        <f t="shared" si="2"/>
        <v/>
      </c>
      <c r="J52" s="874" t="str">
        <f t="shared" si="2"/>
        <v/>
      </c>
      <c r="K52" s="874" t="str">
        <f t="shared" si="2"/>
        <v/>
      </c>
      <c r="L52" s="874" t="str">
        <f t="shared" si="2"/>
        <v/>
      </c>
      <c r="M52" s="874" t="str">
        <f t="shared" si="2"/>
        <v/>
      </c>
      <c r="N52" s="874" t="str">
        <f t="shared" si="2"/>
        <v/>
      </c>
      <c r="O52" s="874" t="str">
        <f t="shared" si="2"/>
        <v/>
      </c>
      <c r="P52" s="875" t="str">
        <f t="shared" si="2"/>
        <v/>
      </c>
      <c r="Q52" s="232">
        <f>(P48*Q48)+(P50*Q50)</f>
        <v>0</v>
      </c>
      <c r="R52" s="876">
        <f>IF(SUM(E52:P52)=0,0,AVERAGE(E52:P52))</f>
        <v>0</v>
      </c>
      <c r="S52" s="864" t="e">
        <f>IF(SUM('ÍNDICES ZOOTÉCNICOS'!#REF!)=0,0,AVERAGE('ÍNDICES ZOOTÉCNICOS'!#REF!))</f>
        <v>#REF!</v>
      </c>
      <c r="T52" s="86"/>
      <c r="U52" s="86"/>
      <c r="V52" s="86"/>
      <c r="W52" s="86"/>
      <c r="X52" s="86"/>
      <c r="Y52" s="86"/>
    </row>
    <row r="53" spans="2:25" s="51" customFormat="1" ht="18" customHeight="1" thickTop="1">
      <c r="B53" s="1120" t="s">
        <v>237</v>
      </c>
      <c r="C53" s="881" t="s">
        <v>110</v>
      </c>
      <c r="D53" s="860" t="s">
        <v>111</v>
      </c>
      <c r="E53" s="861"/>
      <c r="F53" s="861"/>
      <c r="G53" s="861"/>
      <c r="H53" s="861"/>
      <c r="I53" s="861"/>
      <c r="J53" s="861">
        <v>272</v>
      </c>
      <c r="K53" s="861"/>
      <c r="L53" s="861"/>
      <c r="M53" s="861"/>
      <c r="N53" s="861"/>
      <c r="O53" s="861"/>
      <c r="P53" s="862"/>
      <c r="Q53" s="863"/>
      <c r="T53" s="86"/>
      <c r="U53" s="86"/>
      <c r="V53" s="86"/>
      <c r="W53" s="86"/>
      <c r="X53" s="86"/>
      <c r="Y53" s="86"/>
    </row>
    <row r="54" spans="2:25" s="51" customFormat="1" ht="18" customHeight="1">
      <c r="B54" s="1121"/>
      <c r="C54" s="882"/>
      <c r="D54" s="866" t="s">
        <v>112</v>
      </c>
      <c r="E54" s="867"/>
      <c r="F54" s="867"/>
      <c r="G54" s="867"/>
      <c r="H54" s="867"/>
      <c r="I54" s="867"/>
      <c r="J54" s="867">
        <v>360</v>
      </c>
      <c r="K54" s="867"/>
      <c r="L54" s="867"/>
      <c r="M54" s="867"/>
      <c r="N54" s="867"/>
      <c r="O54" s="867"/>
      <c r="P54" s="868"/>
      <c r="Q54" s="869">
        <f>P53*Q53</f>
        <v>0</v>
      </c>
      <c r="R54" s="876">
        <f>IF(SUM(E53:P53)=0,0,AVERAGE(E53:P53))</f>
        <v>272</v>
      </c>
      <c r="S54" s="864" t="e">
        <f>IF(SUM('ÍNDICES ZOOTÉCNICOS'!#REF!)=0,0,AVERAGE('ÍNDICES ZOOTÉCNICOS'!#REF!))</f>
        <v>#REF!</v>
      </c>
      <c r="T54" s="86"/>
      <c r="U54" s="86"/>
      <c r="V54" s="86"/>
      <c r="W54" s="86"/>
      <c r="X54" s="86"/>
      <c r="Y54" s="86"/>
    </row>
    <row r="55" spans="2:25" s="51" customFormat="1" ht="18" customHeight="1">
      <c r="B55" s="1121"/>
      <c r="C55" s="883" t="s">
        <v>109</v>
      </c>
      <c r="D55" s="879" t="s">
        <v>15</v>
      </c>
      <c r="E55" s="243"/>
      <c r="F55" s="243"/>
      <c r="G55" s="243"/>
      <c r="H55" s="243"/>
      <c r="I55" s="243"/>
      <c r="J55" s="243">
        <v>12</v>
      </c>
      <c r="K55" s="243"/>
      <c r="L55" s="243"/>
      <c r="M55" s="243"/>
      <c r="N55" s="243"/>
      <c r="O55" s="243"/>
      <c r="P55" s="880"/>
      <c r="Q55" s="863"/>
      <c r="R55" s="876">
        <f>IF(SUM(E55:P55)=0,0,AVERAGE(E55:P55))</f>
        <v>12</v>
      </c>
      <c r="S55" s="864" t="e">
        <f>IF(SUM('ÍNDICES ZOOTÉCNICOS'!#REF!)=0,0,AVERAGE('ÍNDICES ZOOTÉCNICOS'!#REF!))</f>
        <v>#REF!</v>
      </c>
      <c r="T55" s="86"/>
      <c r="U55" s="86"/>
      <c r="V55" s="86"/>
      <c r="W55" s="86"/>
      <c r="X55" s="86"/>
      <c r="Y55" s="86"/>
    </row>
    <row r="56" spans="2:25" s="51" customFormat="1" ht="18" customHeight="1">
      <c r="B56" s="1121"/>
      <c r="C56" s="882"/>
      <c r="D56" s="866" t="s">
        <v>112</v>
      </c>
      <c r="E56" s="867"/>
      <c r="F56" s="867"/>
      <c r="G56" s="867"/>
      <c r="H56" s="867"/>
      <c r="I56" s="867"/>
      <c r="J56" s="867">
        <v>540</v>
      </c>
      <c r="K56" s="867"/>
      <c r="L56" s="867"/>
      <c r="M56" s="867"/>
      <c r="N56" s="867"/>
      <c r="O56" s="867"/>
      <c r="P56" s="868"/>
      <c r="Q56" s="869">
        <f>P55*Q55</f>
        <v>0</v>
      </c>
      <c r="R56" s="864"/>
      <c r="S56" s="782"/>
      <c r="T56" s="86"/>
      <c r="U56" s="86"/>
      <c r="V56" s="86"/>
      <c r="W56" s="86"/>
      <c r="X56" s="86"/>
      <c r="Y56" s="86"/>
    </row>
    <row r="57" spans="2:25" s="51" customFormat="1" ht="18" customHeight="1" thickBot="1">
      <c r="B57" s="1122"/>
      <c r="C57" s="1132" t="s">
        <v>299</v>
      </c>
      <c r="D57" s="1133"/>
      <c r="E57" s="874" t="str">
        <f t="shared" ref="E57:P57" si="3">IF(AND(E53="",E55=""),"",SUM(E53,E55))</f>
        <v/>
      </c>
      <c r="F57" s="874" t="str">
        <f t="shared" si="3"/>
        <v/>
      </c>
      <c r="G57" s="874" t="str">
        <f t="shared" si="3"/>
        <v/>
      </c>
      <c r="H57" s="874" t="str">
        <f t="shared" si="3"/>
        <v/>
      </c>
      <c r="I57" s="874" t="str">
        <f t="shared" si="3"/>
        <v/>
      </c>
      <c r="J57" s="874">
        <f t="shared" si="3"/>
        <v>284</v>
      </c>
      <c r="K57" s="874" t="str">
        <f t="shared" si="3"/>
        <v/>
      </c>
      <c r="L57" s="874" t="str">
        <f t="shared" si="3"/>
        <v/>
      </c>
      <c r="M57" s="874" t="str">
        <f t="shared" si="3"/>
        <v/>
      </c>
      <c r="N57" s="874" t="str">
        <f t="shared" si="3"/>
        <v/>
      </c>
      <c r="O57" s="874" t="str">
        <f t="shared" si="3"/>
        <v/>
      </c>
      <c r="P57" s="875" t="str">
        <f t="shared" si="3"/>
        <v/>
      </c>
      <c r="Q57" s="232">
        <f>(P53*Q53)+(P55*Q55)</f>
        <v>0</v>
      </c>
      <c r="R57" s="876">
        <f>R54+R55</f>
        <v>284</v>
      </c>
      <c r="S57" s="876" t="e">
        <f>S54+S55</f>
        <v>#REF!</v>
      </c>
      <c r="T57" s="86"/>
      <c r="U57" s="86"/>
      <c r="V57" s="86"/>
      <c r="W57" s="86"/>
      <c r="X57" s="86"/>
      <c r="Y57" s="86"/>
    </row>
    <row r="58" spans="2:25" s="51" customFormat="1" ht="16.5" thickTop="1" thickBot="1">
      <c r="B58" s="1134" t="s">
        <v>303</v>
      </c>
      <c r="C58" s="1135"/>
      <c r="D58" s="1135"/>
      <c r="E58" s="884">
        <f t="shared" ref="E58:P58" si="4">E38+E40+E43+E45+E48+E50+E53+E55</f>
        <v>0</v>
      </c>
      <c r="F58" s="884">
        <f t="shared" si="4"/>
        <v>0</v>
      </c>
      <c r="G58" s="884">
        <f t="shared" si="4"/>
        <v>0</v>
      </c>
      <c r="H58" s="884">
        <f t="shared" si="4"/>
        <v>0</v>
      </c>
      <c r="I58" s="884">
        <f t="shared" si="4"/>
        <v>0</v>
      </c>
      <c r="J58" s="884">
        <f t="shared" si="4"/>
        <v>839</v>
      </c>
      <c r="K58" s="884">
        <f t="shared" si="4"/>
        <v>0</v>
      </c>
      <c r="L58" s="884">
        <f t="shared" si="4"/>
        <v>0</v>
      </c>
      <c r="M58" s="884">
        <f t="shared" si="4"/>
        <v>0</v>
      </c>
      <c r="N58" s="884">
        <f t="shared" si="4"/>
        <v>0</v>
      </c>
      <c r="O58" s="884">
        <f t="shared" si="4"/>
        <v>0</v>
      </c>
      <c r="P58" s="885">
        <f t="shared" si="4"/>
        <v>0</v>
      </c>
      <c r="Q58" s="233">
        <f>SUM(Q42,Q47,Q52,Q57)</f>
        <v>0</v>
      </c>
      <c r="R58" s="876">
        <f>AVERAGE(E58:P58)</f>
        <v>69.916666666666671</v>
      </c>
      <c r="S58" s="864" t="e">
        <f>AVERAGE('ÍNDICES ZOOTÉCNICOS'!#REF!)</f>
        <v>#REF!</v>
      </c>
      <c r="T58" s="86"/>
      <c r="U58" s="86"/>
      <c r="V58" s="86"/>
      <c r="W58" s="86"/>
      <c r="X58" s="86"/>
      <c r="Y58" s="86"/>
    </row>
    <row r="59" spans="2:25" s="51" customFormat="1" ht="15.75" thickTop="1">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c r="B61" s="1117" t="s">
        <v>26</v>
      </c>
      <c r="C61" s="1118"/>
      <c r="D61" s="1118"/>
      <c r="E61" s="1118"/>
      <c r="F61" s="1118"/>
      <c r="G61" s="1118"/>
      <c r="H61" s="1118"/>
      <c r="I61" s="1118"/>
      <c r="J61" s="1118"/>
      <c r="K61" s="1118"/>
      <c r="L61" s="1118"/>
      <c r="M61" s="1118"/>
      <c r="N61" s="1118"/>
      <c r="O61" s="1118"/>
      <c r="P61" s="1118"/>
      <c r="Q61" s="1119"/>
      <c r="T61" s="786"/>
      <c r="U61" s="786"/>
      <c r="V61" s="86"/>
      <c r="W61" s="786"/>
      <c r="X61" s="86"/>
      <c r="Y61" s="86"/>
    </row>
    <row r="62" spans="2:25" s="51" customFormat="1" ht="15.75" thickBot="1">
      <c r="B62" s="1099" t="s">
        <v>108</v>
      </c>
      <c r="C62" s="1130"/>
      <c r="D62" s="1131"/>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c r="B63" s="1104" t="s">
        <v>225</v>
      </c>
      <c r="C63" s="1129" t="s">
        <v>15</v>
      </c>
      <c r="D63" s="1129"/>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c r="B65" s="1126" t="s">
        <v>25</v>
      </c>
      <c r="C65" s="1127"/>
      <c r="D65" s="1127"/>
      <c r="E65" s="1127"/>
      <c r="F65" s="1127"/>
      <c r="G65" s="1127"/>
      <c r="H65" s="1127"/>
      <c r="I65" s="1127"/>
      <c r="J65" s="1127"/>
      <c r="K65" s="1127"/>
      <c r="L65" s="1127"/>
      <c r="M65" s="1127"/>
      <c r="N65" s="1127"/>
      <c r="O65" s="1127"/>
      <c r="P65" s="1127"/>
      <c r="Q65" s="1128"/>
      <c r="T65" s="786"/>
      <c r="U65" s="86"/>
      <c r="V65" s="86"/>
      <c r="W65" s="786"/>
      <c r="X65" s="786"/>
      <c r="Y65" s="86"/>
    </row>
    <row r="66" spans="2:25" s="51" customFormat="1" ht="48.75" customHeight="1" thickBot="1">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c r="B67" s="1150"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c r="B68" s="1151"/>
      <c r="C68" s="1153" t="s">
        <v>490</v>
      </c>
      <c r="D68" s="1154"/>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c r="B69" s="1152"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c r="B70" s="1152"/>
      <c r="C70" s="1155" t="s">
        <v>490</v>
      </c>
      <c r="D70" s="1156"/>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c r="B71" s="1150"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c r="B72" s="1151"/>
      <c r="C72" s="1157" t="s">
        <v>490</v>
      </c>
      <c r="D72" s="1158"/>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c r="B73" s="1152"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c r="B74" s="1152"/>
      <c r="C74" s="1155" t="s">
        <v>490</v>
      </c>
      <c r="D74" s="1156"/>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c r="B75" s="1150"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c r="B76" s="1151"/>
      <c r="C76" s="1157" t="s">
        <v>490</v>
      </c>
      <c r="D76" s="1158"/>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c r="B77" s="1071" t="s">
        <v>473</v>
      </c>
      <c r="C77" s="1072" t="s">
        <v>47</v>
      </c>
      <c r="D77" s="1073">
        <f t="shared" ref="D77" si="6">SUM(D67:D75)</f>
        <v>0</v>
      </c>
      <c r="E77" s="1074">
        <f>SUM(E67,E69,E71,E73,E75)</f>
        <v>0</v>
      </c>
      <c r="F77" s="1074">
        <f t="shared" ref="F77:P77" si="7">SUM(F67,F69,F71,F73,F75)</f>
        <v>0</v>
      </c>
      <c r="G77" s="1074">
        <f t="shared" si="7"/>
        <v>0</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0</v>
      </c>
      <c r="R77" s="86"/>
      <c r="S77" s="86"/>
      <c r="T77" s="86"/>
      <c r="U77" s="456"/>
      <c r="V77" s="86"/>
      <c r="W77" s="86"/>
      <c r="X77" s="86"/>
      <c r="Y77" s="86"/>
    </row>
    <row r="78" spans="2:25" s="51" customFormat="1" ht="21" customHeight="1" thickTop="1">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c r="B80" s="456"/>
      <c r="C80" s="951"/>
      <c r="D80" s="952" t="s">
        <v>311</v>
      </c>
      <c r="E80" s="953"/>
      <c r="F80" s="953"/>
      <c r="G80" s="953"/>
      <c r="H80" s="953"/>
      <c r="I80" s="953"/>
      <c r="J80" s="953"/>
      <c r="K80" s="953"/>
      <c r="L80" s="953"/>
      <c r="M80" s="953"/>
      <c r="N80" s="953"/>
      <c r="O80" s="953"/>
      <c r="P80" s="954"/>
      <c r="Q80" s="782"/>
      <c r="T80" s="86"/>
      <c r="U80" s="456"/>
      <c r="V80" s="86"/>
      <c r="W80" s="86"/>
      <c r="X80" s="86"/>
      <c r="Y80" s="86"/>
    </row>
    <row r="81" spans="2:25" s="51" customFormat="1" hidden="1">
      <c r="B81" s="456"/>
      <c r="C81" s="948" t="s">
        <v>304</v>
      </c>
      <c r="D81" s="949" t="s">
        <v>306</v>
      </c>
      <c r="E81" s="950">
        <f>SAÍDAS!C7+SAÍDAS!E7+REBANHO!E63</f>
        <v>215</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c r="B82" s="841"/>
      <c r="C82" s="949"/>
      <c r="D82" s="949" t="s">
        <v>307</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c r="B83" s="841"/>
      <c r="C83" s="948" t="s">
        <v>305</v>
      </c>
      <c r="D83" s="949" t="s">
        <v>306</v>
      </c>
      <c r="E83" s="950">
        <f>SAÍDAS!C11+SAÍDAS!E11</f>
        <v>340</v>
      </c>
      <c r="F83" s="950">
        <f>SAÍDAS!F11</f>
        <v>0</v>
      </c>
      <c r="G83" s="950">
        <f>SAÍDAS!G11</f>
        <v>0</v>
      </c>
      <c r="H83" s="950">
        <f>SAÍDAS!H11</f>
        <v>0</v>
      </c>
      <c r="I83" s="950">
        <f>SAÍDAS!I11</f>
        <v>0</v>
      </c>
      <c r="J83" s="950">
        <f>SAÍDAS!J11</f>
        <v>0</v>
      </c>
      <c r="K83" s="950">
        <f>SAÍDAS!K11</f>
        <v>0</v>
      </c>
      <c r="L83" s="950">
        <f>SAÍDAS!L11</f>
        <v>0</v>
      </c>
      <c r="M83" s="950">
        <f>SAÍDAS!M11</f>
        <v>0</v>
      </c>
      <c r="N83" s="950">
        <f>SAÍDAS!N11</f>
        <v>0</v>
      </c>
      <c r="O83" s="950">
        <f>SAÍDAS!O11</f>
        <v>0</v>
      </c>
      <c r="P83" s="950">
        <f>SAÍDAS!P11</f>
        <v>0</v>
      </c>
      <c r="Q83" s="782"/>
      <c r="T83" s="86"/>
      <c r="U83" s="86"/>
      <c r="V83" s="86"/>
      <c r="W83" s="86"/>
      <c r="X83" s="86"/>
      <c r="Y83" s="86"/>
    </row>
    <row r="84" spans="2:25" s="51" customFormat="1" hidden="1">
      <c r="B84" s="841"/>
      <c r="C84" s="949"/>
      <c r="D84" s="949" t="s">
        <v>307</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c r="B85" s="841"/>
      <c r="C85" s="948" t="s">
        <v>308</v>
      </c>
      <c r="D85" s="949" t="s">
        <v>306</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c r="B86" s="841"/>
      <c r="C86" s="948"/>
      <c r="D86" s="949" t="s">
        <v>307</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0</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c r="B87" s="841"/>
      <c r="C87" s="948" t="s">
        <v>309</v>
      </c>
      <c r="D87" s="949" t="s">
        <v>306</v>
      </c>
      <c r="E87" s="950">
        <f>SAÍDAS!C23+SAÍDAS!C19+SAÍDAS!E19+SAÍDAS!E23</f>
        <v>284</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c r="B88" s="456"/>
      <c r="C88" s="948"/>
      <c r="D88" s="949" t="s">
        <v>307</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c r="B89" s="456"/>
      <c r="C89" s="951"/>
      <c r="D89" s="952"/>
      <c r="E89" s="950">
        <f>E81+E83+E85+E87-E82-E84-E86-E88</f>
        <v>839</v>
      </c>
      <c r="F89" s="950">
        <f t="shared" ref="F89:P89" si="8">F81+F83+F85+F87-F82-F84-F86-F88</f>
        <v>0</v>
      </c>
      <c r="G89" s="950">
        <f t="shared" si="8"/>
        <v>0</v>
      </c>
      <c r="H89" s="950">
        <f t="shared" si="8"/>
        <v>0</v>
      </c>
      <c r="I89" s="950">
        <f t="shared" si="8"/>
        <v>0</v>
      </c>
      <c r="J89" s="950">
        <f t="shared" si="8"/>
        <v>0</v>
      </c>
      <c r="K89" s="950">
        <f t="shared" si="8"/>
        <v>0</v>
      </c>
      <c r="L89" s="950">
        <f t="shared" si="8"/>
        <v>0</v>
      </c>
      <c r="M89" s="950">
        <f t="shared" si="8"/>
        <v>0</v>
      </c>
      <c r="N89" s="950">
        <f t="shared" si="8"/>
        <v>0</v>
      </c>
      <c r="O89" s="950">
        <f t="shared" si="8"/>
        <v>0</v>
      </c>
      <c r="P89" s="950">
        <f t="shared" si="8"/>
        <v>0</v>
      </c>
      <c r="Q89" s="782"/>
      <c r="T89" s="86"/>
      <c r="U89" s="86"/>
      <c r="V89" s="86"/>
      <c r="W89" s="86"/>
      <c r="X89" s="86"/>
      <c r="Y89" s="86"/>
    </row>
    <row r="90" spans="2:25" s="51" customFormat="1" hidden="1">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c r="B91" s="456"/>
      <c r="C91" s="957"/>
      <c r="D91" s="958" t="s">
        <v>310</v>
      </c>
      <c r="E91" s="950">
        <f>E89</f>
        <v>839</v>
      </c>
      <c r="F91" s="950">
        <f t="shared" ref="F91:P91" si="9">E91+F89</f>
        <v>839</v>
      </c>
      <c r="G91" s="950">
        <f t="shared" si="9"/>
        <v>839</v>
      </c>
      <c r="H91" s="950">
        <f t="shared" si="9"/>
        <v>839</v>
      </c>
      <c r="I91" s="950">
        <f t="shared" si="9"/>
        <v>839</v>
      </c>
      <c r="J91" s="950">
        <f t="shared" si="9"/>
        <v>839</v>
      </c>
      <c r="K91" s="950">
        <f t="shared" si="9"/>
        <v>839</v>
      </c>
      <c r="L91" s="950">
        <f t="shared" si="9"/>
        <v>839</v>
      </c>
      <c r="M91" s="950">
        <f t="shared" si="9"/>
        <v>839</v>
      </c>
      <c r="N91" s="950">
        <f t="shared" si="9"/>
        <v>839</v>
      </c>
      <c r="O91" s="950">
        <f t="shared" si="9"/>
        <v>839</v>
      </c>
      <c r="P91" s="950">
        <f t="shared" si="9"/>
        <v>839</v>
      </c>
      <c r="Q91" s="782"/>
      <c r="T91" s="86"/>
      <c r="U91" s="86"/>
      <c r="V91" s="86"/>
      <c r="W91" s="86"/>
      <c r="X91" s="86"/>
      <c r="Y91" s="86"/>
    </row>
    <row r="92" spans="2:25" s="51" customFormat="1" hidden="1">
      <c r="B92" s="456"/>
      <c r="C92" s="844"/>
      <c r="D92" s="844"/>
      <c r="E92" s="79"/>
      <c r="F92" s="79"/>
      <c r="G92" s="79"/>
      <c r="H92" s="79"/>
      <c r="I92" s="79"/>
      <c r="J92" s="79"/>
      <c r="K92" s="79"/>
      <c r="L92" s="79"/>
      <c r="M92" s="79"/>
      <c r="N92" s="79"/>
      <c r="O92" s="79"/>
      <c r="P92" s="79"/>
      <c r="Q92" s="782"/>
      <c r="T92" s="86"/>
      <c r="U92" s="86"/>
      <c r="V92" s="86"/>
      <c r="W92" s="86"/>
      <c r="X92" s="86"/>
      <c r="Y92" s="86"/>
    </row>
    <row r="93" spans="2:25" hidden="1">
      <c r="B93" s="894"/>
      <c r="C93" s="895"/>
      <c r="D93" s="895"/>
      <c r="E93" s="896"/>
      <c r="F93" s="896"/>
      <c r="G93" s="896"/>
      <c r="H93" s="896"/>
      <c r="I93" s="896"/>
      <c r="J93" s="896"/>
      <c r="K93" s="896"/>
      <c r="L93" s="896"/>
      <c r="M93" s="896"/>
      <c r="N93" s="896"/>
      <c r="O93" s="896"/>
      <c r="P93" s="896"/>
      <c r="Q93" s="965" t="s">
        <v>474</v>
      </c>
      <c r="R93" s="960" t="s">
        <v>130</v>
      </c>
    </row>
    <row r="94" spans="2:25" hidden="1">
      <c r="B94" s="894"/>
      <c r="C94" s="961" t="s">
        <v>250</v>
      </c>
      <c r="D94" s="959" t="s">
        <v>304</v>
      </c>
      <c r="E94" s="960">
        <f t="shared" ref="E94:P94" si="10">((E39*E38)+(E41*E40))/540</f>
        <v>0</v>
      </c>
      <c r="F94" s="960">
        <f t="shared" si="10"/>
        <v>0</v>
      </c>
      <c r="G94" s="960">
        <f t="shared" si="10"/>
        <v>0</v>
      </c>
      <c r="H94" s="960">
        <f t="shared" si="10"/>
        <v>0</v>
      </c>
      <c r="I94" s="960">
        <f t="shared" si="10"/>
        <v>0</v>
      </c>
      <c r="J94" s="960">
        <f t="shared" si="10"/>
        <v>61.703703703703702</v>
      </c>
      <c r="K94" s="960">
        <f t="shared" si="10"/>
        <v>0</v>
      </c>
      <c r="L94" s="960">
        <f t="shared" si="10"/>
        <v>0</v>
      </c>
      <c r="M94" s="960">
        <f t="shared" si="10"/>
        <v>0</v>
      </c>
      <c r="N94" s="960">
        <f t="shared" si="10"/>
        <v>0</v>
      </c>
      <c r="O94" s="960">
        <f t="shared" si="10"/>
        <v>0</v>
      </c>
      <c r="P94" s="964">
        <f t="shared" si="10"/>
        <v>0</v>
      </c>
      <c r="Q94" s="965">
        <f>AVERAGE(E94:P94)</f>
        <v>5.1419753086419755</v>
      </c>
      <c r="R94" s="960">
        <f>IF($D$98=0,0,(Q94/$D$98)*100)</f>
        <v>15.38319482917821</v>
      </c>
    </row>
    <row r="95" spans="2:25" hidden="1">
      <c r="B95" s="894"/>
      <c r="C95" s="962"/>
      <c r="D95" s="959" t="s">
        <v>305</v>
      </c>
      <c r="E95" s="960">
        <f t="shared" ref="E95:P95" si="11">((E44*E43)+(E46*E45))/540</f>
        <v>0</v>
      </c>
      <c r="F95" s="960">
        <f t="shared" si="11"/>
        <v>0</v>
      </c>
      <c r="G95" s="960">
        <f t="shared" si="11"/>
        <v>0</v>
      </c>
      <c r="H95" s="960">
        <f t="shared" si="11"/>
        <v>0</v>
      </c>
      <c r="I95" s="960">
        <f t="shared" si="11"/>
        <v>0</v>
      </c>
      <c r="J95" s="960">
        <f t="shared" si="11"/>
        <v>146.07407407407408</v>
      </c>
      <c r="K95" s="960">
        <f t="shared" si="11"/>
        <v>0</v>
      </c>
      <c r="L95" s="960">
        <f t="shared" si="11"/>
        <v>0</v>
      </c>
      <c r="M95" s="960">
        <f t="shared" si="11"/>
        <v>0</v>
      </c>
      <c r="N95" s="960">
        <f t="shared" si="11"/>
        <v>0</v>
      </c>
      <c r="O95" s="960">
        <f t="shared" si="11"/>
        <v>0</v>
      </c>
      <c r="P95" s="964">
        <f t="shared" si="11"/>
        <v>0</v>
      </c>
      <c r="Q95" s="965">
        <f t="shared" ref="Q95:Q97" si="12">AVERAGE(E95:P95)</f>
        <v>12.17283950617284</v>
      </c>
      <c r="R95" s="960">
        <f t="shared" ref="R95:R97" si="13">IF($D$98=0,0,(Q95/$D$98)*100)</f>
        <v>36.417359187442294</v>
      </c>
    </row>
    <row r="96" spans="2:25" hidden="1">
      <c r="B96" s="894"/>
      <c r="C96" s="962"/>
      <c r="D96" s="959" t="s">
        <v>308</v>
      </c>
      <c r="E96" s="960">
        <f t="shared" ref="E96:P96" si="14">((E49*E48)+(E51*E50))/540</f>
        <v>0</v>
      </c>
      <c r="F96" s="960">
        <f t="shared" si="14"/>
        <v>0</v>
      </c>
      <c r="G96" s="960">
        <f t="shared" si="14"/>
        <v>0</v>
      </c>
      <c r="H96" s="960">
        <f t="shared" si="14"/>
        <v>0</v>
      </c>
      <c r="I96" s="960">
        <f t="shared" si="14"/>
        <v>0</v>
      </c>
      <c r="J96" s="960">
        <f t="shared" si="14"/>
        <v>0</v>
      </c>
      <c r="K96" s="960">
        <f t="shared" si="14"/>
        <v>0</v>
      </c>
      <c r="L96" s="960">
        <f t="shared" si="14"/>
        <v>0</v>
      </c>
      <c r="M96" s="960">
        <f t="shared" si="14"/>
        <v>0</v>
      </c>
      <c r="N96" s="960">
        <f t="shared" si="14"/>
        <v>0</v>
      </c>
      <c r="O96" s="960">
        <f t="shared" si="14"/>
        <v>0</v>
      </c>
      <c r="P96" s="964">
        <f t="shared" si="14"/>
        <v>0</v>
      </c>
      <c r="Q96" s="965">
        <f t="shared" si="12"/>
        <v>0</v>
      </c>
      <c r="R96" s="960">
        <f t="shared" si="13"/>
        <v>0</v>
      </c>
    </row>
    <row r="97" spans="2:18" hidden="1">
      <c r="B97" s="894"/>
      <c r="C97" s="963"/>
      <c r="D97" s="959" t="s">
        <v>309</v>
      </c>
      <c r="E97" s="960">
        <f t="shared" ref="E97:P97" si="15">((E54*E53)+(E56*E55))/540</f>
        <v>0</v>
      </c>
      <c r="F97" s="960">
        <f t="shared" si="15"/>
        <v>0</v>
      </c>
      <c r="G97" s="960">
        <f t="shared" si="15"/>
        <v>0</v>
      </c>
      <c r="H97" s="960">
        <f t="shared" si="15"/>
        <v>0</v>
      </c>
      <c r="I97" s="960">
        <f t="shared" si="15"/>
        <v>0</v>
      </c>
      <c r="J97" s="960">
        <f t="shared" si="15"/>
        <v>193.33333333333334</v>
      </c>
      <c r="K97" s="960">
        <f t="shared" si="15"/>
        <v>0</v>
      </c>
      <c r="L97" s="960">
        <f t="shared" si="15"/>
        <v>0</v>
      </c>
      <c r="M97" s="960">
        <f t="shared" si="15"/>
        <v>0</v>
      </c>
      <c r="N97" s="960">
        <f t="shared" si="15"/>
        <v>0</v>
      </c>
      <c r="O97" s="960">
        <f t="shared" si="15"/>
        <v>0</v>
      </c>
      <c r="P97" s="964">
        <f t="shared" si="15"/>
        <v>0</v>
      </c>
      <c r="Q97" s="965">
        <f t="shared" si="12"/>
        <v>16.111111111111111</v>
      </c>
      <c r="R97" s="960">
        <f t="shared" si="13"/>
        <v>48.199445983379505</v>
      </c>
    </row>
    <row r="98" spans="2:18" hidden="1">
      <c r="B98" s="894"/>
      <c r="C98" s="966" t="s">
        <v>134</v>
      </c>
      <c r="D98" s="965">
        <f>SUM(Q94:Q97)</f>
        <v>33.425925925925924</v>
      </c>
      <c r="E98" s="967">
        <f t="shared" ref="E98:P98" si="16">SUM(E94:E97)</f>
        <v>0</v>
      </c>
      <c r="F98" s="967">
        <f t="shared" si="16"/>
        <v>0</v>
      </c>
      <c r="G98" s="967">
        <f t="shared" si="16"/>
        <v>0</v>
      </c>
      <c r="H98" s="967">
        <f t="shared" si="16"/>
        <v>0</v>
      </c>
      <c r="I98" s="967">
        <f t="shared" si="16"/>
        <v>0</v>
      </c>
      <c r="J98" s="967">
        <f t="shared" si="16"/>
        <v>401.11111111111109</v>
      </c>
      <c r="K98" s="967">
        <f t="shared" si="16"/>
        <v>0</v>
      </c>
      <c r="L98" s="967">
        <f t="shared" si="16"/>
        <v>0</v>
      </c>
      <c r="M98" s="967">
        <f t="shared" si="16"/>
        <v>0</v>
      </c>
      <c r="N98" s="967">
        <f t="shared" si="16"/>
        <v>0</v>
      </c>
      <c r="O98" s="967">
        <f t="shared" si="16"/>
        <v>0</v>
      </c>
      <c r="P98" s="967">
        <f t="shared" si="16"/>
        <v>0</v>
      </c>
    </row>
    <row r="99" spans="2:18" hidden="1">
      <c r="B99" s="894"/>
      <c r="C99" s="895"/>
      <c r="D99" s="895"/>
      <c r="E99" s="896"/>
      <c r="F99" s="896"/>
      <c r="G99" s="896"/>
      <c r="H99" s="896"/>
      <c r="I99" s="896"/>
      <c r="J99" s="896"/>
      <c r="K99" s="896"/>
      <c r="L99" s="896"/>
      <c r="M99" s="896"/>
      <c r="N99" s="896"/>
      <c r="O99" s="896"/>
      <c r="P99" s="896"/>
      <c r="Q99" s="897"/>
    </row>
    <row r="100" spans="2:18" hidden="1">
      <c r="B100" s="894"/>
      <c r="C100" s="895"/>
      <c r="D100" s="895"/>
      <c r="E100" s="896"/>
      <c r="F100" s="896"/>
      <c r="G100" s="896"/>
      <c r="H100" s="896"/>
      <c r="I100" s="896"/>
      <c r="J100" s="896"/>
      <c r="K100" s="896"/>
      <c r="L100" s="896"/>
      <c r="M100" s="896"/>
      <c r="N100" s="896"/>
      <c r="O100" s="896"/>
      <c r="P100" s="896"/>
      <c r="Q100" s="965" t="s">
        <v>474</v>
      </c>
      <c r="R100" s="960" t="s">
        <v>130</v>
      </c>
    </row>
    <row r="101" spans="2:18" hidden="1">
      <c r="B101" s="894"/>
      <c r="C101" s="961" t="s">
        <v>465</v>
      </c>
      <c r="D101" s="959" t="s">
        <v>304</v>
      </c>
      <c r="E101" s="1018">
        <f t="shared" ref="E101:P101" si="17">((E39*E38)+(E41*E40))/14.689</f>
        <v>0</v>
      </c>
      <c r="F101" s="1018">
        <f t="shared" si="17"/>
        <v>0</v>
      </c>
      <c r="G101" s="1018">
        <f t="shared" si="17"/>
        <v>0</v>
      </c>
      <c r="H101" s="1018">
        <f t="shared" si="17"/>
        <v>0</v>
      </c>
      <c r="I101" s="1018">
        <f t="shared" si="17"/>
        <v>0</v>
      </c>
      <c r="J101" s="1018">
        <f t="shared" si="17"/>
        <v>2268.3640819660973</v>
      </c>
      <c r="K101" s="1018">
        <f t="shared" si="17"/>
        <v>0</v>
      </c>
      <c r="L101" s="1018">
        <f t="shared" si="17"/>
        <v>0</v>
      </c>
      <c r="M101" s="1018">
        <f t="shared" si="17"/>
        <v>0</v>
      </c>
      <c r="N101" s="1018">
        <f t="shared" si="17"/>
        <v>0</v>
      </c>
      <c r="O101" s="1018">
        <f t="shared" si="17"/>
        <v>0</v>
      </c>
      <c r="P101" s="1018">
        <f t="shared" si="17"/>
        <v>0</v>
      </c>
      <c r="Q101" s="965">
        <f>AVERAGE(E101:P101)</f>
        <v>189.03034016384143</v>
      </c>
      <c r="R101" s="960">
        <f>IF($D$105=0,0,(Q101/$D$105)*100)</f>
        <v>15.38319482917821</v>
      </c>
    </row>
    <row r="102" spans="2:18" hidden="1">
      <c r="C102" s="962"/>
      <c r="D102" s="959" t="s">
        <v>305</v>
      </c>
      <c r="E102" s="1018">
        <f t="shared" ref="E102:P102" si="18">((E44*E43)+(E46*E45))/14.689</f>
        <v>0</v>
      </c>
      <c r="F102" s="1018">
        <f t="shared" si="18"/>
        <v>0</v>
      </c>
      <c r="G102" s="1018">
        <f t="shared" si="18"/>
        <v>0</v>
      </c>
      <c r="H102" s="1018">
        <f t="shared" si="18"/>
        <v>0</v>
      </c>
      <c r="I102" s="1018">
        <f t="shared" si="18"/>
        <v>0</v>
      </c>
      <c r="J102" s="1018">
        <f t="shared" si="18"/>
        <v>5370.0047654707605</v>
      </c>
      <c r="K102" s="1018">
        <f t="shared" si="18"/>
        <v>0</v>
      </c>
      <c r="L102" s="1018">
        <f t="shared" si="18"/>
        <v>0</v>
      </c>
      <c r="M102" s="1018">
        <f t="shared" si="18"/>
        <v>0</v>
      </c>
      <c r="N102" s="1018">
        <f t="shared" si="18"/>
        <v>0</v>
      </c>
      <c r="O102" s="1018">
        <f t="shared" si="18"/>
        <v>0</v>
      </c>
      <c r="P102" s="1018">
        <f t="shared" si="18"/>
        <v>0</v>
      </c>
      <c r="Q102" s="965">
        <f t="shared" ref="Q102:Q104" si="19">AVERAGE(E102:P102)</f>
        <v>447.50039712256336</v>
      </c>
      <c r="R102" s="960">
        <f t="shared" ref="R102:R104" si="20">IF($D$105=0,0,(Q102/$D$105)*100)</f>
        <v>36.417359187442287</v>
      </c>
    </row>
    <row r="103" spans="2:18" hidden="1">
      <c r="C103" s="962"/>
      <c r="D103" s="959" t="s">
        <v>308</v>
      </c>
      <c r="E103" s="1018">
        <f t="shared" ref="E103:P103" si="21">((E49*E48)+(E51*E50))/14.689</f>
        <v>0</v>
      </c>
      <c r="F103" s="1018">
        <f t="shared" si="21"/>
        <v>0</v>
      </c>
      <c r="G103" s="1018">
        <f t="shared" si="21"/>
        <v>0</v>
      </c>
      <c r="H103" s="1018">
        <f t="shared" si="21"/>
        <v>0</v>
      </c>
      <c r="I103" s="1018">
        <f t="shared" si="21"/>
        <v>0</v>
      </c>
      <c r="J103" s="1018">
        <f t="shared" si="21"/>
        <v>0</v>
      </c>
      <c r="K103" s="1018">
        <f t="shared" si="21"/>
        <v>0</v>
      </c>
      <c r="L103" s="1018">
        <f t="shared" si="21"/>
        <v>0</v>
      </c>
      <c r="M103" s="1018">
        <f t="shared" si="21"/>
        <v>0</v>
      </c>
      <c r="N103" s="1018">
        <f t="shared" si="21"/>
        <v>0</v>
      </c>
      <c r="O103" s="1018">
        <f t="shared" si="21"/>
        <v>0</v>
      </c>
      <c r="P103" s="1018">
        <f t="shared" si="21"/>
        <v>0</v>
      </c>
      <c r="Q103" s="965">
        <f t="shared" si="19"/>
        <v>0</v>
      </c>
      <c r="R103" s="960">
        <f t="shared" si="20"/>
        <v>0</v>
      </c>
    </row>
    <row r="104" spans="2:18" hidden="1">
      <c r="C104" s="963"/>
      <c r="D104" s="959" t="s">
        <v>309</v>
      </c>
      <c r="E104" s="1018">
        <f t="shared" ref="E104:P104" si="22">((E54*E53)+(E56*E55))/14.689</f>
        <v>0</v>
      </c>
      <c r="F104" s="1018">
        <f t="shared" si="22"/>
        <v>0</v>
      </c>
      <c r="G104" s="1018">
        <f t="shared" si="22"/>
        <v>0</v>
      </c>
      <c r="H104" s="1018">
        <f t="shared" si="22"/>
        <v>0</v>
      </c>
      <c r="I104" s="1018">
        <f t="shared" si="22"/>
        <v>0</v>
      </c>
      <c r="J104" s="1018">
        <f t="shared" si="22"/>
        <v>7107.3592484171832</v>
      </c>
      <c r="K104" s="1018">
        <f t="shared" si="22"/>
        <v>0</v>
      </c>
      <c r="L104" s="1018">
        <f t="shared" si="22"/>
        <v>0</v>
      </c>
      <c r="M104" s="1018">
        <f t="shared" si="22"/>
        <v>0</v>
      </c>
      <c r="N104" s="1018">
        <f t="shared" si="22"/>
        <v>0</v>
      </c>
      <c r="O104" s="1018">
        <f t="shared" si="22"/>
        <v>0</v>
      </c>
      <c r="P104" s="1018">
        <f t="shared" si="22"/>
        <v>0</v>
      </c>
      <c r="Q104" s="965">
        <f t="shared" si="19"/>
        <v>592.27993736809856</v>
      </c>
      <c r="R104" s="960">
        <f t="shared" si="20"/>
        <v>48.199445983379505</v>
      </c>
    </row>
    <row r="105" spans="2:18" hidden="1">
      <c r="C105" s="966" t="s">
        <v>134</v>
      </c>
      <c r="D105" s="965">
        <f>SUM(Q101:Q104)</f>
        <v>1228.8106746545034</v>
      </c>
      <c r="E105" s="967">
        <f t="shared" ref="E105" si="23">SUM(E101:E104)</f>
        <v>0</v>
      </c>
      <c r="F105" s="967">
        <f t="shared" ref="F105" si="24">SUM(F101:F104)</f>
        <v>0</v>
      </c>
      <c r="G105" s="967">
        <f t="shared" ref="G105" si="25">SUM(G101:G104)</f>
        <v>0</v>
      </c>
      <c r="H105" s="967">
        <f t="shared" ref="H105" si="26">SUM(H101:H104)</f>
        <v>0</v>
      </c>
      <c r="I105" s="967">
        <f t="shared" ref="I105" si="27">SUM(I101:I104)</f>
        <v>0</v>
      </c>
      <c r="J105" s="967">
        <f t="shared" ref="J105" si="28">SUM(J101:J104)</f>
        <v>14745.72809585404</v>
      </c>
      <c r="K105" s="967">
        <f t="shared" ref="K105" si="29">SUM(K101:K104)</f>
        <v>0</v>
      </c>
      <c r="L105" s="967">
        <f t="shared" ref="L105" si="30">SUM(L101:L104)</f>
        <v>0</v>
      </c>
      <c r="M105" s="967">
        <f t="shared" ref="M105" si="31">SUM(M101:M104)</f>
        <v>0</v>
      </c>
      <c r="N105" s="967">
        <f t="shared" ref="N105" si="32">SUM(N101:N104)</f>
        <v>0</v>
      </c>
      <c r="O105" s="967">
        <f t="shared" ref="O105" si="33">SUM(O101:O104)</f>
        <v>0</v>
      </c>
      <c r="P105" s="967">
        <f t="shared" ref="P105" si="34">SUM(P101:P104)</f>
        <v>0</v>
      </c>
    </row>
    <row r="106" spans="2:18" hidden="1"/>
    <row r="107" spans="2:18" hidden="1"/>
    <row r="108" spans="2:18" hidden="1"/>
    <row r="109" spans="2:18" hidden="1"/>
    <row r="110" spans="2:18" hidden="1"/>
    <row r="111" spans="2:18" hidden="1"/>
    <row r="112" spans="2:18" hidden="1"/>
    <row r="113" spans="2:20" hidden="1"/>
    <row r="114" spans="2:20" hidden="1"/>
    <row r="115" spans="2:20" hidden="1"/>
    <row r="116" spans="2:20" hidden="1"/>
    <row r="117" spans="2:20" hidden="1"/>
    <row r="118" spans="2:20" s="899" customFormat="1" hidden="1">
      <c r="B118" s="894"/>
    </row>
    <row r="119" spans="2:20" s="899" customFormat="1" hidden="1">
      <c r="B119" s="894"/>
    </row>
    <row r="120" spans="2:20" s="899" customFormat="1" hidden="1">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c r="B121" s="894"/>
    </row>
    <row r="122" spans="2:20" s="899" customFormat="1" hidden="1">
      <c r="B122" s="894"/>
    </row>
    <row r="123" spans="2:20" s="899" customFormat="1" hidden="1">
      <c r="B123" s="894"/>
    </row>
    <row r="124" spans="2:20" hidden="1"/>
    <row r="125" spans="2:20" hidden="1"/>
    <row r="126" spans="2:20" hidden="1"/>
    <row r="127" spans="2:20" hidden="1"/>
    <row r="128" spans="2:20"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spans="2:19" hidden="1"/>
    <row r="146" spans="2:19" hidden="1"/>
    <row r="147" spans="2:19" hidden="1"/>
    <row r="148" spans="2:19" hidden="1"/>
    <row r="149" spans="2:19" hidden="1"/>
    <row r="150" spans="2:19" hidden="1"/>
    <row r="151" spans="2:19" s="899" customFormat="1" hidden="1">
      <c r="B151" s="894"/>
      <c r="C151" s="895"/>
      <c r="D151" s="895"/>
      <c r="E151" s="897"/>
      <c r="F151" s="897"/>
      <c r="G151" s="897"/>
      <c r="H151" s="897"/>
      <c r="I151" s="897"/>
      <c r="J151" s="897"/>
      <c r="K151" s="897"/>
      <c r="L151" s="897"/>
      <c r="M151" s="897"/>
      <c r="N151" s="897"/>
      <c r="O151" s="897"/>
      <c r="P151" s="897"/>
      <c r="Q151" s="897"/>
    </row>
    <row r="152" spans="2:19" hidden="1"/>
    <row r="153" spans="2:19" hidden="1"/>
    <row r="154" spans="2:19" hidden="1"/>
    <row r="155" spans="2:19" hidden="1"/>
    <row r="156" spans="2:19" hidden="1"/>
    <row r="157" spans="2:19" hidden="1"/>
    <row r="158" spans="2:19" hidden="1"/>
    <row r="159" spans="2:19" hidden="1"/>
    <row r="160" spans="2:19" hidden="1">
      <c r="B160" s="894"/>
      <c r="C160" s="899"/>
      <c r="D160" s="899"/>
      <c r="E160" s="899"/>
      <c r="F160" s="899"/>
      <c r="G160" s="899"/>
      <c r="H160" s="899"/>
      <c r="I160" s="899"/>
      <c r="J160" s="899"/>
      <c r="K160" s="899"/>
      <c r="L160" s="899"/>
      <c r="M160" s="899"/>
      <c r="N160" s="899"/>
      <c r="O160" s="899"/>
      <c r="P160" s="899"/>
      <c r="Q160" s="899"/>
      <c r="R160" s="899"/>
      <c r="S160" s="899"/>
    </row>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spans="5:17" hidden="1"/>
    <row r="178" spans="5:17" hidden="1"/>
    <row r="179" spans="5:17" hidden="1"/>
    <row r="180" spans="5:17" hidden="1"/>
    <row r="181" spans="5:17" hidden="1"/>
    <row r="182" spans="5:17" hidden="1"/>
    <row r="183" spans="5:17" hidden="1"/>
    <row r="184" spans="5:17" hidden="1"/>
    <row r="185" spans="5:17" hidden="1"/>
    <row r="186" spans="5:17" hidden="1">
      <c r="E186" s="904"/>
      <c r="F186" s="904"/>
      <c r="G186" s="904"/>
      <c r="H186" s="904"/>
      <c r="I186" s="904"/>
      <c r="J186" s="904"/>
      <c r="K186" s="904"/>
      <c r="L186" s="904"/>
      <c r="M186" s="904"/>
      <c r="N186" s="904"/>
      <c r="O186" s="904"/>
      <c r="P186" s="904"/>
      <c r="Q186" s="904"/>
    </row>
    <row r="187" spans="5:17" hidden="1">
      <c r="E187" s="904"/>
      <c r="F187" s="904"/>
      <c r="G187" s="904"/>
      <c r="H187" s="904"/>
      <c r="I187" s="904"/>
      <c r="J187" s="904"/>
      <c r="K187" s="904"/>
      <c r="L187" s="904"/>
      <c r="M187" s="904"/>
      <c r="N187" s="904"/>
      <c r="O187" s="904"/>
      <c r="P187" s="905"/>
    </row>
    <row r="188" spans="5:17" hidden="1">
      <c r="E188" s="904"/>
      <c r="F188" s="904"/>
      <c r="G188" s="904"/>
      <c r="H188" s="904"/>
      <c r="I188" s="904"/>
      <c r="J188" s="904"/>
      <c r="K188" s="904"/>
      <c r="L188" s="904"/>
      <c r="M188" s="904"/>
      <c r="N188" s="904"/>
      <c r="O188" s="904"/>
      <c r="P188" s="904"/>
    </row>
    <row r="189" spans="5:17" hidden="1">
      <c r="E189" s="904"/>
      <c r="F189" s="904"/>
      <c r="G189" s="904"/>
      <c r="H189" s="904"/>
      <c r="I189" s="904"/>
      <c r="J189" s="904"/>
      <c r="K189" s="904"/>
      <c r="L189" s="904"/>
      <c r="M189" s="904"/>
      <c r="N189" s="904"/>
      <c r="O189" s="904"/>
      <c r="P189" s="904"/>
    </row>
    <row r="190" spans="5:17" hidden="1">
      <c r="E190" s="904"/>
      <c r="F190" s="904"/>
      <c r="G190" s="904"/>
      <c r="H190" s="904"/>
      <c r="I190" s="904"/>
      <c r="J190" s="904"/>
      <c r="K190" s="904"/>
      <c r="L190" s="904"/>
      <c r="M190" s="904"/>
      <c r="N190" s="904"/>
      <c r="O190" s="904"/>
      <c r="P190" s="904"/>
    </row>
    <row r="191" spans="5:17" hidden="1"/>
    <row r="192" spans="5:17" hidden="1">
      <c r="M192" s="904"/>
    </row>
    <row r="193" hidden="1"/>
  </sheetData>
  <sheetProtection password="CA4F" sheet="1" objects="1" scenarios="1" selectLockedCells="1"/>
  <mergeCells count="40">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C9:E9"/>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Plan3"/>
  <dimension ref="A1:AC77"/>
  <sheetViews>
    <sheetView showGridLines="0" tabSelected="1" zoomScale="90" zoomScaleNormal="90" workbookViewId="0">
      <selection activeCell="J12" sqref="J12"/>
    </sheetView>
  </sheetViews>
  <sheetFormatPr defaultColWidth="0" defaultRowHeight="15" zeroHeight="1"/>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row r="2" spans="2:29" ht="15.75" thickTop="1">
      <c r="B2" s="764" t="str">
        <f>REBANHO!B2</f>
        <v>Fazenda</v>
      </c>
      <c r="C2" s="763" t="str">
        <f>IF(REBANHO!C2="","",REBANHO!C2)</f>
        <v>RENASCER</v>
      </c>
      <c r="D2" s="762"/>
      <c r="E2" s="762"/>
      <c r="F2" s="774"/>
      <c r="G2" s="467" t="s">
        <v>120</v>
      </c>
      <c r="H2" s="224"/>
      <c r="J2" s="437"/>
    </row>
    <row r="3" spans="2:29" ht="15.75" thickBot="1">
      <c r="B3" s="775" t="str">
        <f>REBANHO!B6</f>
        <v>Sistema de produção</v>
      </c>
      <c r="C3" s="776" t="str">
        <f>IF(REBANHO!C3="","",REBANHO!C3)</f>
        <v>INDIARA</v>
      </c>
      <c r="D3" s="776"/>
      <c r="E3" s="776"/>
      <c r="F3" s="530"/>
      <c r="G3" s="772">
        <f>IF(REBANHO!I2="","",REBANHO!I2)</f>
        <v>2016</v>
      </c>
      <c r="H3" s="224"/>
      <c r="J3" s="437"/>
    </row>
    <row r="4" spans="2:29" ht="20.25" customHeight="1" thickTop="1" thickBot="1"/>
    <row r="5" spans="2:29" ht="22.5" thickTop="1" thickBot="1">
      <c r="B5" s="245" t="s">
        <v>125</v>
      </c>
      <c r="C5" s="246"/>
      <c r="D5" s="246"/>
      <c r="E5" s="246"/>
      <c r="F5" s="246"/>
      <c r="G5" s="246"/>
      <c r="H5" s="246"/>
      <c r="I5" s="246"/>
      <c r="J5" s="246"/>
      <c r="K5" s="246"/>
      <c r="L5" s="246"/>
      <c r="M5" s="246"/>
      <c r="N5" s="246"/>
      <c r="O5" s="246"/>
      <c r="P5" s="247"/>
    </row>
    <row r="6" spans="2:29" ht="5.25" customHeight="1" thickTop="1" thickBot="1"/>
    <row r="7" spans="2:29" ht="16.5" thickTop="1" thickBot="1">
      <c r="B7" s="1167" t="s">
        <v>368</v>
      </c>
      <c r="C7" s="1168"/>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c r="B8" s="1169" t="s">
        <v>121</v>
      </c>
      <c r="C8" s="250" t="s">
        <v>15</v>
      </c>
      <c r="D8" s="313"/>
      <c r="E8" s="313"/>
      <c r="F8" s="313"/>
      <c r="G8" s="313"/>
      <c r="H8" s="313"/>
      <c r="I8" s="313"/>
      <c r="J8" s="313"/>
      <c r="K8" s="313"/>
      <c r="L8" s="313"/>
      <c r="M8" s="313"/>
      <c r="N8" s="313"/>
      <c r="O8" s="313"/>
      <c r="P8" s="251">
        <f>SUM(D8:O8)</f>
        <v>0</v>
      </c>
    </row>
    <row r="9" spans="2:29">
      <c r="B9" s="1169"/>
      <c r="C9" s="250" t="s">
        <v>112</v>
      </c>
      <c r="D9" s="314"/>
      <c r="E9" s="314"/>
      <c r="F9" s="314"/>
      <c r="G9" s="314"/>
      <c r="H9" s="314"/>
      <c r="I9" s="314"/>
      <c r="J9" s="314"/>
      <c r="K9" s="314"/>
      <c r="L9" s="314"/>
      <c r="M9" s="314"/>
      <c r="N9" s="314"/>
      <c r="O9" s="314"/>
      <c r="P9" s="253">
        <f>SUM(D9:O9)</f>
        <v>0</v>
      </c>
    </row>
    <row r="10" spans="2:29">
      <c r="B10" s="1170"/>
      <c r="C10" s="252" t="s">
        <v>113</v>
      </c>
      <c r="D10" s="314"/>
      <c r="E10" s="314"/>
      <c r="F10" s="314"/>
      <c r="G10" s="314"/>
      <c r="H10" s="314"/>
      <c r="I10" s="314"/>
      <c r="J10" s="314"/>
      <c r="K10" s="314"/>
      <c r="L10" s="314"/>
      <c r="M10" s="314"/>
      <c r="N10" s="314"/>
      <c r="O10" s="314"/>
      <c r="P10" s="253">
        <f>IF(P8=0,0,P11/P8)</f>
        <v>0</v>
      </c>
    </row>
    <row r="11" spans="2:29" ht="15.75" thickBot="1">
      <c r="B11" s="1175"/>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c r="B12" s="1169" t="s">
        <v>13</v>
      </c>
      <c r="C12" s="257" t="s">
        <v>15</v>
      </c>
      <c r="D12" s="313"/>
      <c r="E12" s="313"/>
      <c r="F12" s="313"/>
      <c r="G12" s="313"/>
      <c r="H12" s="313"/>
      <c r="I12" s="313"/>
      <c r="J12" s="313"/>
      <c r="K12" s="313"/>
      <c r="L12" s="313"/>
      <c r="M12" s="313"/>
      <c r="N12" s="313"/>
      <c r="O12" s="313"/>
      <c r="P12" s="251">
        <f>SUM(D12:O12)</f>
        <v>0</v>
      </c>
    </row>
    <row r="13" spans="2:29">
      <c r="B13" s="1169"/>
      <c r="C13" s="250" t="s">
        <v>112</v>
      </c>
      <c r="D13" s="314"/>
      <c r="E13" s="314"/>
      <c r="F13" s="314"/>
      <c r="G13" s="314"/>
      <c r="H13" s="314"/>
      <c r="I13" s="314"/>
      <c r="J13" s="314"/>
      <c r="K13" s="314"/>
      <c r="L13" s="314"/>
      <c r="M13" s="314"/>
      <c r="N13" s="314"/>
      <c r="O13" s="314"/>
      <c r="P13" s="253">
        <f>SUM(D13:O13)</f>
        <v>0</v>
      </c>
    </row>
    <row r="14" spans="2:29">
      <c r="B14" s="1170"/>
      <c r="C14" s="252" t="s">
        <v>113</v>
      </c>
      <c r="D14" s="314"/>
      <c r="E14" s="314"/>
      <c r="F14" s="314"/>
      <c r="G14" s="314"/>
      <c r="H14" s="314"/>
      <c r="I14" s="314"/>
      <c r="J14" s="314"/>
      <c r="K14" s="314"/>
      <c r="L14" s="314"/>
      <c r="M14" s="314"/>
      <c r="N14" s="314"/>
      <c r="O14" s="314"/>
      <c r="P14" s="253">
        <f>IF(P12=0,0,P15/P12)</f>
        <v>0</v>
      </c>
    </row>
    <row r="15" spans="2:29" ht="15.75" thickBot="1">
      <c r="B15" s="1171"/>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c r="B16" s="1174" t="s">
        <v>14</v>
      </c>
      <c r="C16" s="257" t="s">
        <v>15</v>
      </c>
      <c r="D16" s="315"/>
      <c r="E16" s="315"/>
      <c r="F16" s="315"/>
      <c r="G16" s="315"/>
      <c r="H16" s="315"/>
      <c r="I16" s="315"/>
      <c r="J16" s="315"/>
      <c r="K16" s="315"/>
      <c r="L16" s="315"/>
      <c r="M16" s="315"/>
      <c r="N16" s="315"/>
      <c r="O16" s="315"/>
      <c r="P16" s="260">
        <f>SUM(D16:O16)</f>
        <v>0</v>
      </c>
    </row>
    <row r="17" spans="2:29">
      <c r="B17" s="1169"/>
      <c r="C17" s="250" t="s">
        <v>112</v>
      </c>
      <c r="D17" s="314"/>
      <c r="E17" s="314"/>
      <c r="F17" s="314"/>
      <c r="G17" s="314"/>
      <c r="H17" s="314"/>
      <c r="I17" s="314"/>
      <c r="J17" s="314"/>
      <c r="K17" s="314"/>
      <c r="L17" s="314"/>
      <c r="M17" s="314"/>
      <c r="N17" s="314"/>
      <c r="O17" s="314"/>
      <c r="P17" s="253">
        <f>SUM(D17:O17)</f>
        <v>0</v>
      </c>
    </row>
    <row r="18" spans="2:29">
      <c r="B18" s="1170"/>
      <c r="C18" s="252" t="s">
        <v>113</v>
      </c>
      <c r="D18" s="314"/>
      <c r="E18" s="314"/>
      <c r="F18" s="314"/>
      <c r="G18" s="314"/>
      <c r="H18" s="314"/>
      <c r="I18" s="314"/>
      <c r="J18" s="314"/>
      <c r="K18" s="314"/>
      <c r="L18" s="314"/>
      <c r="M18" s="314"/>
      <c r="N18" s="314"/>
      <c r="O18" s="314"/>
      <c r="P18" s="253">
        <f>IF(P16=0,0,P19/P16)</f>
        <v>0</v>
      </c>
    </row>
    <row r="19" spans="2:29" ht="15.75" thickBot="1">
      <c r="B19" s="1175"/>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c r="B20" s="1169" t="s">
        <v>105</v>
      </c>
      <c r="C20" s="257" t="s">
        <v>15</v>
      </c>
      <c r="D20" s="313"/>
      <c r="E20" s="313"/>
      <c r="F20" s="313"/>
      <c r="G20" s="313"/>
      <c r="H20" s="313"/>
      <c r="I20" s="313"/>
      <c r="J20" s="313"/>
      <c r="K20" s="313"/>
      <c r="L20" s="313"/>
      <c r="M20" s="313"/>
      <c r="N20" s="313"/>
      <c r="O20" s="313"/>
      <c r="P20" s="251">
        <f>SUM(D20:O20)</f>
        <v>0</v>
      </c>
    </row>
    <row r="21" spans="2:29">
      <c r="B21" s="1169"/>
      <c r="C21" s="250" t="s">
        <v>112</v>
      </c>
      <c r="D21" s="314"/>
      <c r="E21" s="314"/>
      <c r="F21" s="314"/>
      <c r="G21" s="314"/>
      <c r="H21" s="314"/>
      <c r="I21" s="314"/>
      <c r="J21" s="314"/>
      <c r="K21" s="314"/>
      <c r="L21" s="314"/>
      <c r="M21" s="314"/>
      <c r="N21" s="314"/>
      <c r="O21" s="314"/>
      <c r="P21" s="253">
        <f>SUM(D21:O21)</f>
        <v>0</v>
      </c>
    </row>
    <row r="22" spans="2:29">
      <c r="B22" s="1170"/>
      <c r="C22" s="252" t="s">
        <v>113</v>
      </c>
      <c r="D22" s="314"/>
      <c r="E22" s="314"/>
      <c r="F22" s="314"/>
      <c r="G22" s="314"/>
      <c r="H22" s="314"/>
      <c r="I22" s="314"/>
      <c r="J22" s="314"/>
      <c r="K22" s="314"/>
      <c r="L22" s="314"/>
      <c r="M22" s="314"/>
      <c r="N22" s="314"/>
      <c r="O22" s="314"/>
      <c r="P22" s="253">
        <f>IF(P20=0,0,P23/P20)</f>
        <v>0</v>
      </c>
    </row>
    <row r="23" spans="2:29" ht="15.75" thickBot="1">
      <c r="B23" s="1171"/>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c r="B24" s="1174" t="s">
        <v>106</v>
      </c>
      <c r="C24" s="257" t="s">
        <v>15</v>
      </c>
      <c r="D24" s="315"/>
      <c r="E24" s="315"/>
      <c r="F24" s="315"/>
      <c r="G24" s="315"/>
      <c r="H24" s="315"/>
      <c r="I24" s="315"/>
      <c r="J24" s="315"/>
      <c r="K24" s="315"/>
      <c r="L24" s="315"/>
      <c r="M24" s="315"/>
      <c r="N24" s="315"/>
      <c r="O24" s="315"/>
      <c r="P24" s="260">
        <f>SUM(D24:O24)</f>
        <v>0</v>
      </c>
    </row>
    <row r="25" spans="2:29">
      <c r="B25" s="1169"/>
      <c r="C25" s="250" t="s">
        <v>112</v>
      </c>
      <c r="D25" s="314"/>
      <c r="E25" s="314"/>
      <c r="F25" s="314"/>
      <c r="G25" s="314"/>
      <c r="H25" s="314"/>
      <c r="I25" s="314"/>
      <c r="J25" s="314"/>
      <c r="K25" s="314"/>
      <c r="L25" s="314"/>
      <c r="M25" s="314"/>
      <c r="N25" s="314"/>
      <c r="O25" s="314"/>
      <c r="P25" s="253">
        <f>SUM(D25:O25)</f>
        <v>0</v>
      </c>
    </row>
    <row r="26" spans="2:29">
      <c r="B26" s="1170"/>
      <c r="C26" s="252" t="s">
        <v>113</v>
      </c>
      <c r="D26" s="314"/>
      <c r="E26" s="314"/>
      <c r="F26" s="314"/>
      <c r="G26" s="314"/>
      <c r="H26" s="314"/>
      <c r="I26" s="314"/>
      <c r="J26" s="314"/>
      <c r="K26" s="314"/>
      <c r="L26" s="314"/>
      <c r="M26" s="314"/>
      <c r="N26" s="314"/>
      <c r="O26" s="314"/>
      <c r="P26" s="253">
        <f>IF(P24=0,0,P27/P24)</f>
        <v>0</v>
      </c>
    </row>
    <row r="27" spans="2:29" ht="15.75" thickBot="1">
      <c r="B27" s="1171"/>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c r="B29" s="229"/>
      <c r="C29" s="224"/>
      <c r="D29" s="224"/>
      <c r="E29" s="224"/>
      <c r="F29" s="224"/>
      <c r="G29" s="224"/>
      <c r="H29" s="224"/>
      <c r="I29" s="224"/>
      <c r="J29" s="224"/>
      <c r="K29" s="224"/>
      <c r="L29" s="224"/>
      <c r="M29" s="224"/>
      <c r="N29" s="224"/>
      <c r="O29" s="224"/>
      <c r="P29" s="224"/>
    </row>
    <row r="30" spans="2:29" ht="16.5" thickTop="1" thickBot="1">
      <c r="B30" s="1167" t="s">
        <v>369</v>
      </c>
      <c r="C30" s="1168"/>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c r="B31" s="1169" t="s">
        <v>14</v>
      </c>
      <c r="C31" s="250" t="s">
        <v>15</v>
      </c>
      <c r="D31" s="313"/>
      <c r="E31" s="313"/>
      <c r="F31" s="313"/>
      <c r="G31" s="313"/>
      <c r="H31" s="313"/>
      <c r="I31" s="313"/>
      <c r="J31" s="313"/>
      <c r="K31" s="313"/>
      <c r="L31" s="313"/>
      <c r="M31" s="313"/>
      <c r="N31" s="313"/>
      <c r="O31" s="313"/>
      <c r="P31" s="251">
        <f>SUM(D31:O31)</f>
        <v>0</v>
      </c>
    </row>
    <row r="32" spans="2:29">
      <c r="B32" s="1169"/>
      <c r="C32" s="250" t="s">
        <v>112</v>
      </c>
      <c r="D32" s="313"/>
      <c r="E32" s="313"/>
      <c r="F32" s="313"/>
      <c r="G32" s="313"/>
      <c r="H32" s="313"/>
      <c r="I32" s="313"/>
      <c r="J32" s="313"/>
      <c r="K32" s="313"/>
      <c r="L32" s="313"/>
      <c r="M32" s="313"/>
      <c r="N32" s="313"/>
      <c r="O32" s="313"/>
      <c r="P32" s="253">
        <f>SUM(D32:O32)</f>
        <v>0</v>
      </c>
    </row>
    <row r="33" spans="2:16">
      <c r="B33" s="1170"/>
      <c r="C33" s="252" t="s">
        <v>113</v>
      </c>
      <c r="D33" s="267">
        <f t="shared" ref="D33:P33" si="6">IF(D31=0,0,D34/D31)</f>
        <v>0</v>
      </c>
      <c r="E33" s="267">
        <f t="shared" si="6"/>
        <v>0</v>
      </c>
      <c r="F33" s="267">
        <f t="shared" si="6"/>
        <v>0</v>
      </c>
      <c r="G33" s="267">
        <f t="shared" si="6"/>
        <v>0</v>
      </c>
      <c r="H33" s="267">
        <f t="shared" si="6"/>
        <v>0</v>
      </c>
      <c r="I33" s="267">
        <f t="shared" si="6"/>
        <v>0</v>
      </c>
      <c r="J33" s="267">
        <f t="shared" si="6"/>
        <v>0</v>
      </c>
      <c r="K33" s="267">
        <f t="shared" si="6"/>
        <v>0</v>
      </c>
      <c r="L33" s="267">
        <f t="shared" si="6"/>
        <v>0</v>
      </c>
      <c r="M33" s="267">
        <f t="shared" si="6"/>
        <v>0</v>
      </c>
      <c r="N33" s="267">
        <f t="shared" si="6"/>
        <v>0</v>
      </c>
      <c r="O33" s="267">
        <f t="shared" si="6"/>
        <v>0</v>
      </c>
      <c r="P33" s="253">
        <f t="shared" si="6"/>
        <v>0</v>
      </c>
    </row>
    <row r="34" spans="2:16" ht="15.75" thickBot="1">
      <c r="B34" s="1175"/>
      <c r="C34" s="254" t="s">
        <v>16</v>
      </c>
      <c r="D34" s="316"/>
      <c r="E34" s="316"/>
      <c r="F34" s="316"/>
      <c r="G34" s="316"/>
      <c r="H34" s="316"/>
      <c r="I34" s="316"/>
      <c r="J34" s="316"/>
      <c r="K34" s="316"/>
      <c r="L34" s="316"/>
      <c r="M34" s="316"/>
      <c r="N34" s="316"/>
      <c r="O34" s="316"/>
      <c r="P34" s="268">
        <f>SUM(D34:O34)</f>
        <v>0</v>
      </c>
    </row>
    <row r="35" spans="2:16" ht="15.75" thickTop="1">
      <c r="B35" s="1169" t="s">
        <v>105</v>
      </c>
      <c r="C35" s="257" t="s">
        <v>15</v>
      </c>
      <c r="D35" s="313"/>
      <c r="E35" s="313"/>
      <c r="F35" s="313"/>
      <c r="G35" s="313"/>
      <c r="H35" s="313"/>
      <c r="I35" s="313"/>
      <c r="J35" s="313"/>
      <c r="K35" s="313"/>
      <c r="L35" s="313"/>
      <c r="M35" s="313"/>
      <c r="N35" s="313"/>
      <c r="O35" s="313"/>
      <c r="P35" s="251">
        <f>SUM(D35:O35)</f>
        <v>0</v>
      </c>
    </row>
    <row r="36" spans="2:16">
      <c r="B36" s="1169"/>
      <c r="C36" s="250" t="s">
        <v>112</v>
      </c>
      <c r="D36" s="313"/>
      <c r="E36" s="313"/>
      <c r="F36" s="313"/>
      <c r="G36" s="313"/>
      <c r="H36" s="313"/>
      <c r="I36" s="313"/>
      <c r="J36" s="313"/>
      <c r="K36" s="313"/>
      <c r="L36" s="313"/>
      <c r="M36" s="313"/>
      <c r="N36" s="313"/>
      <c r="O36" s="313"/>
      <c r="P36" s="253">
        <f>SUM(D36:O36)</f>
        <v>0</v>
      </c>
    </row>
    <row r="37" spans="2:16">
      <c r="B37" s="1170"/>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c r="B38" s="1171"/>
      <c r="C38" s="254" t="s">
        <v>16</v>
      </c>
      <c r="D38" s="316"/>
      <c r="E38" s="316"/>
      <c r="F38" s="316"/>
      <c r="G38" s="316"/>
      <c r="H38" s="316"/>
      <c r="I38" s="316"/>
      <c r="J38" s="316"/>
      <c r="K38" s="316"/>
      <c r="L38" s="316"/>
      <c r="M38" s="316"/>
      <c r="N38" s="316"/>
      <c r="O38" s="316"/>
      <c r="P38" s="259">
        <f>SUM(D38:O38)</f>
        <v>0</v>
      </c>
    </row>
    <row r="39" spans="2:16" ht="15.75" thickTop="1">
      <c r="B39" s="1174" t="s">
        <v>106</v>
      </c>
      <c r="C39" s="257" t="s">
        <v>15</v>
      </c>
      <c r="D39" s="315"/>
      <c r="E39" s="315"/>
      <c r="F39" s="315"/>
      <c r="G39" s="315"/>
      <c r="H39" s="315"/>
      <c r="I39" s="315"/>
      <c r="J39" s="315"/>
      <c r="K39" s="315"/>
      <c r="L39" s="315"/>
      <c r="M39" s="315"/>
      <c r="N39" s="315"/>
      <c r="O39" s="315"/>
      <c r="P39" s="260">
        <f>SUM(D39:O39)</f>
        <v>0</v>
      </c>
    </row>
    <row r="40" spans="2:16">
      <c r="B40" s="1169"/>
      <c r="C40" s="250" t="s">
        <v>112</v>
      </c>
      <c r="D40" s="313"/>
      <c r="E40" s="313"/>
      <c r="F40" s="313"/>
      <c r="G40" s="313"/>
      <c r="H40" s="313"/>
      <c r="I40" s="313"/>
      <c r="J40" s="313"/>
      <c r="K40" s="313"/>
      <c r="L40" s="313"/>
      <c r="M40" s="313"/>
      <c r="N40" s="313"/>
      <c r="O40" s="313"/>
      <c r="P40" s="253">
        <f>SUM(D40:O40)</f>
        <v>0</v>
      </c>
    </row>
    <row r="41" spans="2:16">
      <c r="B41" s="1170"/>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c r="B42" s="1175"/>
      <c r="C42" s="261" t="s">
        <v>16</v>
      </c>
      <c r="D42" s="316"/>
      <c r="E42" s="316"/>
      <c r="F42" s="316"/>
      <c r="G42" s="316"/>
      <c r="H42" s="316"/>
      <c r="I42" s="316"/>
      <c r="J42" s="316"/>
      <c r="K42" s="316"/>
      <c r="L42" s="316"/>
      <c r="M42" s="316"/>
      <c r="N42" s="316"/>
      <c r="O42" s="316"/>
      <c r="P42" s="256">
        <f>SUM(D42:O42)</f>
        <v>0</v>
      </c>
    </row>
    <row r="43" spans="2:16" s="266" customFormat="1" ht="16.5" thickTop="1" thickBot="1">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0</v>
      </c>
      <c r="K43" s="264">
        <f t="shared" si="9"/>
        <v>0</v>
      </c>
      <c r="L43" s="264">
        <f t="shared" si="9"/>
        <v>0</v>
      </c>
      <c r="M43" s="264">
        <f t="shared" si="9"/>
        <v>0</v>
      </c>
      <c r="N43" s="264">
        <f t="shared" si="9"/>
        <v>0</v>
      </c>
      <c r="O43" s="264">
        <f t="shared" si="9"/>
        <v>0</v>
      </c>
      <c r="P43" s="265">
        <f t="shared" si="9"/>
        <v>0</v>
      </c>
    </row>
    <row r="44" spans="2:16" ht="16.5" thickTop="1" thickBot="1"/>
    <row r="45" spans="2:16" ht="23.25" customHeight="1" thickTop="1" thickBot="1">
      <c r="B45" s="1167" t="s">
        <v>235</v>
      </c>
      <c r="C45" s="1168"/>
      <c r="D45" s="269" t="s">
        <v>202</v>
      </c>
      <c r="E45" s="248" t="s">
        <v>47</v>
      </c>
      <c r="F45" s="270" t="s">
        <v>203</v>
      </c>
      <c r="G45" s="270" t="s">
        <v>488</v>
      </c>
      <c r="H45" s="1163" t="s">
        <v>236</v>
      </c>
      <c r="I45" s="1164"/>
      <c r="J45" s="271"/>
      <c r="K45" s="436" t="s">
        <v>489</v>
      </c>
      <c r="L45" s="271"/>
      <c r="M45" s="271"/>
      <c r="N45" s="271"/>
      <c r="O45" s="271"/>
      <c r="P45" s="271"/>
    </row>
    <row r="46" spans="2:16" ht="15.75" customHeight="1" thickTop="1">
      <c r="B46" s="1172"/>
      <c r="C46" s="1173"/>
      <c r="D46" s="317"/>
      <c r="E46" s="317"/>
      <c r="F46" s="318"/>
      <c r="G46" s="318"/>
      <c r="H46" s="1165"/>
      <c r="I46" s="1166"/>
      <c r="J46" s="273" t="s">
        <v>104</v>
      </c>
      <c r="K46" s="226">
        <f>(F46*G46)/14.689</f>
        <v>0</v>
      </c>
      <c r="L46" s="1019"/>
      <c r="M46" s="1019"/>
      <c r="N46" s="1019"/>
      <c r="O46" s="1019"/>
      <c r="P46" s="271"/>
    </row>
    <row r="47" spans="2:16">
      <c r="B47" s="1176"/>
      <c r="C47" s="1177"/>
      <c r="D47" s="777"/>
      <c r="E47" s="317"/>
      <c r="F47" s="318"/>
      <c r="G47" s="318"/>
      <c r="H47" s="1161"/>
      <c r="I47" s="1162"/>
      <c r="J47" s="273" t="s">
        <v>103</v>
      </c>
      <c r="K47" s="226">
        <f t="shared" ref="K47:K65" si="10">(F47*G47)/14.689</f>
        <v>0</v>
      </c>
      <c r="L47" s="224"/>
      <c r="M47" s="274"/>
      <c r="N47" s="237"/>
      <c r="O47" s="275"/>
      <c r="P47" s="276"/>
    </row>
    <row r="48" spans="2:16">
      <c r="B48" s="1176"/>
      <c r="C48" s="1177"/>
      <c r="D48" s="317"/>
      <c r="E48" s="317"/>
      <c r="F48" s="318"/>
      <c r="G48" s="318"/>
      <c r="H48" s="1161"/>
      <c r="I48" s="1162"/>
      <c r="J48" s="273" t="s">
        <v>102</v>
      </c>
      <c r="K48" s="226">
        <f t="shared" si="10"/>
        <v>0</v>
      </c>
      <c r="L48" s="224"/>
      <c r="M48" s="274"/>
      <c r="N48" s="237"/>
      <c r="O48" s="275"/>
      <c r="P48" s="276"/>
    </row>
    <row r="49" spans="2:16">
      <c r="B49" s="1176"/>
      <c r="C49" s="1177"/>
      <c r="D49" s="317"/>
      <c r="E49" s="317"/>
      <c r="F49" s="318"/>
      <c r="G49" s="318"/>
      <c r="H49" s="1161"/>
      <c r="I49" s="1162"/>
      <c r="J49" s="273" t="s">
        <v>123</v>
      </c>
      <c r="K49" s="226">
        <f t="shared" si="10"/>
        <v>0</v>
      </c>
      <c r="L49" s="224"/>
      <c r="M49" s="274"/>
      <c r="N49" s="237"/>
      <c r="O49" s="275"/>
      <c r="P49" s="276"/>
    </row>
    <row r="50" spans="2:16">
      <c r="B50" s="1176"/>
      <c r="C50" s="1177"/>
      <c r="D50" s="317"/>
      <c r="E50" s="317"/>
      <c r="F50" s="318"/>
      <c r="G50" s="318"/>
      <c r="H50" s="1161"/>
      <c r="I50" s="1162"/>
      <c r="J50" s="224"/>
      <c r="K50" s="226">
        <f t="shared" si="10"/>
        <v>0</v>
      </c>
      <c r="L50" s="224"/>
      <c r="M50" s="274"/>
      <c r="N50" s="237"/>
      <c r="O50" s="275"/>
      <c r="P50" s="276"/>
    </row>
    <row r="51" spans="2:16">
      <c r="B51" s="1176"/>
      <c r="C51" s="1177"/>
      <c r="D51" s="317"/>
      <c r="E51" s="317"/>
      <c r="F51" s="318"/>
      <c r="G51" s="318"/>
      <c r="H51" s="1161"/>
      <c r="I51" s="1162"/>
      <c r="J51" s="224"/>
      <c r="K51" s="226">
        <f t="shared" si="10"/>
        <v>0</v>
      </c>
      <c r="L51" s="224"/>
      <c r="M51" s="274"/>
      <c r="N51" s="237"/>
      <c r="O51" s="275"/>
      <c r="P51" s="276"/>
    </row>
    <row r="52" spans="2:16">
      <c r="B52" s="1176"/>
      <c r="C52" s="1177"/>
      <c r="D52" s="317"/>
      <c r="E52" s="317"/>
      <c r="F52" s="318"/>
      <c r="G52" s="318"/>
      <c r="H52" s="1161"/>
      <c r="I52" s="1162"/>
      <c r="J52" s="274"/>
      <c r="K52" s="226">
        <f t="shared" si="10"/>
        <v>0</v>
      </c>
      <c r="L52" s="275"/>
      <c r="M52" s="274"/>
      <c r="N52" s="237"/>
      <c r="O52" s="275"/>
      <c r="P52" s="276"/>
    </row>
    <row r="53" spans="2:16">
      <c r="B53" s="1176"/>
      <c r="C53" s="1177"/>
      <c r="D53" s="317"/>
      <c r="E53" s="317"/>
      <c r="F53" s="318"/>
      <c r="G53" s="318"/>
      <c r="H53" s="1161"/>
      <c r="I53" s="1162"/>
      <c r="J53" s="274"/>
      <c r="K53" s="226">
        <f t="shared" si="10"/>
        <v>0</v>
      </c>
      <c r="L53" s="275"/>
      <c r="M53" s="274"/>
      <c r="N53" s="237"/>
      <c r="O53" s="275"/>
      <c r="P53" s="276"/>
    </row>
    <row r="54" spans="2:16">
      <c r="B54" s="1176"/>
      <c r="C54" s="1177"/>
      <c r="D54" s="317"/>
      <c r="E54" s="317"/>
      <c r="F54" s="318"/>
      <c r="G54" s="318"/>
      <c r="H54" s="1161"/>
      <c r="I54" s="1162"/>
      <c r="J54" s="274"/>
      <c r="K54" s="226">
        <f t="shared" si="10"/>
        <v>0</v>
      </c>
      <c r="L54" s="275"/>
      <c r="M54" s="274"/>
      <c r="N54" s="237"/>
      <c r="O54" s="275"/>
      <c r="P54" s="276"/>
    </row>
    <row r="55" spans="2:16">
      <c r="B55" s="1176"/>
      <c r="C55" s="1177"/>
      <c r="D55" s="317"/>
      <c r="E55" s="317"/>
      <c r="F55" s="318"/>
      <c r="G55" s="318"/>
      <c r="H55" s="1161"/>
      <c r="I55" s="1162"/>
      <c r="J55" s="274"/>
      <c r="K55" s="226">
        <f t="shared" si="10"/>
        <v>0</v>
      </c>
      <c r="L55" s="275"/>
      <c r="M55" s="274"/>
      <c r="N55" s="237"/>
      <c r="O55" s="275"/>
      <c r="P55" s="276"/>
    </row>
    <row r="56" spans="2:16">
      <c r="B56" s="1176"/>
      <c r="C56" s="1177"/>
      <c r="D56" s="317"/>
      <c r="E56" s="317"/>
      <c r="F56" s="318"/>
      <c r="G56" s="318"/>
      <c r="H56" s="1161"/>
      <c r="I56" s="1162"/>
      <c r="J56" s="274"/>
      <c r="K56" s="226">
        <f t="shared" si="10"/>
        <v>0</v>
      </c>
      <c r="L56" s="275"/>
      <c r="M56" s="274"/>
      <c r="N56" s="237"/>
      <c r="O56" s="275"/>
      <c r="P56" s="276"/>
    </row>
    <row r="57" spans="2:16">
      <c r="B57" s="1176"/>
      <c r="C57" s="1177"/>
      <c r="D57" s="317"/>
      <c r="E57" s="317"/>
      <c r="F57" s="318"/>
      <c r="G57" s="318"/>
      <c r="H57" s="1161"/>
      <c r="I57" s="1162"/>
      <c r="J57" s="274"/>
      <c r="K57" s="226">
        <f t="shared" si="10"/>
        <v>0</v>
      </c>
      <c r="L57" s="275"/>
      <c r="M57" s="274"/>
      <c r="N57" s="237"/>
      <c r="O57" s="275"/>
      <c r="P57" s="276"/>
    </row>
    <row r="58" spans="2:16">
      <c r="B58" s="1176"/>
      <c r="C58" s="1177"/>
      <c r="D58" s="319"/>
      <c r="E58" s="317"/>
      <c r="F58" s="318"/>
      <c r="G58" s="318"/>
      <c r="H58" s="1161"/>
      <c r="I58" s="1162"/>
      <c r="J58" s="274"/>
      <c r="K58" s="226">
        <f t="shared" si="10"/>
        <v>0</v>
      </c>
      <c r="L58" s="275"/>
      <c r="M58" s="274"/>
      <c r="N58" s="237"/>
      <c r="O58" s="275"/>
      <c r="P58" s="276"/>
    </row>
    <row r="59" spans="2:16">
      <c r="B59" s="820"/>
      <c r="C59" s="821"/>
      <c r="D59" s="319"/>
      <c r="E59" s="317"/>
      <c r="F59" s="318"/>
      <c r="G59" s="318"/>
      <c r="H59" s="1161"/>
      <c r="I59" s="1162"/>
      <c r="J59" s="274"/>
      <c r="K59" s="226">
        <f t="shared" si="10"/>
        <v>0</v>
      </c>
      <c r="L59" s="275"/>
      <c r="M59" s="274"/>
      <c r="N59" s="237"/>
      <c r="O59" s="275"/>
      <c r="P59" s="276"/>
    </row>
    <row r="60" spans="2:16">
      <c r="B60" s="820"/>
      <c r="C60" s="821"/>
      <c r="D60" s="319"/>
      <c r="E60" s="317"/>
      <c r="F60" s="318"/>
      <c r="G60" s="318"/>
      <c r="H60" s="1161"/>
      <c r="I60" s="1162"/>
      <c r="J60" s="274"/>
      <c r="K60" s="226">
        <f t="shared" si="10"/>
        <v>0</v>
      </c>
      <c r="L60" s="275"/>
      <c r="M60" s="274"/>
      <c r="N60" s="237"/>
      <c r="O60" s="275"/>
      <c r="P60" s="276"/>
    </row>
    <row r="61" spans="2:16">
      <c r="B61" s="820"/>
      <c r="C61" s="821"/>
      <c r="D61" s="319"/>
      <c r="E61" s="317"/>
      <c r="F61" s="318"/>
      <c r="G61" s="318"/>
      <c r="H61" s="1161"/>
      <c r="I61" s="1162"/>
      <c r="J61" s="274"/>
      <c r="K61" s="226">
        <f t="shared" si="10"/>
        <v>0</v>
      </c>
      <c r="L61" s="275"/>
      <c r="M61" s="274"/>
      <c r="N61" s="237"/>
      <c r="O61" s="275"/>
      <c r="P61" s="276"/>
    </row>
    <row r="62" spans="2:16">
      <c r="B62" s="820"/>
      <c r="C62" s="821"/>
      <c r="D62" s="319"/>
      <c r="E62" s="317"/>
      <c r="F62" s="318"/>
      <c r="G62" s="318"/>
      <c r="H62" s="1161"/>
      <c r="I62" s="1162"/>
      <c r="J62" s="274"/>
      <c r="K62" s="226">
        <f t="shared" si="10"/>
        <v>0</v>
      </c>
      <c r="L62" s="275"/>
      <c r="M62" s="274"/>
      <c r="N62" s="237"/>
      <c r="O62" s="275"/>
      <c r="P62" s="276"/>
    </row>
    <row r="63" spans="2:16">
      <c r="B63" s="820"/>
      <c r="C63" s="821"/>
      <c r="D63" s="319"/>
      <c r="E63" s="317"/>
      <c r="F63" s="318"/>
      <c r="G63" s="318"/>
      <c r="H63" s="1161"/>
      <c r="I63" s="1162"/>
      <c r="J63" s="274"/>
      <c r="K63" s="226">
        <f t="shared" si="10"/>
        <v>0</v>
      </c>
      <c r="L63" s="275"/>
      <c r="M63" s="274"/>
      <c r="N63" s="237"/>
      <c r="O63" s="275"/>
      <c r="P63" s="276"/>
    </row>
    <row r="64" spans="2:16">
      <c r="B64" s="820"/>
      <c r="C64" s="821"/>
      <c r="D64" s="319"/>
      <c r="E64" s="317"/>
      <c r="F64" s="318"/>
      <c r="G64" s="318"/>
      <c r="H64" s="1161"/>
      <c r="I64" s="1162"/>
      <c r="J64" s="274"/>
      <c r="K64" s="226">
        <f t="shared" si="10"/>
        <v>0</v>
      </c>
      <c r="L64" s="275"/>
      <c r="M64" s="274"/>
      <c r="N64" s="237"/>
      <c r="O64" s="275"/>
      <c r="P64" s="276"/>
    </row>
    <row r="65" spans="2:26" ht="15.75" thickBot="1">
      <c r="B65" s="778"/>
      <c r="C65" s="779"/>
      <c r="D65" s="320"/>
      <c r="E65" s="321"/>
      <c r="F65" s="322"/>
      <c r="G65" s="322"/>
      <c r="H65" s="1159"/>
      <c r="I65" s="1160"/>
      <c r="J65" s="274"/>
      <c r="K65" s="226">
        <f t="shared" si="10"/>
        <v>0</v>
      </c>
      <c r="L65" s="275"/>
      <c r="M65" s="274"/>
      <c r="N65" s="237"/>
      <c r="O65" s="275"/>
      <c r="P65" s="276"/>
    </row>
    <row r="66" spans="2:26" ht="16.5" thickTop="1" thickBot="1">
      <c r="B66" s="278"/>
      <c r="C66" s="277"/>
      <c r="D66" s="279"/>
      <c r="E66" s="280"/>
      <c r="F66" s="281"/>
      <c r="G66" s="279"/>
      <c r="H66" s="280"/>
      <c r="I66" s="281"/>
      <c r="J66" s="279"/>
      <c r="K66" s="280"/>
      <c r="L66" s="281"/>
      <c r="M66" s="279"/>
      <c r="N66" s="280"/>
      <c r="O66" s="281"/>
      <c r="P66" s="282"/>
    </row>
    <row r="67" spans="2:26" ht="16.5" thickTop="1" thickBot="1">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c r="B68" s="1167" t="s">
        <v>404</v>
      </c>
      <c r="C68" s="1178"/>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row r="70" spans="2:26" ht="16.5" thickTop="1" thickBot="1">
      <c r="B70" s="1180" t="s">
        <v>403</v>
      </c>
      <c r="C70" s="1181"/>
      <c r="D70" s="290">
        <f t="shared" ref="D70:O70" si="12">SUM(D68,D43,D28)</f>
        <v>0</v>
      </c>
      <c r="E70" s="290">
        <f t="shared" si="12"/>
        <v>0</v>
      </c>
      <c r="F70" s="290">
        <f t="shared" si="12"/>
        <v>0</v>
      </c>
      <c r="G70" s="290">
        <f t="shared" si="12"/>
        <v>0</v>
      </c>
      <c r="H70" s="290">
        <f t="shared" si="12"/>
        <v>0</v>
      </c>
      <c r="I70" s="290">
        <f t="shared" si="12"/>
        <v>0</v>
      </c>
      <c r="J70" s="290">
        <f t="shared" si="12"/>
        <v>0</v>
      </c>
      <c r="K70" s="290">
        <f t="shared" si="12"/>
        <v>0</v>
      </c>
      <c r="L70" s="290">
        <f t="shared" si="12"/>
        <v>0</v>
      </c>
      <c r="M70" s="290">
        <f t="shared" si="12"/>
        <v>0</v>
      </c>
      <c r="N70" s="290">
        <f t="shared" si="12"/>
        <v>0</v>
      </c>
      <c r="O70" s="290">
        <f t="shared" si="12"/>
        <v>0</v>
      </c>
      <c r="P70" s="291">
        <f>SUM(D70:O70)</f>
        <v>0</v>
      </c>
    </row>
    <row r="71" spans="2:26" ht="16.5" thickTop="1" thickBot="1"/>
    <row r="72" spans="2:26" ht="16.5" thickTop="1" thickBot="1">
      <c r="B72" s="292" t="s">
        <v>392</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9"/>
      <c r="T72" s="1179"/>
      <c r="U72" s="1179"/>
      <c r="V72" s="1179"/>
      <c r="W72" s="1179"/>
      <c r="X72" s="1179"/>
      <c r="Y72" s="1179"/>
      <c r="Z72" s="1179"/>
    </row>
    <row r="73" spans="2:26" ht="15.75" thickTop="1">
      <c r="B73" s="297" t="s">
        <v>406</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c r="B74" s="301" t="s">
        <v>407</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c r="B75" s="304" t="s">
        <v>408</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c r="B76" s="307" t="s">
        <v>405</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c r="P77" s="224"/>
      <c r="Q77" s="224"/>
      <c r="R77" s="224"/>
      <c r="S77" s="224"/>
      <c r="T77" s="224"/>
      <c r="U77" s="224"/>
      <c r="V77" s="224"/>
      <c r="W77" s="224"/>
      <c r="X77" s="224"/>
      <c r="Y77" s="224"/>
      <c r="Z77" s="224"/>
    </row>
  </sheetData>
  <sheetProtection password="CA4F"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sheetPr codeName="Plan4"/>
  <dimension ref="A1:XFD182"/>
  <sheetViews>
    <sheetView showGridLines="0" topLeftCell="A23" zoomScale="80" zoomScaleNormal="80" workbookViewId="0">
      <selection activeCell="R24" sqref="R24"/>
    </sheetView>
  </sheetViews>
  <sheetFormatPr defaultColWidth="0" defaultRowHeight="15" zeroHeight="1"/>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row r="2" spans="1:16384" ht="16.5" customHeight="1" thickTop="1" thickBot="1">
      <c r="B2" s="440" t="str">
        <f>REBANHO!B2</f>
        <v>Fazenda</v>
      </c>
      <c r="C2" s="441" t="str">
        <f>IF(REBANHO!C2="","",REBANHO!C2)</f>
        <v>RENASCER</v>
      </c>
      <c r="D2" s="441"/>
      <c r="E2" s="441"/>
      <c r="F2" s="441"/>
      <c r="G2" s="445" t="str">
        <f>REBANHO!F2</f>
        <v>Ano</v>
      </c>
      <c r="H2" s="441"/>
      <c r="I2" s="448">
        <f>IF(REBANHO!I2="","",REBANHO!I2)</f>
        <v>2016</v>
      </c>
      <c r="K2" s="74"/>
    </row>
    <row r="3" spans="1:16384" ht="16.5" customHeight="1" thickTop="1">
      <c r="B3" s="442" t="str">
        <f>REBANHO!B3</f>
        <v>Município</v>
      </c>
      <c r="C3" s="439" t="str">
        <f>IF(REBANHO!C3="","",REBANHO!C3)</f>
        <v>INDIARA</v>
      </c>
      <c r="D3" s="439"/>
      <c r="E3" s="439"/>
      <c r="F3" s="451"/>
      <c r="G3" s="446" t="str">
        <f>REBANHO!F3</f>
        <v>Área total da propriedade (ha)</v>
      </c>
      <c r="H3" s="439"/>
      <c r="I3" s="449" t="str">
        <f>IF(REBANHO!I3="","",REBANHO!I3)</f>
        <v/>
      </c>
      <c r="K3" s="74"/>
    </row>
    <row r="4" spans="1:16384" ht="16.5" customHeight="1">
      <c r="B4" s="442" t="str">
        <f>REBANHO!B4</f>
        <v>Estado</v>
      </c>
      <c r="C4" s="439" t="str">
        <f>IF(REBANHO!C4="","",REBANHO!C4)</f>
        <v>GO</v>
      </c>
      <c r="D4" s="439"/>
      <c r="E4" s="439"/>
      <c r="F4" s="451"/>
      <c r="G4" s="446" t="str">
        <f>REBANHO!F4</f>
        <v>Área de pasto (ha)</v>
      </c>
      <c r="H4" s="439"/>
      <c r="I4" s="453">
        <f>IF(REBANHO!I4="","",REBANHO!I4)</f>
        <v>363</v>
      </c>
      <c r="K4" s="74"/>
    </row>
    <row r="5" spans="1:16384" ht="16.5" customHeight="1">
      <c r="B5" s="442" t="str">
        <f>REBANHO!B5</f>
        <v>Proprietário</v>
      </c>
      <c r="C5" s="439" t="str">
        <f>IF(REBANHO!C5="","",REBANHO!C5)</f>
        <v>AUREA</v>
      </c>
      <c r="D5" s="439"/>
      <c r="E5" s="439"/>
      <c r="F5" s="451"/>
      <c r="G5" s="446" t="str">
        <f>REBANHO!F5</f>
        <v>Área de reserva (ha)</v>
      </c>
      <c r="H5" s="439"/>
      <c r="I5" s="453" t="str">
        <f>IF(REBANHO!I5="","",REBANHO!I5)</f>
        <v/>
      </c>
      <c r="K5" s="74"/>
    </row>
    <row r="6" spans="1:16384" ht="16.5" customHeight="1" thickBot="1">
      <c r="B6" s="443" t="str">
        <f>REBANHO!B6</f>
        <v>Sistema de produção</v>
      </c>
      <c r="C6" s="444" t="str">
        <f>IF(REBANHO!C6="","",REBANHO!C6)</f>
        <v>CICLO COMPLETO</v>
      </c>
      <c r="D6" s="444"/>
      <c r="E6" s="444"/>
      <c r="F6" s="452"/>
      <c r="G6" s="447" t="str">
        <f>REBANHO!F6</f>
        <v>Outros (ha)</v>
      </c>
      <c r="H6" s="444"/>
      <c r="I6" s="450" t="str">
        <f>IF(REBANHO!I6="","",REBANHO!I6)</f>
        <v/>
      </c>
      <c r="K6" s="74"/>
    </row>
    <row r="7" spans="1:16384" ht="17.25" thickTop="1" thickBot="1">
      <c r="B7" s="2"/>
      <c r="C7" s="14"/>
      <c r="D7" s="14"/>
      <c r="E7" s="2"/>
      <c r="F7" s="38"/>
      <c r="J7" s="2"/>
      <c r="K7" s="2"/>
    </row>
    <row r="8" spans="1:16384" ht="24" customHeight="1" thickTop="1" thickBot="1">
      <c r="B8" s="1201" t="s">
        <v>229</v>
      </c>
      <c r="C8" s="1202"/>
      <c r="D8" s="1164"/>
      <c r="E8" s="3"/>
      <c r="F8" s="4"/>
      <c r="G8" s="1200" t="s">
        <v>126</v>
      </c>
      <c r="H8" s="1200"/>
      <c r="I8" s="92">
        <v>0.06</v>
      </c>
      <c r="J8" s="5"/>
      <c r="K8" s="5"/>
    </row>
    <row r="9" spans="1:16384" ht="30" customHeight="1" thickTop="1" thickBot="1">
      <c r="E9" s="3"/>
      <c r="F9" s="4"/>
      <c r="J9" s="5"/>
      <c r="K9" s="5"/>
    </row>
    <row r="10" spans="1:16384" ht="23.25" customHeight="1" thickTop="1" thickBot="1">
      <c r="B10" s="1186" t="s">
        <v>135</v>
      </c>
      <c r="C10" s="1187"/>
      <c r="D10" s="1187"/>
      <c r="E10" s="1187"/>
      <c r="F10" s="1187"/>
      <c r="G10" s="1187"/>
      <c r="H10" s="1187"/>
      <c r="I10" s="1187"/>
      <c r="J10" s="1187"/>
      <c r="K10" s="97"/>
      <c r="M10" s="1197" t="s">
        <v>374</v>
      </c>
      <c r="N10" s="1198"/>
      <c r="O10" s="1198"/>
      <c r="P10" s="1199"/>
      <c r="R10" s="128" t="s">
        <v>314</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c r="A11" s="71"/>
      <c r="B11" s="101" t="s">
        <v>136</v>
      </c>
      <c r="C11" s="102" t="s">
        <v>137</v>
      </c>
      <c r="D11" s="102" t="s">
        <v>147</v>
      </c>
      <c r="E11" s="102" t="s">
        <v>301</v>
      </c>
      <c r="F11" s="102" t="s">
        <v>373</v>
      </c>
      <c r="G11" s="102" t="s">
        <v>139</v>
      </c>
      <c r="H11" s="102" t="s">
        <v>378</v>
      </c>
      <c r="I11" s="102" t="s">
        <v>375</v>
      </c>
      <c r="J11" s="103" t="s">
        <v>376</v>
      </c>
      <c r="K11" s="105" t="s">
        <v>377</v>
      </c>
      <c r="L11" s="71"/>
      <c r="M11" s="120" t="s">
        <v>140</v>
      </c>
      <c r="N11" s="121" t="s">
        <v>141</v>
      </c>
      <c r="O11" s="121" t="s">
        <v>142</v>
      </c>
      <c r="P11" s="122" t="s">
        <v>143</v>
      </c>
      <c r="R11" s="134" t="s">
        <v>236</v>
      </c>
      <c r="S11" s="137"/>
      <c r="T11" s="131" t="s">
        <v>315</v>
      </c>
    </row>
    <row r="12" spans="1:16384" s="15" customFormat="1" ht="15.75" thickTop="1">
      <c r="A12" s="71"/>
      <c r="B12" s="98" t="s">
        <v>300</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15.38319482917821</v>
      </c>
    </row>
    <row r="13" spans="1:16384">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36.417359187442294</v>
      </c>
    </row>
    <row r="14" spans="1:16384">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0</v>
      </c>
    </row>
    <row r="15" spans="1:16384" ht="15.75" thickBot="1">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48.199445983379505</v>
      </c>
    </row>
    <row r="16" spans="1:16384" ht="15.75" thickTop="1">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c r="B22" s="58"/>
      <c r="C22" s="93"/>
      <c r="D22" s="93"/>
      <c r="E22" s="93"/>
      <c r="F22" s="73"/>
      <c r="G22" s="94"/>
      <c r="H22" s="94"/>
      <c r="I22" s="73"/>
      <c r="J22" s="73"/>
      <c r="K22" s="73"/>
      <c r="M22" s="20"/>
      <c r="N22" s="20"/>
      <c r="O22" s="20"/>
      <c r="P22" s="20"/>
    </row>
    <row r="23" spans="1:20" ht="84" customHeight="1" thickBot="1">
      <c r="B23" s="14"/>
      <c r="C23" s="14"/>
      <c r="D23" s="14"/>
      <c r="E23" s="14"/>
      <c r="F23" s="14"/>
      <c r="G23" s="14"/>
      <c r="H23" s="14"/>
      <c r="I23" s="14"/>
      <c r="J23" s="14"/>
      <c r="K23" s="75"/>
      <c r="L23" s="75"/>
      <c r="M23" s="2"/>
    </row>
    <row r="24" spans="1:20" ht="18.75" customHeight="1" thickTop="1" thickBot="1">
      <c r="A24" s="31"/>
      <c r="B24" s="14"/>
      <c r="C24" s="14"/>
      <c r="D24" s="14"/>
      <c r="E24" s="14"/>
      <c r="F24" s="14"/>
      <c r="G24" s="14"/>
      <c r="H24" s="14"/>
      <c r="I24" s="14"/>
      <c r="J24" s="14"/>
      <c r="K24" s="76"/>
      <c r="M24" s="1208" t="s">
        <v>42</v>
      </c>
      <c r="N24" s="1209"/>
      <c r="O24" s="1209"/>
      <c r="P24" s="1209"/>
      <c r="Q24" s="819" t="s">
        <v>448</v>
      </c>
      <c r="R24" s="816" t="s">
        <v>511</v>
      </c>
      <c r="S24" s="819" t="s">
        <v>449</v>
      </c>
      <c r="T24" s="817"/>
    </row>
    <row r="25" spans="1:20" ht="16.5" thickTop="1" thickBot="1">
      <c r="B25" s="141" t="s">
        <v>166</v>
      </c>
      <c r="C25" s="142"/>
      <c r="D25" s="142"/>
      <c r="E25" s="142"/>
      <c r="F25" s="142"/>
      <c r="G25" s="142"/>
      <c r="H25" s="142"/>
      <c r="I25" s="142"/>
      <c r="J25" s="142"/>
      <c r="K25" s="143"/>
      <c r="L25" s="72"/>
      <c r="M25" s="1203" t="s">
        <v>123</v>
      </c>
      <c r="N25" s="1195"/>
      <c r="O25" s="1204" t="s">
        <v>104</v>
      </c>
      <c r="P25" s="1205"/>
      <c r="Q25" s="1206" t="s">
        <v>127</v>
      </c>
      <c r="R25" s="1195"/>
      <c r="S25" s="1206" t="s">
        <v>128</v>
      </c>
      <c r="T25" s="1207"/>
    </row>
    <row r="26" spans="1:20" ht="55.5" customHeight="1" thickTop="1" thickBot="1">
      <c r="A26" s="30"/>
      <c r="B26" s="150" t="s">
        <v>136</v>
      </c>
      <c r="C26" s="151" t="s">
        <v>262</v>
      </c>
      <c r="D26" s="151" t="s">
        <v>147</v>
      </c>
      <c r="E26" s="152"/>
      <c r="F26" s="151" t="s">
        <v>224</v>
      </c>
      <c r="G26" s="151" t="s">
        <v>148</v>
      </c>
      <c r="H26" s="151" t="s">
        <v>378</v>
      </c>
      <c r="I26" s="151" t="s">
        <v>379</v>
      </c>
      <c r="J26" s="174" t="s">
        <v>437</v>
      </c>
      <c r="K26" s="175" t="s">
        <v>377</v>
      </c>
      <c r="L26" s="147" t="s">
        <v>146</v>
      </c>
      <c r="M26" s="144" t="s">
        <v>130</v>
      </c>
      <c r="N26" s="145" t="s">
        <v>131</v>
      </c>
      <c r="O26" s="145" t="s">
        <v>130</v>
      </c>
      <c r="P26" s="145" t="s">
        <v>131</v>
      </c>
      <c r="Q26" s="145" t="s">
        <v>130</v>
      </c>
      <c r="R26" s="145" t="s">
        <v>131</v>
      </c>
      <c r="S26" s="145" t="s">
        <v>130</v>
      </c>
      <c r="T26" s="146" t="s">
        <v>131</v>
      </c>
    </row>
    <row r="27" spans="1:20" ht="15.75" thickTop="1">
      <c r="A27" s="30" t="str">
        <f>IF(C27="","",MONTH(C27))</f>
        <v/>
      </c>
      <c r="B27" s="159" t="s">
        <v>502</v>
      </c>
      <c r="C27" s="160"/>
      <c r="D27" s="161"/>
      <c r="E27" s="162"/>
      <c r="F27" s="163" t="str">
        <f t="shared" ref="F27:F51" si="6">IF(L27="","",IF(D27-($I$2-L27)&lt;=0,0,D27-($I$2-L27)))</f>
        <v/>
      </c>
      <c r="G27" s="164"/>
      <c r="H27" s="165"/>
      <c r="I27" s="166" t="str">
        <f>IF(OR(B27="",H27=""),"",0)</f>
        <v/>
      </c>
      <c r="J27" s="425">
        <f>IF(OR(B27="",I$2=""),"",IF(L27&gt;$I$2,0,IF(F27&lt;=0,0,(PMT($I$8,D27,H27,0,0))*(-1))))</f>
        <v>0</v>
      </c>
      <c r="K27" s="834"/>
      <c r="L27" s="42" t="str">
        <f>IF(C27="","",YEAR(C27))</f>
        <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c r="A28" s="30" t="str">
        <f t="shared" ref="A28:A51" si="11">IF(C28="","",MONTH(C28))</f>
        <v/>
      </c>
      <c r="B28" s="148" t="s">
        <v>503</v>
      </c>
      <c r="C28" s="69"/>
      <c r="D28" s="21"/>
      <c r="E28" s="22"/>
      <c r="F28" s="40" t="str">
        <f t="shared" si="6"/>
        <v/>
      </c>
      <c r="G28" s="23"/>
      <c r="H28" s="24"/>
      <c r="I28" s="16" t="str">
        <f t="shared" ref="I28:I50" si="12">IF(OR(B28="",H28=""),"",0)</f>
        <v/>
      </c>
      <c r="J28" s="426">
        <f t="shared" ref="J28:J51" si="13">IF(OR(B28="",I$2=""),"",IF(L28&gt;$I$2,0,IF(F28&lt;=0,0,(PMT($I$8,D28,H28,0,0))*(-1))))</f>
        <v>0</v>
      </c>
      <c r="K28" s="832"/>
      <c r="L28" s="42" t="str">
        <f t="shared" ref="L28:L52" si="14">IF(C28="","",YEAR(C28))</f>
        <v/>
      </c>
      <c r="M28" s="115"/>
      <c r="N28" s="25" t="str">
        <f t="shared" si="7"/>
        <v/>
      </c>
      <c r="O28" s="17"/>
      <c r="P28" s="25" t="str">
        <f t="shared" si="8"/>
        <v/>
      </c>
      <c r="Q28" s="17"/>
      <c r="R28" s="25" t="str">
        <f t="shared" si="9"/>
        <v/>
      </c>
      <c r="S28" s="26" t="str">
        <f t="shared" ref="S28:S51" si="15">IF(AND(M28="",O28="",Q28=""),"",100-M28-O28-Q28)</f>
        <v/>
      </c>
      <c r="T28" s="182" t="str">
        <f t="shared" si="10"/>
        <v/>
      </c>
    </row>
    <row r="29" spans="1:20">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c r="A52" s="30"/>
      <c r="B52" s="153" t="s">
        <v>288</v>
      </c>
      <c r="C52" s="154"/>
      <c r="D52" s="154" t="s">
        <v>107</v>
      </c>
      <c r="E52" s="155"/>
      <c r="F52" s="156" t="s">
        <v>107</v>
      </c>
      <c r="G52" s="157">
        <f>SUM(G27:G51)</f>
        <v>0</v>
      </c>
      <c r="H52" s="158">
        <f>SUM(H27:H51)</f>
        <v>0</v>
      </c>
      <c r="I52" s="157">
        <f>SUM(I27:I51)</f>
        <v>0</v>
      </c>
      <c r="J52" s="158">
        <f>SUM(J27:J51)</f>
        <v>0</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c r="A53" s="30"/>
      <c r="B53" s="31"/>
      <c r="C53" s="42"/>
      <c r="D53" s="43"/>
      <c r="E53" s="43"/>
      <c r="F53" s="41"/>
      <c r="G53" s="41"/>
      <c r="H53" s="41"/>
      <c r="I53" s="41"/>
      <c r="J53" s="41"/>
      <c r="K53" s="41"/>
      <c r="L53" s="31"/>
      <c r="M53" s="1185"/>
      <c r="N53" s="1185"/>
      <c r="O53" s="1185"/>
      <c r="P53" s="1185"/>
      <c r="Q53" s="1185"/>
      <c r="R53" s="1185"/>
      <c r="S53" s="1185"/>
      <c r="T53" s="1185"/>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c r="A54" s="31"/>
      <c r="B54" s="1186" t="s">
        <v>167</v>
      </c>
      <c r="C54" s="1187"/>
      <c r="D54" s="1187"/>
      <c r="E54" s="1187"/>
      <c r="F54" s="1187"/>
      <c r="G54" s="1187"/>
      <c r="H54" s="1187"/>
      <c r="I54" s="1187"/>
      <c r="J54" s="1187"/>
      <c r="K54" s="97"/>
      <c r="L54" s="31"/>
      <c r="M54" s="1192" t="s">
        <v>123</v>
      </c>
      <c r="N54" s="1193"/>
      <c r="O54" s="1194" t="s">
        <v>104</v>
      </c>
      <c r="P54" s="1194"/>
      <c r="Q54" s="1193" t="s">
        <v>127</v>
      </c>
      <c r="R54" s="1193"/>
      <c r="S54" s="1195" t="s">
        <v>128</v>
      </c>
      <c r="T54" s="1196"/>
    </row>
    <row r="55" spans="1:16384" ht="58.5" customHeight="1" thickTop="1" thickBot="1">
      <c r="A55" s="31"/>
      <c r="B55" s="101" t="s">
        <v>136</v>
      </c>
      <c r="C55" s="102" t="s">
        <v>261</v>
      </c>
      <c r="D55" s="102" t="s">
        <v>138</v>
      </c>
      <c r="E55" s="102"/>
      <c r="F55" s="102" t="s">
        <v>378</v>
      </c>
      <c r="G55" s="102" t="s">
        <v>163</v>
      </c>
      <c r="H55" s="102" t="s">
        <v>164</v>
      </c>
      <c r="I55" s="102" t="s">
        <v>379</v>
      </c>
      <c r="J55" s="103" t="s">
        <v>380</v>
      </c>
      <c r="K55" s="105" t="s">
        <v>377</v>
      </c>
      <c r="L55" s="147" t="s">
        <v>162</v>
      </c>
      <c r="M55" s="200" t="s">
        <v>130</v>
      </c>
      <c r="N55" s="201" t="s">
        <v>131</v>
      </c>
      <c r="O55" s="201" t="s">
        <v>130</v>
      </c>
      <c r="P55" s="201" t="s">
        <v>131</v>
      </c>
      <c r="Q55" s="201" t="s">
        <v>130</v>
      </c>
      <c r="R55" s="201" t="s">
        <v>131</v>
      </c>
      <c r="S55" s="201" t="s">
        <v>130</v>
      </c>
      <c r="T55" s="202" t="s">
        <v>131</v>
      </c>
    </row>
    <row r="56" spans="1:16384" ht="15.75" thickTop="1">
      <c r="A56" s="30" t="str">
        <f t="shared" ref="A56:A82" si="22">IF(C56="","",MONTH(C56))</f>
        <v/>
      </c>
      <c r="B56" s="188"/>
      <c r="C56" s="70"/>
      <c r="D56" s="33"/>
      <c r="E56" s="189"/>
      <c r="F56" s="35"/>
      <c r="G56" s="780"/>
      <c r="H56" s="36"/>
      <c r="I56" s="19" t="str">
        <f>IF(OR(B56="",H56=""),"",(H56*0.01*F56)*G56*0.01)</f>
        <v/>
      </c>
      <c r="J56" s="104" t="str">
        <f>IF(OR(B56="",I$2=""),"",IF(L56&gt;$I$2,0,IF((L56+D56)-$I$2&lt;=0,0,(PMT($I$8,D56,F56*G56*0.01,-I56,0))*(-1))))</f>
        <v/>
      </c>
      <c r="K56" s="831"/>
      <c r="L56" s="42" t="str">
        <f>IF(C56="","",YEAR(C56))</f>
        <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c r="A57" s="30" t="str">
        <f t="shared" si="22"/>
        <v/>
      </c>
      <c r="B57" s="148"/>
      <c r="C57" s="69"/>
      <c r="D57" s="34"/>
      <c r="E57" s="46"/>
      <c r="F57" s="23"/>
      <c r="G57" s="780"/>
      <c r="H57" s="36"/>
      <c r="I57" s="19" t="str">
        <f t="shared" ref="I57:I82" si="27">IF(OR(B57="",H57=""),"",(H57*0.01*F57)*G57*0.01)</f>
        <v/>
      </c>
      <c r="J57" s="104" t="str">
        <f t="shared" ref="J57:J82" si="28">IF(OR(B57="",I$2=""),"",IF(L57&gt;$I$2,0,IF((L57+D57)-$I$2&lt;=0,0,(PMT($I$8,D57,F57*G57*0.01,-I57,0))*(-1))))</f>
        <v/>
      </c>
      <c r="K57" s="832"/>
      <c r="L57" s="42" t="str">
        <f t="shared" ref="L57:L82" si="29">IF(C57="","",YEAR(C57))</f>
        <v/>
      </c>
      <c r="M57" s="115"/>
      <c r="N57" s="25" t="str">
        <f t="shared" si="23"/>
        <v/>
      </c>
      <c r="O57" s="17"/>
      <c r="P57" s="25" t="str">
        <f t="shared" si="24"/>
        <v/>
      </c>
      <c r="Q57" s="17"/>
      <c r="R57" s="25" t="str">
        <f t="shared" si="25"/>
        <v/>
      </c>
      <c r="S57" s="26" t="str">
        <f t="shared" ref="S57:S82" si="30">IF(AND(M57="",O57="",Q57=""),"",100-M57-O57-Q57)</f>
        <v/>
      </c>
      <c r="T57" s="182" t="str">
        <f t="shared" si="26"/>
        <v/>
      </c>
    </row>
    <row r="58" spans="1:16384">
      <c r="A58" s="30" t="str">
        <f t="shared" si="22"/>
        <v/>
      </c>
      <c r="B58" s="148"/>
      <c r="C58" s="69"/>
      <c r="D58" s="34"/>
      <c r="E58" s="46"/>
      <c r="F58" s="23"/>
      <c r="G58" s="780"/>
      <c r="H58" s="36"/>
      <c r="I58" s="19" t="str">
        <f t="shared" si="27"/>
        <v/>
      </c>
      <c r="J58" s="104" t="str">
        <f t="shared" si="28"/>
        <v/>
      </c>
      <c r="K58" s="832"/>
      <c r="L58" s="42" t="str">
        <f t="shared" si="29"/>
        <v/>
      </c>
      <c r="M58" s="115"/>
      <c r="N58" s="25" t="str">
        <f t="shared" si="23"/>
        <v/>
      </c>
      <c r="O58" s="17"/>
      <c r="P58" s="25" t="str">
        <f t="shared" si="24"/>
        <v/>
      </c>
      <c r="Q58" s="17"/>
      <c r="R58" s="25" t="str">
        <f t="shared" si="25"/>
        <v/>
      </c>
      <c r="S58" s="26" t="str">
        <f t="shared" si="30"/>
        <v/>
      </c>
      <c r="T58" s="182" t="str">
        <f t="shared" si="26"/>
        <v/>
      </c>
    </row>
    <row r="59" spans="1:16384">
      <c r="A59" s="30" t="str">
        <f t="shared" si="22"/>
        <v/>
      </c>
      <c r="B59" s="148"/>
      <c r="C59" s="69"/>
      <c r="D59" s="34"/>
      <c r="E59" s="46"/>
      <c r="F59" s="23"/>
      <c r="G59" s="780"/>
      <c r="H59" s="36"/>
      <c r="I59" s="19" t="str">
        <f t="shared" si="27"/>
        <v/>
      </c>
      <c r="J59" s="104" t="str">
        <f t="shared" si="28"/>
        <v/>
      </c>
      <c r="K59" s="832"/>
      <c r="L59" s="42" t="str">
        <f t="shared" si="29"/>
        <v/>
      </c>
      <c r="M59" s="115"/>
      <c r="N59" s="25" t="str">
        <f t="shared" si="23"/>
        <v/>
      </c>
      <c r="O59" s="17"/>
      <c r="P59" s="25" t="str">
        <f t="shared" si="24"/>
        <v/>
      </c>
      <c r="Q59" s="17"/>
      <c r="R59" s="25" t="str">
        <f t="shared" si="25"/>
        <v/>
      </c>
      <c r="S59" s="26" t="str">
        <f t="shared" si="30"/>
        <v/>
      </c>
      <c r="T59" s="182" t="str">
        <f t="shared" si="26"/>
        <v/>
      </c>
    </row>
    <row r="60" spans="1:16384">
      <c r="A60" s="30" t="str">
        <f t="shared" si="22"/>
        <v/>
      </c>
      <c r="B60" s="148"/>
      <c r="C60" s="69"/>
      <c r="D60" s="34"/>
      <c r="E60" s="46"/>
      <c r="F60" s="23"/>
      <c r="G60" s="780"/>
      <c r="H60" s="36"/>
      <c r="I60" s="19" t="str">
        <f t="shared" si="27"/>
        <v/>
      </c>
      <c r="J60" s="104" t="str">
        <f t="shared" si="28"/>
        <v/>
      </c>
      <c r="K60" s="832"/>
      <c r="L60" s="42" t="str">
        <f t="shared" si="29"/>
        <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c r="A61" s="30" t="str">
        <f t="shared" si="22"/>
        <v/>
      </c>
      <c r="B61" s="148"/>
      <c r="C61" s="69"/>
      <c r="D61" s="34"/>
      <c r="E61" s="46"/>
      <c r="F61" s="23"/>
      <c r="G61" s="780"/>
      <c r="H61" s="36"/>
      <c r="I61" s="19" t="str">
        <f t="shared" si="27"/>
        <v/>
      </c>
      <c r="J61" s="104" t="str">
        <f t="shared" si="28"/>
        <v/>
      </c>
      <c r="K61" s="832"/>
      <c r="L61" s="42" t="str">
        <f t="shared" si="29"/>
        <v/>
      </c>
      <c r="M61" s="115"/>
      <c r="N61" s="25" t="str">
        <f t="shared" si="31"/>
        <v/>
      </c>
      <c r="O61" s="17"/>
      <c r="P61" s="25" t="str">
        <f t="shared" si="32"/>
        <v/>
      </c>
      <c r="Q61" s="17"/>
      <c r="R61" s="25" t="str">
        <f t="shared" si="33"/>
        <v/>
      </c>
      <c r="S61" s="26" t="str">
        <f t="shared" si="30"/>
        <v/>
      </c>
      <c r="T61" s="182" t="str">
        <f t="shared" si="34"/>
        <v/>
      </c>
    </row>
    <row r="62" spans="1:16384">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c r="A83" s="30"/>
      <c r="B83" s="194" t="s">
        <v>289</v>
      </c>
      <c r="C83" s="195"/>
      <c r="D83" s="195" t="s">
        <v>107</v>
      </c>
      <c r="E83" s="196"/>
      <c r="F83" s="197">
        <f>SUM(F56:F82)</f>
        <v>0</v>
      </c>
      <c r="G83" s="197" t="s">
        <v>107</v>
      </c>
      <c r="H83" s="198" t="s">
        <v>107</v>
      </c>
      <c r="I83" s="197">
        <f>SUM(I56:I82)</f>
        <v>0</v>
      </c>
      <c r="J83" s="198">
        <f>SUM(J56:J82)</f>
        <v>0</v>
      </c>
      <c r="K83" s="199">
        <f>SUM(K56:K82)</f>
        <v>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c r="A84" s="30"/>
      <c r="B84" s="31"/>
      <c r="C84" s="42"/>
      <c r="D84" s="43"/>
      <c r="E84" s="43"/>
      <c r="F84" s="41"/>
      <c r="G84" s="41"/>
      <c r="H84" s="41"/>
      <c r="I84" s="41"/>
      <c r="J84" s="41"/>
      <c r="K84" s="41"/>
      <c r="L84" s="31"/>
      <c r="M84" s="1185"/>
      <c r="N84" s="1185"/>
      <c r="O84" s="1185"/>
      <c r="P84" s="1185"/>
      <c r="Q84" s="1185"/>
      <c r="R84" s="1185"/>
      <c r="S84" s="1185"/>
      <c r="T84" s="1185"/>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c r="A85" s="31"/>
      <c r="B85" s="1190" t="s">
        <v>168</v>
      </c>
      <c r="C85" s="1191"/>
      <c r="D85" s="1191"/>
      <c r="E85" s="1191"/>
      <c r="F85" s="1191"/>
      <c r="G85" s="1191"/>
      <c r="H85" s="1191"/>
      <c r="I85" s="1191"/>
      <c r="J85" s="1191"/>
      <c r="K85" s="143"/>
      <c r="L85" s="31"/>
      <c r="M85" s="1192" t="s">
        <v>123</v>
      </c>
      <c r="N85" s="1193"/>
      <c r="O85" s="1194" t="s">
        <v>104</v>
      </c>
      <c r="P85" s="1194"/>
      <c r="Q85" s="1193" t="s">
        <v>127</v>
      </c>
      <c r="R85" s="1193"/>
      <c r="S85" s="1195" t="s">
        <v>128</v>
      </c>
      <c r="T85" s="1196"/>
    </row>
    <row r="86" spans="1:16384" ht="62.25" customHeight="1" thickTop="1" thickBot="1">
      <c r="B86" s="101" t="s">
        <v>136</v>
      </c>
      <c r="C86" s="102" t="s">
        <v>261</v>
      </c>
      <c r="D86" s="102" t="s">
        <v>138</v>
      </c>
      <c r="E86" s="212"/>
      <c r="F86" s="102" t="s">
        <v>378</v>
      </c>
      <c r="G86" s="102" t="s">
        <v>163</v>
      </c>
      <c r="H86" s="102" t="s">
        <v>164</v>
      </c>
      <c r="I86" s="102" t="s">
        <v>379</v>
      </c>
      <c r="J86" s="103" t="s">
        <v>380</v>
      </c>
      <c r="K86" s="105" t="s">
        <v>377</v>
      </c>
      <c r="L86" s="147" t="s">
        <v>162</v>
      </c>
      <c r="M86" s="120" t="s">
        <v>130</v>
      </c>
      <c r="N86" s="121" t="s">
        <v>165</v>
      </c>
      <c r="O86" s="121" t="s">
        <v>130</v>
      </c>
      <c r="P86" s="121" t="s">
        <v>165</v>
      </c>
      <c r="Q86" s="121" t="s">
        <v>130</v>
      </c>
      <c r="R86" s="121" t="s">
        <v>165</v>
      </c>
      <c r="S86" s="121" t="s">
        <v>130</v>
      </c>
      <c r="T86" s="122" t="s">
        <v>165</v>
      </c>
    </row>
    <row r="87" spans="1:16384" ht="15.75" thickTop="1">
      <c r="A87" s="30" t="str">
        <f>IF(C87="","",MONTH(C87))</f>
        <v/>
      </c>
      <c r="B87" s="159"/>
      <c r="C87" s="160"/>
      <c r="D87" s="213"/>
      <c r="E87" s="214"/>
      <c r="F87" s="164"/>
      <c r="G87" s="215"/>
      <c r="H87" s="215"/>
      <c r="I87" s="166" t="str">
        <f>IF(OR(B87="",H87=""),"",(H87*0.01*F87)*G87*0.01)</f>
        <v/>
      </c>
      <c r="J87" s="425" t="str">
        <f>IF(OR(I$2="",B87=""),"",IF(L87&gt;$I$2,0,IF((L87+D87)-$I$2&lt;=0,0,(PMT($I$8,D87,F87*G87*0.01,-I87,0))*(-1))))</f>
        <v/>
      </c>
      <c r="K87" s="834"/>
      <c r="L87" s="42" t="str">
        <f>IF(C87="","",YEAR(C87))</f>
        <v/>
      </c>
      <c r="M87" s="177"/>
      <c r="N87" s="178" t="str">
        <f t="shared" si="40"/>
        <v/>
      </c>
      <c r="O87" s="179"/>
      <c r="P87" s="178" t="str">
        <f t="shared" si="41"/>
        <v/>
      </c>
      <c r="Q87" s="179"/>
      <c r="R87" s="178" t="str">
        <f t="shared" si="42"/>
        <v/>
      </c>
      <c r="S87" s="180" t="str">
        <f>IF(AND(M87="",O87="",Q87=""),"",100-M87-O87-Q87)</f>
        <v/>
      </c>
      <c r="T87" s="181" t="str">
        <f t="shared" si="43"/>
        <v/>
      </c>
    </row>
    <row r="88" spans="1:16384">
      <c r="A88" s="30" t="str">
        <f t="shared" ref="A88:A111" si="44">IF(C88="","",MONTH(C88))</f>
        <v/>
      </c>
      <c r="B88" s="148"/>
      <c r="C88" s="69"/>
      <c r="D88" s="34"/>
      <c r="E88" s="46"/>
      <c r="F88" s="23"/>
      <c r="G88" s="37"/>
      <c r="H88" s="36"/>
      <c r="I88" s="16" t="str">
        <f t="shared" ref="I88:I111" si="45">IF(OR(B88="",H88=""),"",(H88*0.01*F88)*G88*0.01)</f>
        <v/>
      </c>
      <c r="J88" s="426" t="str">
        <f t="shared" ref="J88:J111" si="46">IF(OR(I$2="",B88=""),"",IF(L88&gt;$I$2,0,IF((L88+D88)-$I$2&lt;=0,0,(PMT($I$8,D88,F88*G88*0.01,-I88,0))*(-1))))</f>
        <v/>
      </c>
      <c r="K88" s="832"/>
      <c r="L88" s="42" t="str">
        <f t="shared" ref="L88:L111" si="47">IF(C88="","",YEAR(C88))</f>
        <v/>
      </c>
      <c r="M88" s="115"/>
      <c r="N88" s="25" t="str">
        <f t="shared" si="40"/>
        <v/>
      </c>
      <c r="O88" s="17"/>
      <c r="P88" s="25" t="str">
        <f t="shared" si="41"/>
        <v/>
      </c>
      <c r="Q88" s="17"/>
      <c r="R88" s="25" t="str">
        <f t="shared" si="42"/>
        <v/>
      </c>
      <c r="S88" s="26" t="str">
        <f t="shared" ref="S88:S111" si="48">IF(AND(M88="",O88="",Q88=""),"",100-M88-O88-Q88)</f>
        <v/>
      </c>
      <c r="T88" s="182" t="str">
        <f t="shared" si="43"/>
        <v/>
      </c>
    </row>
    <row r="89" spans="1:16384">
      <c r="A89" s="30" t="str">
        <f t="shared" si="44"/>
        <v/>
      </c>
      <c r="B89" s="148"/>
      <c r="C89" s="69"/>
      <c r="D89" s="34"/>
      <c r="E89" s="46"/>
      <c r="F89" s="23"/>
      <c r="G89" s="37"/>
      <c r="H89" s="36"/>
      <c r="I89" s="16" t="str">
        <f t="shared" si="45"/>
        <v/>
      </c>
      <c r="J89" s="426" t="str">
        <f t="shared" si="46"/>
        <v/>
      </c>
      <c r="K89" s="832"/>
      <c r="L89" s="42" t="str">
        <f t="shared" ref="L89:L110" si="49">IF(C89="","",YEAR(C89))</f>
        <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c r="A90" s="30" t="str">
        <f t="shared" si="44"/>
        <v/>
      </c>
      <c r="B90" s="148"/>
      <c r="C90" s="69"/>
      <c r="D90" s="34"/>
      <c r="E90" s="46"/>
      <c r="F90" s="23"/>
      <c r="G90" s="37"/>
      <c r="H90" s="36"/>
      <c r="I90" s="16" t="str">
        <f t="shared" si="45"/>
        <v/>
      </c>
      <c r="J90" s="426" t="str">
        <f t="shared" si="46"/>
        <v/>
      </c>
      <c r="K90" s="832"/>
      <c r="L90" s="42" t="str">
        <f t="shared" si="49"/>
        <v/>
      </c>
      <c r="M90" s="115"/>
      <c r="N90" s="25" t="str">
        <f t="shared" si="50"/>
        <v/>
      </c>
      <c r="O90" s="17"/>
      <c r="P90" s="25" t="str">
        <f t="shared" si="51"/>
        <v/>
      </c>
      <c r="Q90" s="17"/>
      <c r="R90" s="25" t="str">
        <f t="shared" si="52"/>
        <v/>
      </c>
      <c r="S90" s="26" t="str">
        <f t="shared" si="48"/>
        <v/>
      </c>
      <c r="T90" s="182" t="str">
        <f t="shared" si="53"/>
        <v/>
      </c>
    </row>
    <row r="91" spans="1:16384">
      <c r="A91" s="30" t="str">
        <f t="shared" si="44"/>
        <v/>
      </c>
      <c r="B91" s="148"/>
      <c r="C91" s="69"/>
      <c r="D91" s="34"/>
      <c r="E91" s="46"/>
      <c r="F91" s="23"/>
      <c r="G91" s="37"/>
      <c r="H91" s="36"/>
      <c r="I91" s="16" t="str">
        <f t="shared" si="45"/>
        <v/>
      </c>
      <c r="J91" s="426" t="str">
        <f t="shared" si="46"/>
        <v/>
      </c>
      <c r="K91" s="832"/>
      <c r="L91" s="42" t="str">
        <f t="shared" si="49"/>
        <v/>
      </c>
      <c r="M91" s="115"/>
      <c r="N91" s="25" t="str">
        <f t="shared" si="50"/>
        <v/>
      </c>
      <c r="O91" s="17"/>
      <c r="P91" s="25" t="str">
        <f t="shared" si="51"/>
        <v/>
      </c>
      <c r="Q91" s="17"/>
      <c r="R91" s="25" t="str">
        <f t="shared" si="52"/>
        <v/>
      </c>
      <c r="S91" s="26" t="str">
        <f t="shared" si="48"/>
        <v/>
      </c>
      <c r="T91" s="182" t="str">
        <f t="shared" si="53"/>
        <v/>
      </c>
    </row>
    <row r="92" spans="1:16384">
      <c r="A92" s="30" t="str">
        <f t="shared" si="44"/>
        <v/>
      </c>
      <c r="B92" s="148"/>
      <c r="C92" s="69"/>
      <c r="D92" s="34"/>
      <c r="E92" s="46"/>
      <c r="F92" s="23"/>
      <c r="G92" s="37"/>
      <c r="H92" s="36"/>
      <c r="I92" s="16" t="str">
        <f t="shared" si="45"/>
        <v/>
      </c>
      <c r="J92" s="426" t="str">
        <f t="shared" si="46"/>
        <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c r="A93" s="30" t="str">
        <f t="shared" si="44"/>
        <v/>
      </c>
      <c r="B93" s="148"/>
      <c r="C93" s="69"/>
      <c r="D93" s="34"/>
      <c r="E93" s="46"/>
      <c r="F93" s="23"/>
      <c r="G93" s="37"/>
      <c r="H93" s="36"/>
      <c r="I93" s="16" t="str">
        <f t="shared" si="45"/>
        <v/>
      </c>
      <c r="J93" s="426" t="str">
        <f t="shared" si="46"/>
        <v/>
      </c>
      <c r="K93" s="832"/>
      <c r="L93" s="42" t="str">
        <f t="shared" si="49"/>
        <v/>
      </c>
      <c r="M93" s="115"/>
      <c r="N93" s="25" t="str">
        <f t="shared" si="50"/>
        <v/>
      </c>
      <c r="O93" s="17"/>
      <c r="P93" s="25" t="str">
        <f t="shared" si="51"/>
        <v/>
      </c>
      <c r="Q93" s="17"/>
      <c r="R93" s="25" t="str">
        <f t="shared" si="52"/>
        <v/>
      </c>
      <c r="S93" s="26" t="str">
        <f t="shared" si="48"/>
        <v/>
      </c>
      <c r="T93" s="182" t="str">
        <f t="shared" si="53"/>
        <v/>
      </c>
    </row>
    <row r="94" spans="1:16384">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c r="A112" s="30"/>
      <c r="B112" s="194" t="s">
        <v>290</v>
      </c>
      <c r="C112" s="195"/>
      <c r="D112" s="195" t="s">
        <v>107</v>
      </c>
      <c r="E112" s="196"/>
      <c r="F112" s="197">
        <f>SUM(F87:F111)</f>
        <v>0</v>
      </c>
      <c r="G112" s="197" t="s">
        <v>107</v>
      </c>
      <c r="H112" s="198" t="s">
        <v>107</v>
      </c>
      <c r="I112" s="197">
        <f>SUM(I87:I111)</f>
        <v>0</v>
      </c>
      <c r="J112" s="198">
        <f>SUM(J87:J111)</f>
        <v>0</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c r="A113" s="30"/>
      <c r="B113" s="31"/>
      <c r="C113" s="42"/>
      <c r="D113" s="43"/>
      <c r="E113" s="43"/>
      <c r="F113" s="41"/>
      <c r="G113" s="41"/>
      <c r="H113" s="41"/>
      <c r="I113" s="41"/>
      <c r="J113" s="41"/>
      <c r="K113" s="41"/>
      <c r="L113" s="31"/>
      <c r="M113" s="1185"/>
      <c r="N113" s="1185"/>
      <c r="O113" s="1185"/>
      <c r="P113" s="1185"/>
      <c r="Q113" s="1185"/>
      <c r="R113" s="1185"/>
      <c r="S113" s="1185"/>
      <c r="T113" s="1185"/>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c r="A114" s="31"/>
      <c r="B114" s="1186" t="s">
        <v>169</v>
      </c>
      <c r="C114" s="1187"/>
      <c r="D114" s="1187"/>
      <c r="E114" s="1187"/>
      <c r="F114" s="1187"/>
      <c r="G114" s="1187"/>
      <c r="H114" s="1187"/>
      <c r="I114" s="1187"/>
      <c r="J114" s="1187"/>
      <c r="K114" s="97"/>
      <c r="L114" s="216"/>
      <c r="M114" s="1188" t="s">
        <v>123</v>
      </c>
      <c r="N114" s="1182"/>
      <c r="O114" s="1189" t="s">
        <v>104</v>
      </c>
      <c r="P114" s="1189"/>
      <c r="Q114" s="1182" t="s">
        <v>127</v>
      </c>
      <c r="R114" s="1182"/>
      <c r="S114" s="1183" t="s">
        <v>128</v>
      </c>
      <c r="T114" s="1184"/>
    </row>
    <row r="115" spans="1:16384" ht="61.5" customHeight="1" thickTop="1" thickBot="1">
      <c r="B115" s="101" t="s">
        <v>136</v>
      </c>
      <c r="C115" s="102" t="s">
        <v>261</v>
      </c>
      <c r="D115" s="102" t="s">
        <v>138</v>
      </c>
      <c r="E115" s="212"/>
      <c r="F115" s="102" t="s">
        <v>378</v>
      </c>
      <c r="G115" s="102" t="s">
        <v>163</v>
      </c>
      <c r="H115" s="102" t="s">
        <v>164</v>
      </c>
      <c r="I115" s="102" t="s">
        <v>379</v>
      </c>
      <c r="J115" s="103" t="s">
        <v>380</v>
      </c>
      <c r="K115" s="105" t="s">
        <v>377</v>
      </c>
      <c r="L115" s="217" t="s">
        <v>162</v>
      </c>
      <c r="M115" s="120" t="s">
        <v>130</v>
      </c>
      <c r="N115" s="121" t="s">
        <v>131</v>
      </c>
      <c r="O115" s="121" t="s">
        <v>130</v>
      </c>
      <c r="P115" s="121" t="s">
        <v>131</v>
      </c>
      <c r="Q115" s="121" t="s">
        <v>130</v>
      </c>
      <c r="R115" s="121" t="s">
        <v>131</v>
      </c>
      <c r="S115" s="121" t="s">
        <v>130</v>
      </c>
      <c r="T115" s="122" t="s">
        <v>131</v>
      </c>
    </row>
    <row r="116" spans="1:16384" ht="15.75" thickTop="1">
      <c r="A116" s="30" t="str">
        <f t="shared" ref="A116:A140" si="55">IF(C116="","",MONTH(C116))</f>
        <v/>
      </c>
      <c r="B116" s="159"/>
      <c r="C116" s="160"/>
      <c r="D116" s="213"/>
      <c r="E116" s="46"/>
      <c r="F116" s="164"/>
      <c r="G116" s="215"/>
      <c r="H116" s="215"/>
      <c r="I116" s="166" t="str">
        <f>IF(OR(B116="",H116=""),"",(H116*0.01*F116)*G116*0.01)</f>
        <v/>
      </c>
      <c r="J116" s="425" t="str">
        <f>IF(OR(I$2="",B116=""),"",IF(L116&gt;$I$2,0,IF((L116+D116)-$I$2&lt;=0,0,(PMT($I$8,D116,F116*G116*0.01,-I116,0))*(-1))))</f>
        <v/>
      </c>
      <c r="K116" s="834"/>
      <c r="L116" s="836" t="str">
        <f>IF(C116="","",YEAR(C116))</f>
        <v/>
      </c>
      <c r="M116" s="177"/>
      <c r="N116" s="178" t="str">
        <f t="shared" si="40"/>
        <v/>
      </c>
      <c r="O116" s="179"/>
      <c r="P116" s="178" t="str">
        <f t="shared" si="41"/>
        <v/>
      </c>
      <c r="Q116" s="179"/>
      <c r="R116" s="178" t="str">
        <f t="shared" si="42"/>
        <v/>
      </c>
      <c r="S116" s="180" t="str">
        <f>IF(AND(M116="",O116="",Q116=""),"",100-M116-O116-Q116)</f>
        <v/>
      </c>
      <c r="T116" s="181" t="str">
        <f t="shared" si="43"/>
        <v/>
      </c>
    </row>
    <row r="117" spans="1:16384">
      <c r="A117" s="30" t="str">
        <f t="shared" si="55"/>
        <v/>
      </c>
      <c r="B117" s="148"/>
      <c r="C117" s="70"/>
      <c r="D117" s="34"/>
      <c r="E117" s="46"/>
      <c r="F117" s="23"/>
      <c r="G117" s="36"/>
      <c r="H117" s="36"/>
      <c r="I117" s="16" t="str">
        <f t="shared" ref="I117:I140" si="56">IF(OR(B117="",H117=""),"",(H117*0.01*F117)*G117*0.01)</f>
        <v/>
      </c>
      <c r="J117" s="426" t="str">
        <f t="shared" ref="J117:J140" si="57">IF(OR(I$2="",B117=""),"",IF(L117&gt;$I$2,0,IF((L117+D117)-$I$2&lt;=0,0,(PMT($I$8,D117,F117*G117*0.01,-I117,0))*(-1))))</f>
        <v/>
      </c>
      <c r="K117" s="832"/>
      <c r="L117" s="836" t="str">
        <f t="shared" ref="L117:L124" si="58">IF(C117="","",YEAR(C117))</f>
        <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c r="A118" s="30" t="str">
        <f t="shared" si="55"/>
        <v/>
      </c>
      <c r="B118" s="148"/>
      <c r="C118" s="70"/>
      <c r="D118" s="34"/>
      <c r="E118" s="46"/>
      <c r="F118" s="23"/>
      <c r="G118" s="36"/>
      <c r="H118" s="36"/>
      <c r="I118" s="16" t="str">
        <f t="shared" si="56"/>
        <v/>
      </c>
      <c r="J118" s="426" t="str">
        <f t="shared" si="57"/>
        <v/>
      </c>
      <c r="K118" s="832"/>
      <c r="L118" s="836" t="str">
        <f t="shared" si="58"/>
        <v/>
      </c>
      <c r="M118" s="115"/>
      <c r="N118" s="25" t="str">
        <f t="shared" ref="N118:N147" si="63">IF(M118="","",$J118*M118/100)</f>
        <v/>
      </c>
      <c r="O118" s="17"/>
      <c r="P118" s="25" t="str">
        <f t="shared" si="59"/>
        <v/>
      </c>
      <c r="Q118" s="17"/>
      <c r="R118" s="25" t="str">
        <f t="shared" si="60"/>
        <v/>
      </c>
      <c r="S118" s="26" t="str">
        <f t="shared" si="61"/>
        <v/>
      </c>
      <c r="T118" s="182" t="str">
        <f t="shared" si="62"/>
        <v/>
      </c>
    </row>
    <row r="119" spans="1:16384">
      <c r="A119" s="30" t="str">
        <f t="shared" si="55"/>
        <v/>
      </c>
      <c r="B119" s="148"/>
      <c r="C119" s="70"/>
      <c r="D119" s="34"/>
      <c r="E119" s="46"/>
      <c r="F119" s="23"/>
      <c r="G119" s="36"/>
      <c r="H119" s="36"/>
      <c r="I119" s="16" t="str">
        <f t="shared" si="56"/>
        <v/>
      </c>
      <c r="J119" s="426" t="str">
        <f t="shared" si="57"/>
        <v/>
      </c>
      <c r="K119" s="832"/>
      <c r="L119" s="836" t="str">
        <f t="shared" si="58"/>
        <v/>
      </c>
      <c r="M119" s="115"/>
      <c r="N119" s="25" t="str">
        <f t="shared" si="63"/>
        <v/>
      </c>
      <c r="O119" s="17"/>
      <c r="P119" s="25" t="str">
        <f t="shared" si="59"/>
        <v/>
      </c>
      <c r="Q119" s="17"/>
      <c r="R119" s="25" t="str">
        <f t="shared" si="60"/>
        <v/>
      </c>
      <c r="S119" s="26" t="str">
        <f t="shared" si="61"/>
        <v/>
      </c>
      <c r="T119" s="182" t="str">
        <f t="shared" si="62"/>
        <v/>
      </c>
    </row>
    <row r="120" spans="1:16384">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c r="A141" s="30"/>
      <c r="B141" s="194" t="s">
        <v>291</v>
      </c>
      <c r="C141" s="197"/>
      <c r="D141" s="195" t="s">
        <v>107</v>
      </c>
      <c r="E141" s="196"/>
      <c r="F141" s="197">
        <f>SUM(F116:F140)</f>
        <v>0</v>
      </c>
      <c r="G141" s="197" t="s">
        <v>107</v>
      </c>
      <c r="H141" s="198" t="s">
        <v>107</v>
      </c>
      <c r="I141" s="197">
        <f>SUM(I116:I140)</f>
        <v>0</v>
      </c>
      <c r="J141" s="198">
        <f>SUM(J116:J140)</f>
        <v>0</v>
      </c>
      <c r="K141" s="199">
        <f>SUM(K116:K140)</f>
        <v>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c r="A142" s="30"/>
      <c r="B142" s="31"/>
      <c r="C142" s="42"/>
      <c r="D142" s="43"/>
      <c r="E142" s="43"/>
      <c r="F142" s="41"/>
      <c r="G142" s="41"/>
      <c r="H142" s="41"/>
      <c r="I142" s="41"/>
      <c r="J142" s="41"/>
      <c r="K142" s="41"/>
      <c r="L142" s="31"/>
      <c r="M142" s="1185"/>
      <c r="N142" s="1185"/>
      <c r="O142" s="1185"/>
      <c r="P142" s="1185"/>
      <c r="Q142" s="1185"/>
      <c r="R142" s="1185"/>
      <c r="S142" s="1185"/>
      <c r="T142" s="1185"/>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c r="A143" s="31"/>
      <c r="B143" s="1190" t="s">
        <v>119</v>
      </c>
      <c r="C143" s="1191"/>
      <c r="D143" s="1191"/>
      <c r="E143" s="1191"/>
      <c r="F143" s="1191"/>
      <c r="G143" s="1191"/>
      <c r="H143" s="1191"/>
      <c r="I143" s="1191"/>
      <c r="J143" s="1191"/>
      <c r="K143" s="143"/>
      <c r="L143" s="31"/>
      <c r="M143" s="1192" t="s">
        <v>123</v>
      </c>
      <c r="N143" s="1193"/>
      <c r="O143" s="1194" t="s">
        <v>104</v>
      </c>
      <c r="P143" s="1194"/>
      <c r="Q143" s="1193" t="s">
        <v>127</v>
      </c>
      <c r="R143" s="1193"/>
      <c r="S143" s="1195" t="s">
        <v>128</v>
      </c>
      <c r="T143" s="1196"/>
    </row>
    <row r="144" spans="1:16384" ht="60" customHeight="1" thickTop="1" thickBot="1">
      <c r="B144" s="150" t="s">
        <v>136</v>
      </c>
      <c r="C144" s="151" t="s">
        <v>261</v>
      </c>
      <c r="D144" s="151" t="s">
        <v>138</v>
      </c>
      <c r="E144" s="218" t="e">
        <f>IF(L144="","",(L144+D144)-$I$2)</f>
        <v>#VALUE!</v>
      </c>
      <c r="F144" s="151" t="s">
        <v>378</v>
      </c>
      <c r="G144" s="151" t="s">
        <v>163</v>
      </c>
      <c r="H144" s="151" t="s">
        <v>164</v>
      </c>
      <c r="I144" s="151" t="s">
        <v>379</v>
      </c>
      <c r="J144" s="174" t="s">
        <v>380</v>
      </c>
      <c r="K144" s="175" t="s">
        <v>377</v>
      </c>
      <c r="L144" s="147" t="s">
        <v>162</v>
      </c>
      <c r="M144" s="200" t="s">
        <v>130</v>
      </c>
      <c r="N144" s="201" t="s">
        <v>131</v>
      </c>
      <c r="O144" s="201" t="s">
        <v>130</v>
      </c>
      <c r="P144" s="201" t="s">
        <v>131</v>
      </c>
      <c r="Q144" s="201" t="s">
        <v>130</v>
      </c>
      <c r="R144" s="201" t="s">
        <v>131</v>
      </c>
      <c r="S144" s="201" t="s">
        <v>130</v>
      </c>
      <c r="T144" s="202" t="s">
        <v>131</v>
      </c>
    </row>
    <row r="145" spans="1:20" ht="15.75" thickTop="1">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row r="171" spans="1:20" hidden="1"/>
    <row r="172" spans="1:20" ht="15" hidden="1" customHeight="1"/>
    <row r="173" spans="1:20" ht="15" hidden="1" customHeight="1"/>
    <row r="174" spans="1:20" ht="15" hidden="1" customHeight="1"/>
    <row r="175" spans="1:20" ht="15" hidden="1" customHeight="1"/>
    <row r="176" spans="1:20" ht="15" hidden="1" customHeight="1"/>
    <row r="177" ht="15" hidden="1" customHeight="1"/>
    <row r="178" ht="15" hidden="1" customHeight="1"/>
    <row r="179" ht="15" hidden="1" customHeight="1"/>
    <row r="180" ht="15" hidden="1" customHeight="1"/>
    <row r="181" ht="15" hidden="1" customHeight="1"/>
    <row r="182" ht="15" hidden="1" customHeight="1"/>
  </sheetData>
  <sheetProtection password="CA4F"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sheetPr codeName="Plan5"/>
  <dimension ref="A1:AE100"/>
  <sheetViews>
    <sheetView showGridLines="0" topLeftCell="A49" zoomScale="70" zoomScaleNormal="70" workbookViewId="0">
      <selection activeCell="T57" sqref="T57"/>
    </sheetView>
  </sheetViews>
  <sheetFormatPr defaultColWidth="0" defaultRowHeight="15" zeroHeight="1"/>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row r="2" spans="2:31" ht="15.75" thickTop="1">
      <c r="B2" s="768" t="str">
        <f>REBANHO!B2</f>
        <v>Fazenda</v>
      </c>
      <c r="C2" s="770" t="str">
        <f>IF(REBANHO!C2="","",REBANHO!C2)</f>
        <v>RENASCER</v>
      </c>
      <c r="D2" s="766"/>
      <c r="E2" s="766"/>
      <c r="F2" s="467" t="s">
        <v>120</v>
      </c>
      <c r="H2" s="438"/>
    </row>
    <row r="3" spans="2:31" ht="16.5" thickBot="1">
      <c r="B3" s="769" t="str">
        <f>REBANHO!B6</f>
        <v>Sistema de produção</v>
      </c>
      <c r="C3" s="771" t="str">
        <f>IF(REBANHO!C6="","",REBANHO!C6)</f>
        <v>CICLO COMPLETO</v>
      </c>
      <c r="D3" s="767"/>
      <c r="E3" s="765"/>
      <c r="F3" s="773">
        <f>IF(REBANHO!I2="","",REBANHO!I2)</f>
        <v>2016</v>
      </c>
      <c r="H3" s="438"/>
    </row>
    <row r="4" spans="2:31" ht="16.5" thickTop="1" thickBot="1">
      <c r="C4" s="223"/>
    </row>
    <row r="5" spans="2:31" ht="47.25" customHeight="1" thickTop="1">
      <c r="B5" s="934" t="s">
        <v>228</v>
      </c>
      <c r="C5" s="327" t="s">
        <v>468</v>
      </c>
      <c r="D5" s="1214" t="s">
        <v>370</v>
      </c>
      <c r="E5" s="1215"/>
      <c r="F5" s="1215"/>
      <c r="G5" s="1215"/>
      <c r="H5" s="1215"/>
      <c r="I5" s="1215"/>
      <c r="J5" s="1215"/>
      <c r="K5" s="1215"/>
      <c r="L5" s="1215"/>
      <c r="M5" s="1215"/>
      <c r="N5" s="1215"/>
      <c r="O5" s="1215"/>
      <c r="P5" s="1215"/>
      <c r="Q5" s="1216"/>
      <c r="R5" s="50"/>
      <c r="S5" s="50"/>
      <c r="T5" s="50"/>
      <c r="U5" s="50"/>
      <c r="V5" s="50"/>
      <c r="W5" s="50"/>
      <c r="X5" s="50"/>
      <c r="Y5" s="50"/>
      <c r="Z5" s="50"/>
    </row>
    <row r="6" spans="2:31" ht="15.75" thickBot="1">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c r="B7" s="1210" t="s">
        <v>225</v>
      </c>
      <c r="C7" s="413">
        <v>215</v>
      </c>
      <c r="D7" s="329" t="s">
        <v>15</v>
      </c>
      <c r="E7" s="315"/>
      <c r="F7" s="315"/>
      <c r="G7" s="315"/>
      <c r="H7" s="315"/>
      <c r="I7" s="315"/>
      <c r="J7" s="315"/>
      <c r="K7" s="315"/>
      <c r="L7" s="315"/>
      <c r="M7" s="315"/>
      <c r="N7" s="315"/>
      <c r="O7" s="315"/>
      <c r="P7" s="315"/>
      <c r="Q7" s="330">
        <f>SUM(C7:P7)</f>
        <v>215</v>
      </c>
      <c r="R7" s="50"/>
      <c r="S7" s="50"/>
      <c r="T7" s="50"/>
      <c r="U7" s="50"/>
      <c r="V7" s="50"/>
      <c r="W7" s="50"/>
      <c r="X7" s="50"/>
      <c r="Y7" s="50"/>
      <c r="Z7" s="50"/>
    </row>
    <row r="8" spans="2:31">
      <c r="B8" s="1211"/>
      <c r="C8" s="314"/>
      <c r="D8" s="838" t="s">
        <v>467</v>
      </c>
      <c r="E8" s="313"/>
      <c r="F8" s="313"/>
      <c r="G8" s="313"/>
      <c r="H8" s="313"/>
      <c r="I8" s="313"/>
      <c r="J8" s="313"/>
      <c r="K8" s="313"/>
      <c r="L8" s="313"/>
      <c r="M8" s="313"/>
      <c r="N8" s="313"/>
      <c r="O8" s="313"/>
      <c r="P8" s="313"/>
      <c r="Q8" s="332">
        <f>SUM(C8:P8)</f>
        <v>0</v>
      </c>
      <c r="R8" s="50"/>
      <c r="S8" s="50"/>
      <c r="T8" s="50"/>
      <c r="U8" s="50"/>
      <c r="V8" s="50"/>
      <c r="W8" s="50"/>
      <c r="X8" s="50"/>
      <c r="Y8" s="50"/>
      <c r="Z8" s="50"/>
    </row>
    <row r="9" spans="2:31">
      <c r="B9" s="1212"/>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c r="B10" s="1213"/>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c r="B11" s="1169" t="s">
        <v>13</v>
      </c>
      <c r="C11" s="313">
        <v>340</v>
      </c>
      <c r="D11" s="336" t="s">
        <v>15</v>
      </c>
      <c r="E11" s="313"/>
      <c r="F11" s="313"/>
      <c r="G11" s="313"/>
      <c r="H11" s="313"/>
      <c r="I11" s="313"/>
      <c r="J11" s="313"/>
      <c r="K11" s="313"/>
      <c r="L11" s="313"/>
      <c r="M11" s="313"/>
      <c r="N11" s="313"/>
      <c r="O11" s="313"/>
      <c r="P11" s="313"/>
      <c r="Q11" s="251">
        <f>SUM(C11:P11)</f>
        <v>340</v>
      </c>
      <c r="R11" s="50"/>
      <c r="S11" s="50"/>
      <c r="T11" s="50"/>
      <c r="U11" s="50"/>
      <c r="V11" s="50"/>
      <c r="W11" s="50"/>
      <c r="X11" s="50"/>
      <c r="Y11" s="228"/>
      <c r="Z11" s="228"/>
      <c r="AA11" s="228"/>
      <c r="AB11" s="224"/>
      <c r="AC11" s="228"/>
      <c r="AD11" s="224"/>
      <c r="AE11" s="224"/>
    </row>
    <row r="12" spans="2:31">
      <c r="B12" s="1169"/>
      <c r="C12" s="314"/>
      <c r="D12" s="838" t="s">
        <v>467</v>
      </c>
      <c r="E12" s="313"/>
      <c r="F12" s="313"/>
      <c r="G12" s="313"/>
      <c r="H12" s="313"/>
      <c r="I12" s="313"/>
      <c r="J12" s="313"/>
      <c r="K12" s="313"/>
      <c r="L12" s="313"/>
      <c r="M12" s="313"/>
      <c r="N12" s="313"/>
      <c r="O12" s="313"/>
      <c r="P12" s="313"/>
      <c r="Q12" s="332">
        <f>SUM(C12:P12)</f>
        <v>0</v>
      </c>
      <c r="R12" s="50"/>
      <c r="S12" s="50"/>
      <c r="T12" s="50"/>
      <c r="U12" s="50"/>
      <c r="V12" s="50"/>
      <c r="W12" s="50"/>
      <c r="X12" s="50"/>
      <c r="Y12" s="228"/>
      <c r="Z12" s="228"/>
      <c r="AA12" s="228"/>
      <c r="AB12" s="224"/>
      <c r="AC12" s="228"/>
      <c r="AD12" s="224"/>
      <c r="AE12" s="224"/>
    </row>
    <row r="13" spans="2:31">
      <c r="B13" s="1170"/>
      <c r="C13" s="314"/>
      <c r="D13" s="331" t="s">
        <v>113</v>
      </c>
      <c r="E13" s="314"/>
      <c r="F13" s="314"/>
      <c r="G13" s="314"/>
      <c r="H13" s="314"/>
      <c r="I13" s="314"/>
      <c r="J13" s="314"/>
      <c r="K13" s="314"/>
      <c r="L13" s="314"/>
      <c r="M13" s="314"/>
      <c r="N13" s="314"/>
      <c r="O13" s="314"/>
      <c r="P13" s="314"/>
      <c r="Q13" s="253">
        <f>IF(Q11=0,0,Q14/Q11)</f>
        <v>0</v>
      </c>
      <c r="R13" s="50"/>
      <c r="S13" s="50"/>
      <c r="T13" s="50"/>
      <c r="U13" s="50"/>
      <c r="V13" s="50"/>
      <c r="W13" s="50"/>
      <c r="X13" s="50"/>
      <c r="Y13" s="228"/>
      <c r="Z13" s="228"/>
      <c r="AA13" s="300"/>
      <c r="AB13" s="224"/>
      <c r="AC13" s="300"/>
      <c r="AD13" s="224"/>
      <c r="AE13" s="224"/>
    </row>
    <row r="14" spans="2:31" ht="15.75" thickBot="1">
      <c r="B14" s="1171"/>
      <c r="C14" s="338">
        <f>C11*C13</f>
        <v>0</v>
      </c>
      <c r="D14" s="337" t="s">
        <v>16</v>
      </c>
      <c r="E14" s="258">
        <f t="shared" ref="E14:P14" si="1">E11*E13</f>
        <v>0</v>
      </c>
      <c r="F14" s="258">
        <f t="shared" si="1"/>
        <v>0</v>
      </c>
      <c r="G14" s="258">
        <f t="shared" si="1"/>
        <v>0</v>
      </c>
      <c r="H14" s="258">
        <f t="shared" si="1"/>
        <v>0</v>
      </c>
      <c r="I14" s="258">
        <f t="shared" si="1"/>
        <v>0</v>
      </c>
      <c r="J14" s="258">
        <f t="shared" si="1"/>
        <v>0</v>
      </c>
      <c r="K14" s="258">
        <f t="shared" si="1"/>
        <v>0</v>
      </c>
      <c r="L14" s="258">
        <f t="shared" si="1"/>
        <v>0</v>
      </c>
      <c r="M14" s="258">
        <f t="shared" si="1"/>
        <v>0</v>
      </c>
      <c r="N14" s="258">
        <f t="shared" si="1"/>
        <v>0</v>
      </c>
      <c r="O14" s="258">
        <f t="shared" si="1"/>
        <v>0</v>
      </c>
      <c r="P14" s="258">
        <f t="shared" si="1"/>
        <v>0</v>
      </c>
      <c r="Q14" s="259">
        <f>SUM(C14:P14)</f>
        <v>0</v>
      </c>
      <c r="R14" s="50"/>
      <c r="S14" s="50"/>
      <c r="T14" s="50"/>
      <c r="U14" s="50"/>
      <c r="V14" s="50"/>
      <c r="W14" s="50"/>
      <c r="X14" s="50"/>
      <c r="Y14" s="228"/>
      <c r="Z14" s="228"/>
      <c r="AA14" s="228"/>
      <c r="AB14" s="228"/>
      <c r="AC14" s="228"/>
      <c r="AD14" s="224"/>
      <c r="AE14" s="224"/>
    </row>
    <row r="15" spans="2:31" ht="15.75" thickTop="1">
      <c r="B15" s="1210"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c r="B16" s="1211"/>
      <c r="C16" s="314"/>
      <c r="D16" s="838" t="s">
        <v>467</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c r="B17" s="1212"/>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c r="B18" s="1213"/>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c r="B19" s="1169" t="s">
        <v>105</v>
      </c>
      <c r="C19" s="313">
        <v>272</v>
      </c>
      <c r="D19" s="336" t="s">
        <v>15</v>
      </c>
      <c r="E19" s="313"/>
      <c r="F19" s="313"/>
      <c r="G19" s="313"/>
      <c r="H19" s="313"/>
      <c r="I19" s="313"/>
      <c r="J19" s="313"/>
      <c r="K19" s="313"/>
      <c r="L19" s="313"/>
      <c r="M19" s="313"/>
      <c r="N19" s="313"/>
      <c r="O19" s="313"/>
      <c r="P19" s="313"/>
      <c r="Q19" s="251">
        <f>SUM(C19:P19)</f>
        <v>272</v>
      </c>
      <c r="R19" s="50"/>
      <c r="S19" s="50"/>
      <c r="T19" s="50"/>
      <c r="U19" s="50"/>
      <c r="V19" s="50"/>
      <c r="W19" s="50"/>
      <c r="X19" s="50"/>
      <c r="Y19" s="50"/>
      <c r="Z19" s="50"/>
    </row>
    <row r="20" spans="2:30">
      <c r="B20" s="1169"/>
      <c r="C20" s="314"/>
      <c r="D20" s="838" t="s">
        <v>467</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c r="B21" s="1170"/>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c r="B22" s="1171"/>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c r="B23" s="1210" t="s">
        <v>106</v>
      </c>
      <c r="C23" s="315">
        <v>12</v>
      </c>
      <c r="D23" s="339" t="s">
        <v>15</v>
      </c>
      <c r="E23" s="315"/>
      <c r="F23" s="315"/>
      <c r="G23" s="315"/>
      <c r="H23" s="315"/>
      <c r="I23" s="315"/>
      <c r="J23" s="315"/>
      <c r="K23" s="315"/>
      <c r="L23" s="315"/>
      <c r="M23" s="315"/>
      <c r="N23" s="315"/>
      <c r="O23" s="315"/>
      <c r="P23" s="315"/>
      <c r="Q23" s="330">
        <f>SUM(C23:P23)</f>
        <v>12</v>
      </c>
      <c r="R23" s="50"/>
      <c r="S23" s="50"/>
      <c r="T23" s="50"/>
      <c r="U23" s="50"/>
      <c r="V23" s="50"/>
      <c r="W23" s="50"/>
      <c r="X23" s="50"/>
      <c r="Y23" s="50"/>
      <c r="Z23" s="50"/>
    </row>
    <row r="24" spans="2:30">
      <c r="B24" s="1211"/>
      <c r="C24" s="314"/>
      <c r="D24" s="838" t="s">
        <v>467</v>
      </c>
      <c r="E24" s="313"/>
      <c r="F24" s="313"/>
      <c r="G24" s="313"/>
      <c r="H24" s="313"/>
      <c r="I24" s="313"/>
      <c r="J24" s="313"/>
      <c r="K24" s="313"/>
      <c r="L24" s="313"/>
      <c r="M24" s="313"/>
      <c r="N24" s="313"/>
      <c r="O24" s="313"/>
      <c r="P24" s="313"/>
      <c r="Q24" s="332">
        <f>SUM(C24:P24)</f>
        <v>0</v>
      </c>
      <c r="R24" s="50"/>
      <c r="S24" s="50"/>
      <c r="T24" s="50"/>
      <c r="U24" s="50"/>
      <c r="V24" s="50"/>
      <c r="W24" s="50"/>
      <c r="X24" s="50"/>
      <c r="Y24" s="50"/>
      <c r="Z24" s="50"/>
    </row>
    <row r="25" spans="2:30">
      <c r="B25" s="1212"/>
      <c r="C25" s="314"/>
      <c r="D25" s="331" t="s">
        <v>113</v>
      </c>
      <c r="E25" s="314"/>
      <c r="F25" s="314"/>
      <c r="G25" s="314"/>
      <c r="H25" s="314"/>
      <c r="I25" s="314"/>
      <c r="J25" s="314"/>
      <c r="K25" s="314"/>
      <c r="L25" s="314"/>
      <c r="M25" s="314"/>
      <c r="N25" s="314"/>
      <c r="O25" s="314"/>
      <c r="P25" s="314"/>
      <c r="Q25" s="332">
        <f>IF(Q23=0,0,Q26/Q23)</f>
        <v>0</v>
      </c>
      <c r="R25" s="50"/>
      <c r="S25" s="50"/>
      <c r="T25" s="50"/>
      <c r="U25" s="50"/>
      <c r="V25" s="50"/>
      <c r="W25" s="50"/>
      <c r="X25" s="50"/>
      <c r="Y25" s="50"/>
      <c r="Z25" s="50"/>
    </row>
    <row r="26" spans="2:30" ht="15.75" thickBot="1">
      <c r="B26" s="1213"/>
      <c r="C26" s="334">
        <f>C23*C25</f>
        <v>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0</v>
      </c>
      <c r="R26" s="50"/>
      <c r="S26" s="340"/>
      <c r="T26" s="340"/>
      <c r="U26" s="50"/>
      <c r="V26" s="50"/>
      <c r="W26" s="50"/>
      <c r="X26" s="50"/>
      <c r="Y26" s="50"/>
      <c r="Z26" s="224"/>
      <c r="AA26" s="224"/>
      <c r="AB26" s="224"/>
      <c r="AC26" s="224"/>
      <c r="AD26" s="224"/>
    </row>
    <row r="27" spans="2:30" s="266" customFormat="1" ht="16.5" thickTop="1" thickBot="1">
      <c r="B27" s="341" t="s">
        <v>17</v>
      </c>
      <c r="C27" s="343">
        <f>SUM(C10,C14,C18,C22,C26)</f>
        <v>0</v>
      </c>
      <c r="D27" s="342" t="s">
        <v>47</v>
      </c>
      <c r="E27" s="343">
        <f t="shared" ref="E27:Q27" si="5">SUM(E10,E14,E18,E22,E26)</f>
        <v>0</v>
      </c>
      <c r="F27" s="343">
        <f t="shared" si="5"/>
        <v>0</v>
      </c>
      <c r="G27" s="343">
        <f t="shared" si="5"/>
        <v>0</v>
      </c>
      <c r="H27" s="343">
        <f t="shared" si="5"/>
        <v>0</v>
      </c>
      <c r="I27" s="343">
        <f t="shared" si="5"/>
        <v>0</v>
      </c>
      <c r="J27" s="343">
        <f t="shared" si="5"/>
        <v>0</v>
      </c>
      <c r="K27" s="343">
        <f t="shared" si="5"/>
        <v>0</v>
      </c>
      <c r="L27" s="343">
        <f t="shared" si="5"/>
        <v>0</v>
      </c>
      <c r="M27" s="343">
        <f t="shared" si="5"/>
        <v>0</v>
      </c>
      <c r="N27" s="343">
        <f t="shared" si="5"/>
        <v>0</v>
      </c>
      <c r="O27" s="343">
        <f t="shared" si="5"/>
        <v>0</v>
      </c>
      <c r="P27" s="343">
        <f t="shared" si="5"/>
        <v>0</v>
      </c>
      <c r="Q27" s="344">
        <f t="shared" si="5"/>
        <v>0</v>
      </c>
      <c r="S27" s="345"/>
      <c r="T27" s="345"/>
      <c r="Z27" s="271"/>
      <c r="AA27" s="271"/>
      <c r="AB27" s="271"/>
      <c r="AC27" s="271"/>
      <c r="AD27" s="271"/>
    </row>
    <row r="28" spans="2:30" ht="9" customHeight="1" thickTop="1" thickBot="1"/>
    <row r="29" spans="2:30" ht="17.25" customHeight="1" thickTop="1">
      <c r="B29" s="346" t="s">
        <v>124</v>
      </c>
      <c r="C29" s="347"/>
      <c r="D29" s="348"/>
      <c r="E29" s="348"/>
      <c r="F29" s="348"/>
      <c r="G29" s="348"/>
      <c r="H29" s="348"/>
      <c r="I29" s="348"/>
      <c r="J29" s="348"/>
      <c r="K29" s="348"/>
      <c r="L29" s="348"/>
      <c r="M29" s="348"/>
      <c r="N29" s="348"/>
      <c r="O29" s="348"/>
      <c r="P29" s="348"/>
      <c r="Q29" s="349"/>
      <c r="R29" s="350"/>
      <c r="S29" s="1221" t="s">
        <v>42</v>
      </c>
      <c r="T29" s="1222"/>
      <c r="U29" s="1222"/>
      <c r="V29" s="1222"/>
      <c r="W29" s="839" t="s">
        <v>448</v>
      </c>
      <c r="X29" s="839" t="str">
        <f>IF(INVESTIMENTOS!R24="","",INVESTIMENTOS!R24)</f>
        <v>X</v>
      </c>
      <c r="Y29" s="839" t="s">
        <v>449</v>
      </c>
      <c r="Z29" s="818" t="str">
        <f>IF(INVESTIMENTOS!T24="","",INVESTIMENTOS!T24)</f>
        <v/>
      </c>
    </row>
    <row r="30" spans="2:30" ht="15.75" thickBot="1">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9" t="s">
        <v>123</v>
      </c>
      <c r="T30" s="1219"/>
      <c r="U30" s="1219" t="s">
        <v>104</v>
      </c>
      <c r="V30" s="1219"/>
      <c r="W30" s="1219" t="s">
        <v>103</v>
      </c>
      <c r="X30" s="1219"/>
      <c r="Y30" s="1219" t="s">
        <v>102</v>
      </c>
      <c r="Z30" s="1220"/>
    </row>
    <row r="31" spans="2:30" ht="15.75" thickTop="1">
      <c r="B31" s="356" t="s">
        <v>45</v>
      </c>
      <c r="C31" s="357" t="s">
        <v>46</v>
      </c>
      <c r="D31" s="358" t="s">
        <v>47</v>
      </c>
      <c r="E31" s="414"/>
      <c r="F31" s="414"/>
      <c r="G31" s="414"/>
      <c r="H31" s="414"/>
      <c r="I31" s="414"/>
      <c r="J31" s="414"/>
      <c r="K31" s="414"/>
      <c r="L31" s="414"/>
      <c r="M31" s="414"/>
      <c r="N31" s="414"/>
      <c r="O31" s="414"/>
      <c r="P31" s="414"/>
      <c r="Q31" s="359">
        <f t="shared" ref="Q31:Q65" si="6">IF(OR(R31=0,R31=""),0,(R31/$R$70)*100)</f>
        <v>0</v>
      </c>
      <c r="R31" s="359">
        <f t="shared" ref="R31:R69" si="7">SUM(E31:P31)</f>
        <v>0</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c r="B32" s="361" t="s">
        <v>48</v>
      </c>
      <c r="C32" s="362" t="s">
        <v>46</v>
      </c>
      <c r="D32" s="363" t="s">
        <v>47</v>
      </c>
      <c r="E32" s="415"/>
      <c r="F32" s="415"/>
      <c r="G32" s="415"/>
      <c r="H32" s="415"/>
      <c r="I32" s="415"/>
      <c r="J32" s="415"/>
      <c r="K32" s="415"/>
      <c r="L32" s="415"/>
      <c r="M32" s="415"/>
      <c r="N32" s="415"/>
      <c r="O32" s="415"/>
      <c r="P32" s="415"/>
      <c r="Q32" s="359">
        <f t="shared" si="6"/>
        <v>0</v>
      </c>
      <c r="R32" s="364">
        <f t="shared" si="7"/>
        <v>0</v>
      </c>
      <c r="S32" s="365">
        <f t="shared" si="8"/>
        <v>0</v>
      </c>
      <c r="T32" s="414"/>
      <c r="U32" s="365">
        <f t="shared" si="9"/>
        <v>0</v>
      </c>
      <c r="V32" s="414"/>
      <c r="W32" s="365">
        <f t="shared" si="10"/>
        <v>0</v>
      </c>
      <c r="X32" s="1081"/>
      <c r="Y32" s="365">
        <f t="shared" si="11"/>
        <v>0</v>
      </c>
      <c r="Z32" s="416"/>
      <c r="AA32" s="340"/>
      <c r="AB32" s="340"/>
    </row>
    <row r="33" spans="2:28">
      <c r="B33" s="361" t="s">
        <v>49</v>
      </c>
      <c r="C33" s="362" t="s">
        <v>46</v>
      </c>
      <c r="D33" s="363" t="s">
        <v>47</v>
      </c>
      <c r="E33" s="415"/>
      <c r="F33" s="415"/>
      <c r="G33" s="415"/>
      <c r="H33" s="415"/>
      <c r="I33" s="415"/>
      <c r="J33" s="415"/>
      <c r="K33" s="415"/>
      <c r="L33" s="415"/>
      <c r="M33" s="415"/>
      <c r="N33" s="415"/>
      <c r="O33" s="415"/>
      <c r="P33" s="415"/>
      <c r="Q33" s="359">
        <f t="shared" si="6"/>
        <v>0</v>
      </c>
      <c r="R33" s="364">
        <f t="shared" si="7"/>
        <v>0</v>
      </c>
      <c r="S33" s="365">
        <f t="shared" si="8"/>
        <v>0</v>
      </c>
      <c r="T33" s="414"/>
      <c r="U33" s="365">
        <f t="shared" si="9"/>
        <v>0</v>
      </c>
      <c r="V33" s="414"/>
      <c r="W33" s="365">
        <f t="shared" si="10"/>
        <v>0</v>
      </c>
      <c r="X33" s="1081"/>
      <c r="Y33" s="365">
        <f t="shared" si="11"/>
        <v>0</v>
      </c>
      <c r="Z33" s="416"/>
      <c r="AA33" s="340"/>
      <c r="AB33" s="340"/>
    </row>
    <row r="34" spans="2:28">
      <c r="B34" s="361" t="s">
        <v>50</v>
      </c>
      <c r="C34" s="362" t="s">
        <v>51</v>
      </c>
      <c r="D34" s="363" t="s">
        <v>47</v>
      </c>
      <c r="E34" s="415"/>
      <c r="F34" s="415"/>
      <c r="G34" s="415"/>
      <c r="H34" s="415"/>
      <c r="I34" s="415"/>
      <c r="J34" s="415"/>
      <c r="K34" s="415"/>
      <c r="L34" s="415"/>
      <c r="M34" s="415"/>
      <c r="N34" s="415"/>
      <c r="O34" s="415"/>
      <c r="P34" s="415"/>
      <c r="Q34" s="359">
        <f t="shared" si="6"/>
        <v>0</v>
      </c>
      <c r="R34" s="364">
        <f t="shared" si="7"/>
        <v>0</v>
      </c>
      <c r="S34" s="365">
        <f t="shared" si="8"/>
        <v>0</v>
      </c>
      <c r="T34" s="414"/>
      <c r="U34" s="365">
        <f t="shared" si="9"/>
        <v>0</v>
      </c>
      <c r="V34" s="414"/>
      <c r="W34" s="365">
        <f t="shared" si="10"/>
        <v>0</v>
      </c>
      <c r="X34" s="1081"/>
      <c r="Y34" s="365">
        <f t="shared" si="11"/>
        <v>0</v>
      </c>
      <c r="Z34" s="416"/>
      <c r="AA34" s="340"/>
      <c r="AB34" s="340"/>
    </row>
    <row r="35" spans="2:28">
      <c r="B35" s="361" t="s">
        <v>52</v>
      </c>
      <c r="C35" s="362" t="s">
        <v>53</v>
      </c>
      <c r="D35" s="363" t="s">
        <v>47</v>
      </c>
      <c r="E35" s="415"/>
      <c r="F35" s="415"/>
      <c r="G35" s="415"/>
      <c r="H35" s="415"/>
      <c r="I35" s="415"/>
      <c r="J35" s="415"/>
      <c r="K35" s="415"/>
      <c r="L35" s="415"/>
      <c r="M35" s="415"/>
      <c r="N35" s="415"/>
      <c r="O35" s="415"/>
      <c r="P35" s="415"/>
      <c r="Q35" s="359">
        <f t="shared" si="6"/>
        <v>0</v>
      </c>
      <c r="R35" s="364">
        <f t="shared" si="7"/>
        <v>0</v>
      </c>
      <c r="S35" s="365">
        <f t="shared" si="8"/>
        <v>0</v>
      </c>
      <c r="T35" s="414"/>
      <c r="U35" s="365">
        <f t="shared" si="9"/>
        <v>0</v>
      </c>
      <c r="V35" s="414"/>
      <c r="W35" s="365">
        <f t="shared" si="10"/>
        <v>0</v>
      </c>
      <c r="X35" s="1081"/>
      <c r="Y35" s="365">
        <f t="shared" si="11"/>
        <v>0</v>
      </c>
      <c r="Z35" s="416"/>
      <c r="AA35" s="340"/>
      <c r="AB35" s="340"/>
    </row>
    <row r="36" spans="2:28">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c r="B45" s="361" t="s">
        <v>63</v>
      </c>
      <c r="C45" s="362" t="s">
        <v>53</v>
      </c>
      <c r="D45" s="363" t="s">
        <v>47</v>
      </c>
      <c r="E45" s="415"/>
      <c r="F45" s="415"/>
      <c r="G45" s="415"/>
      <c r="H45" s="415"/>
      <c r="I45" s="415"/>
      <c r="J45" s="415">
        <v>5000</v>
      </c>
      <c r="K45" s="415">
        <v>2000</v>
      </c>
      <c r="L45" s="415"/>
      <c r="M45" s="415"/>
      <c r="N45" s="415"/>
      <c r="O45" s="415"/>
      <c r="P45" s="415"/>
      <c r="Q45" s="359">
        <f t="shared" si="6"/>
        <v>95.890410958904098</v>
      </c>
      <c r="R45" s="364">
        <f t="shared" si="7"/>
        <v>7000</v>
      </c>
      <c r="S45" s="365">
        <f t="shared" si="8"/>
        <v>78.571428571428569</v>
      </c>
      <c r="T45" s="414">
        <f>3500+2000</f>
        <v>5500</v>
      </c>
      <c r="U45" s="365">
        <f t="shared" si="9"/>
        <v>7.1428571428571423</v>
      </c>
      <c r="V45" s="414">
        <v>500</v>
      </c>
      <c r="W45" s="365">
        <f t="shared" si="10"/>
        <v>14.285714285714285</v>
      </c>
      <c r="X45" s="1081">
        <v>1000</v>
      </c>
      <c r="Y45" s="365">
        <f t="shared" si="11"/>
        <v>0</v>
      </c>
      <c r="Z45" s="416"/>
      <c r="AA45" s="340"/>
      <c r="AB45" s="340"/>
    </row>
    <row r="46" spans="2:28">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c r="B48" s="361" t="s">
        <v>67</v>
      </c>
      <c r="C48" s="362" t="s">
        <v>65</v>
      </c>
      <c r="D48" s="363" t="s">
        <v>47</v>
      </c>
      <c r="E48" s="415"/>
      <c r="F48" s="415"/>
      <c r="G48" s="415"/>
      <c r="H48" s="415"/>
      <c r="I48" s="415"/>
      <c r="J48" s="415"/>
      <c r="K48" s="415"/>
      <c r="L48" s="415"/>
      <c r="M48" s="415"/>
      <c r="N48" s="415"/>
      <c r="O48" s="415"/>
      <c r="P48" s="415"/>
      <c r="Q48" s="359">
        <f t="shared" si="6"/>
        <v>0</v>
      </c>
      <c r="R48" s="364">
        <f t="shared" si="7"/>
        <v>0</v>
      </c>
      <c r="S48" s="365">
        <f t="shared" si="8"/>
        <v>0</v>
      </c>
      <c r="T48" s="414"/>
      <c r="U48" s="365">
        <f t="shared" si="9"/>
        <v>0</v>
      </c>
      <c r="V48" s="414"/>
      <c r="W48" s="365">
        <f t="shared" si="10"/>
        <v>0</v>
      </c>
      <c r="X48" s="1081"/>
      <c r="Y48" s="365">
        <f t="shared" si="11"/>
        <v>0</v>
      </c>
      <c r="Z48" s="416"/>
      <c r="AA48" s="340"/>
      <c r="AB48" s="340"/>
    </row>
    <row r="49" spans="2:28">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c r="B52" s="361" t="s">
        <v>72</v>
      </c>
      <c r="C52" s="362" t="s">
        <v>73</v>
      </c>
      <c r="D52" s="363" t="s">
        <v>47</v>
      </c>
      <c r="E52" s="415"/>
      <c r="F52" s="415"/>
      <c r="G52" s="415"/>
      <c r="H52" s="415"/>
      <c r="I52" s="415"/>
      <c r="J52" s="415"/>
      <c r="K52" s="415"/>
      <c r="L52" s="415"/>
      <c r="M52" s="415"/>
      <c r="N52" s="415"/>
      <c r="O52" s="415"/>
      <c r="P52" s="415"/>
      <c r="Q52" s="359">
        <f t="shared" si="6"/>
        <v>0</v>
      </c>
      <c r="R52" s="364">
        <f t="shared" si="7"/>
        <v>0</v>
      </c>
      <c r="S52" s="365">
        <f t="shared" si="8"/>
        <v>0</v>
      </c>
      <c r="T52" s="414"/>
      <c r="U52" s="365">
        <f t="shared" si="9"/>
        <v>0</v>
      </c>
      <c r="V52" s="414"/>
      <c r="W52" s="365">
        <f t="shared" si="10"/>
        <v>0</v>
      </c>
      <c r="X52" s="1081"/>
      <c r="Y52" s="365">
        <f t="shared" si="11"/>
        <v>0</v>
      </c>
      <c r="Z52" s="416"/>
      <c r="AA52" s="340"/>
      <c r="AB52" s="340"/>
    </row>
    <row r="53" spans="2:28">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c r="B55" s="361" t="s">
        <v>76</v>
      </c>
      <c r="C55" s="362" t="s">
        <v>77</v>
      </c>
      <c r="D55" s="363" t="s">
        <v>47</v>
      </c>
      <c r="E55" s="415"/>
      <c r="F55" s="415"/>
      <c r="G55" s="415"/>
      <c r="H55" s="415"/>
      <c r="I55" s="415"/>
      <c r="J55" s="415"/>
      <c r="K55" s="415"/>
      <c r="L55" s="415"/>
      <c r="M55" s="415"/>
      <c r="N55" s="415"/>
      <c r="O55" s="415"/>
      <c r="P55" s="415"/>
      <c r="Q55" s="359">
        <f t="shared" si="6"/>
        <v>0</v>
      </c>
      <c r="R55" s="364">
        <f t="shared" si="7"/>
        <v>0</v>
      </c>
      <c r="S55" s="365">
        <f t="shared" si="8"/>
        <v>0</v>
      </c>
      <c r="T55" s="414"/>
      <c r="U55" s="365">
        <f t="shared" si="9"/>
        <v>0</v>
      </c>
      <c r="V55" s="414"/>
      <c r="W55" s="365">
        <f t="shared" si="10"/>
        <v>0</v>
      </c>
      <c r="X55" s="1081"/>
      <c r="Y55" s="365">
        <f t="shared" si="11"/>
        <v>0</v>
      </c>
      <c r="Z55" s="416"/>
      <c r="AA55" s="340"/>
      <c r="AB55" s="340"/>
    </row>
    <row r="56" spans="2:28">
      <c r="B56" s="361" t="s">
        <v>78</v>
      </c>
      <c r="C56" s="362" t="s">
        <v>79</v>
      </c>
      <c r="D56" s="363" t="s">
        <v>47</v>
      </c>
      <c r="E56" s="415"/>
      <c r="F56" s="415"/>
      <c r="G56" s="415"/>
      <c r="H56" s="415"/>
      <c r="I56" s="415"/>
      <c r="J56" s="415">
        <v>300</v>
      </c>
      <c r="K56" s="415"/>
      <c r="L56" s="415"/>
      <c r="M56" s="415"/>
      <c r="N56" s="415"/>
      <c r="O56" s="415"/>
      <c r="P56" s="415"/>
      <c r="Q56" s="359">
        <f t="shared" si="6"/>
        <v>4.10958904109589</v>
      </c>
      <c r="R56" s="364">
        <f t="shared" si="7"/>
        <v>300</v>
      </c>
      <c r="S56" s="365">
        <f t="shared" si="8"/>
        <v>58.333333333333336</v>
      </c>
      <c r="T56" s="414">
        <v>175</v>
      </c>
      <c r="U56" s="365">
        <f t="shared" si="9"/>
        <v>15</v>
      </c>
      <c r="V56" s="414">
        <v>45</v>
      </c>
      <c r="W56" s="365">
        <f t="shared" si="10"/>
        <v>26.666666666666668</v>
      </c>
      <c r="X56" s="1081">
        <v>80</v>
      </c>
      <c r="Y56" s="365">
        <f t="shared" si="11"/>
        <v>0</v>
      </c>
      <c r="Z56" s="416"/>
      <c r="AA56" s="340"/>
      <c r="AB56" s="340"/>
    </row>
    <row r="57" spans="2:28">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c r="B58" s="361" t="s">
        <v>81</v>
      </c>
      <c r="C58" s="362" t="s">
        <v>77</v>
      </c>
      <c r="D58" s="363" t="s">
        <v>47</v>
      </c>
      <c r="E58" s="415"/>
      <c r="F58" s="415"/>
      <c r="G58" s="415"/>
      <c r="H58" s="415"/>
      <c r="I58" s="415"/>
      <c r="J58" s="415"/>
      <c r="K58" s="415"/>
      <c r="L58" s="415"/>
      <c r="M58" s="415"/>
      <c r="N58" s="415"/>
      <c r="O58" s="415"/>
      <c r="P58" s="415"/>
      <c r="Q58" s="359">
        <f t="shared" si="6"/>
        <v>0</v>
      </c>
      <c r="R58" s="364">
        <f t="shared" si="7"/>
        <v>0</v>
      </c>
      <c r="S58" s="365">
        <f t="shared" si="8"/>
        <v>0</v>
      </c>
      <c r="T58" s="414"/>
      <c r="U58" s="365">
        <f t="shared" si="9"/>
        <v>0</v>
      </c>
      <c r="V58" s="414"/>
      <c r="W58" s="365">
        <f t="shared" si="10"/>
        <v>0</v>
      </c>
      <c r="X58" s="1081"/>
      <c r="Y58" s="365">
        <f t="shared" si="11"/>
        <v>0</v>
      </c>
      <c r="Z58" s="416"/>
      <c r="AA58" s="340"/>
      <c r="AB58" s="340"/>
    </row>
    <row r="59" spans="2:28">
      <c r="B59" s="361" t="s">
        <v>82</v>
      </c>
      <c r="C59" s="362" t="s">
        <v>77</v>
      </c>
      <c r="D59" s="363" t="s">
        <v>47</v>
      </c>
      <c r="E59" s="415"/>
      <c r="F59" s="415"/>
      <c r="G59" s="415"/>
      <c r="H59" s="415"/>
      <c r="I59" s="415"/>
      <c r="J59" s="415"/>
      <c r="K59" s="415"/>
      <c r="L59" s="415"/>
      <c r="M59" s="415"/>
      <c r="N59" s="415"/>
      <c r="O59" s="415"/>
      <c r="P59" s="415"/>
      <c r="Q59" s="359">
        <f t="shared" si="6"/>
        <v>0</v>
      </c>
      <c r="R59" s="364">
        <f t="shared" si="7"/>
        <v>0</v>
      </c>
      <c r="S59" s="365">
        <f t="shared" si="8"/>
        <v>0</v>
      </c>
      <c r="T59" s="414"/>
      <c r="U59" s="365">
        <f t="shared" si="9"/>
        <v>0</v>
      </c>
      <c r="V59" s="414"/>
      <c r="W59" s="365">
        <f t="shared" si="10"/>
        <v>0</v>
      </c>
      <c r="X59" s="1081"/>
      <c r="Y59" s="365">
        <f t="shared" si="11"/>
        <v>0</v>
      </c>
      <c r="Z59" s="416"/>
      <c r="AA59" s="340"/>
      <c r="AB59" s="340"/>
    </row>
    <row r="60" spans="2:28">
      <c r="B60" s="361" t="s">
        <v>83</v>
      </c>
      <c r="C60" s="362" t="s">
        <v>79</v>
      </c>
      <c r="D60" s="363" t="s">
        <v>47</v>
      </c>
      <c r="E60" s="415"/>
      <c r="F60" s="415"/>
      <c r="G60" s="415"/>
      <c r="H60" s="415"/>
      <c r="I60" s="415"/>
      <c r="J60" s="415"/>
      <c r="K60" s="415"/>
      <c r="L60" s="415"/>
      <c r="M60" s="415"/>
      <c r="N60" s="415"/>
      <c r="O60" s="415"/>
      <c r="P60" s="415"/>
      <c r="Q60" s="359">
        <f t="shared" si="6"/>
        <v>0</v>
      </c>
      <c r="R60" s="364">
        <f t="shared" si="7"/>
        <v>0</v>
      </c>
      <c r="S60" s="365">
        <f t="shared" si="8"/>
        <v>0</v>
      </c>
      <c r="T60" s="414"/>
      <c r="U60" s="365">
        <f t="shared" si="9"/>
        <v>0</v>
      </c>
      <c r="V60" s="414"/>
      <c r="W60" s="365">
        <f t="shared" si="10"/>
        <v>0</v>
      </c>
      <c r="X60" s="1081"/>
      <c r="Y60" s="365">
        <f t="shared" si="11"/>
        <v>0</v>
      </c>
      <c r="Z60" s="416"/>
      <c r="AA60" s="340"/>
      <c r="AB60" s="340"/>
    </row>
    <row r="61" spans="2:28">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c r="B62" s="361" t="s">
        <v>86</v>
      </c>
      <c r="C62" s="362" t="s">
        <v>85</v>
      </c>
      <c r="D62" s="363" t="s">
        <v>47</v>
      </c>
      <c r="E62" s="415"/>
      <c r="F62" s="415"/>
      <c r="G62" s="837"/>
      <c r="H62" s="415"/>
      <c r="I62" s="415"/>
      <c r="J62" s="415"/>
      <c r="K62" s="415"/>
      <c r="L62" s="415"/>
      <c r="M62" s="415"/>
      <c r="N62" s="415"/>
      <c r="O62" s="415"/>
      <c r="P62" s="415"/>
      <c r="Q62" s="359">
        <f t="shared" si="6"/>
        <v>0</v>
      </c>
      <c r="R62" s="364">
        <f t="shared" si="7"/>
        <v>0</v>
      </c>
      <c r="S62" s="365">
        <f t="shared" si="8"/>
        <v>0</v>
      </c>
      <c r="T62" s="414"/>
      <c r="U62" s="365">
        <f t="shared" si="9"/>
        <v>0</v>
      </c>
      <c r="V62" s="414"/>
      <c r="W62" s="365">
        <f t="shared" si="10"/>
        <v>0</v>
      </c>
      <c r="X62" s="1081"/>
      <c r="Y62" s="365">
        <f t="shared" si="11"/>
        <v>0</v>
      </c>
      <c r="Z62" s="416"/>
      <c r="AA62" s="340"/>
      <c r="AB62" s="340"/>
    </row>
    <row r="63" spans="2:28">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c r="B64" s="361" t="s">
        <v>372</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c r="B65" s="454" t="s">
        <v>88</v>
      </c>
      <c r="C65" s="455" t="s">
        <v>88</v>
      </c>
      <c r="D65" s="363" t="s">
        <v>47</v>
      </c>
      <c r="E65" s="415"/>
      <c r="F65" s="415"/>
      <c r="G65" s="415"/>
      <c r="H65" s="415"/>
      <c r="I65" s="415"/>
      <c r="J65" s="415"/>
      <c r="K65" s="415"/>
      <c r="L65" s="415"/>
      <c r="M65" s="415"/>
      <c r="N65" s="415"/>
      <c r="O65" s="415"/>
      <c r="P65" s="415"/>
      <c r="Q65" s="359">
        <f t="shared" si="6"/>
        <v>0</v>
      </c>
      <c r="R65" s="364">
        <f t="shared" si="7"/>
        <v>0</v>
      </c>
      <c r="S65" s="365">
        <f t="shared" si="8"/>
        <v>0</v>
      </c>
      <c r="T65" s="414"/>
      <c r="U65" s="365">
        <f t="shared" si="9"/>
        <v>0</v>
      </c>
      <c r="V65" s="414"/>
      <c r="W65" s="365">
        <f t="shared" si="10"/>
        <v>0</v>
      </c>
      <c r="X65" s="1081"/>
      <c r="Y65" s="365">
        <f t="shared" si="11"/>
        <v>0</v>
      </c>
      <c r="Z65" s="416"/>
      <c r="AA65" s="340"/>
      <c r="AB65" s="340"/>
    </row>
    <row r="66" spans="2:28">
      <c r="B66" s="417" t="s">
        <v>88</v>
      </c>
      <c r="C66" s="418" t="s">
        <v>88</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c r="B67" s="417" t="s">
        <v>461</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c r="B68" s="417" t="s">
        <v>462</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c r="B69" s="366" t="s">
        <v>246</v>
      </c>
      <c r="C69" s="367" t="s">
        <v>247</v>
      </c>
      <c r="D69" s="368" t="s">
        <v>47</v>
      </c>
      <c r="E69" s="369">
        <f t="shared" ref="E69:P69" si="13">E27-E26</f>
        <v>0</v>
      </c>
      <c r="F69" s="369">
        <f t="shared" si="13"/>
        <v>0</v>
      </c>
      <c r="G69" s="369">
        <f t="shared" si="13"/>
        <v>0</v>
      </c>
      <c r="H69" s="369">
        <f t="shared" si="13"/>
        <v>0</v>
      </c>
      <c r="I69" s="369">
        <f t="shared" si="13"/>
        <v>0</v>
      </c>
      <c r="J69" s="369">
        <f t="shared" si="13"/>
        <v>0</v>
      </c>
      <c r="K69" s="369">
        <f t="shared" si="13"/>
        <v>0</v>
      </c>
      <c r="L69" s="369">
        <f t="shared" si="13"/>
        <v>0</v>
      </c>
      <c r="M69" s="369">
        <f t="shared" si="13"/>
        <v>0</v>
      </c>
      <c r="N69" s="369">
        <f t="shared" si="13"/>
        <v>0</v>
      </c>
      <c r="O69" s="369">
        <f t="shared" si="13"/>
        <v>0</v>
      </c>
      <c r="P69" s="369">
        <f t="shared" si="13"/>
        <v>0</v>
      </c>
      <c r="Q69" s="359">
        <f>IF(OR(R69=0,R69=""),0,(R69/$R$70)*100)</f>
        <v>0</v>
      </c>
      <c r="R69" s="364">
        <f t="shared" si="7"/>
        <v>0</v>
      </c>
      <c r="S69" s="370">
        <f t="shared" si="8"/>
        <v>0</v>
      </c>
      <c r="T69" s="359">
        <f>SUM(E26:P26)+SUM(E22:P22)</f>
        <v>0</v>
      </c>
      <c r="U69" s="370">
        <f t="shared" si="9"/>
        <v>0</v>
      </c>
      <c r="V69" s="359">
        <f>SUM(E10:P10)</f>
        <v>0</v>
      </c>
      <c r="W69" s="370">
        <f t="shared" si="10"/>
        <v>0</v>
      </c>
      <c r="X69" s="359">
        <f>SUM(E14:P14)</f>
        <v>0</v>
      </c>
      <c r="Y69" s="370">
        <f t="shared" si="11"/>
        <v>0</v>
      </c>
      <c r="Z69" s="1108">
        <f>SUM(E18:P18)</f>
        <v>0</v>
      </c>
      <c r="AA69" s="340"/>
      <c r="AB69" s="340"/>
    </row>
    <row r="70" spans="2:28" ht="16.5" thickTop="1" thickBot="1">
      <c r="B70" s="372" t="s">
        <v>89</v>
      </c>
      <c r="C70" s="373"/>
      <c r="D70" s="374" t="s">
        <v>47</v>
      </c>
      <c r="E70" s="375">
        <f t="shared" ref="E70:P70" si="14">SUM(E31:E69)</f>
        <v>0</v>
      </c>
      <c r="F70" s="375">
        <f t="shared" si="14"/>
        <v>0</v>
      </c>
      <c r="G70" s="375">
        <f t="shared" si="14"/>
        <v>0</v>
      </c>
      <c r="H70" s="375">
        <f t="shared" si="14"/>
        <v>0</v>
      </c>
      <c r="I70" s="375">
        <f t="shared" si="14"/>
        <v>0</v>
      </c>
      <c r="J70" s="375">
        <f t="shared" si="14"/>
        <v>5300</v>
      </c>
      <c r="K70" s="375">
        <f t="shared" si="14"/>
        <v>2000</v>
      </c>
      <c r="L70" s="375">
        <f t="shared" si="14"/>
        <v>0</v>
      </c>
      <c r="M70" s="375">
        <f t="shared" si="14"/>
        <v>0</v>
      </c>
      <c r="N70" s="375">
        <f t="shared" si="14"/>
        <v>0</v>
      </c>
      <c r="O70" s="375">
        <f t="shared" si="14"/>
        <v>0</v>
      </c>
      <c r="P70" s="375">
        <f t="shared" si="14"/>
        <v>0</v>
      </c>
      <c r="Q70" s="376" t="s">
        <v>107</v>
      </c>
      <c r="R70" s="377">
        <f>SUM(R31:R69)</f>
        <v>7300</v>
      </c>
      <c r="S70" s="376">
        <f>IF($R70=0,0,(T70/$R70)*100)</f>
        <v>77.739726027397253</v>
      </c>
      <c r="T70" s="377">
        <f>IF($X$29&lt;&gt;"",SUM(T31:T69),0)</f>
        <v>5675</v>
      </c>
      <c r="U70" s="376">
        <f>IF($R70=0,0,(V70/$R70)*100)</f>
        <v>7.4657534246575343</v>
      </c>
      <c r="V70" s="377">
        <f>IF($X$29&lt;&gt;"",SUM(V31:V69),0)</f>
        <v>545</v>
      </c>
      <c r="W70" s="376">
        <f>IF($R70=0,0,(X70/$R70)*100)</f>
        <v>14.794520547945206</v>
      </c>
      <c r="X70" s="377">
        <f>IF($X$29&lt;&gt;"",SUM(X31:X69),0)</f>
        <v>1080</v>
      </c>
      <c r="Y70" s="376">
        <f>IF($R70=0,0,(Z70/$R70)*100)</f>
        <v>0</v>
      </c>
      <c r="Z70" s="378">
        <f>IF($X$29&lt;&gt;"",SUM(Z31:Z69),0)</f>
        <v>0</v>
      </c>
      <c r="AA70" s="340"/>
      <c r="AB70" s="340"/>
    </row>
    <row r="71" spans="2:28" ht="16.5" thickTop="1" thickBot="1">
      <c r="AA71" s="340"/>
      <c r="AB71" s="340"/>
    </row>
    <row r="72" spans="2:28" ht="16.5" thickTop="1" thickBot="1">
      <c r="B72" s="379" t="s">
        <v>100</v>
      </c>
      <c r="C72" s="1217"/>
      <c r="D72" s="1217"/>
      <c r="E72" s="1217"/>
      <c r="F72" s="1217"/>
      <c r="G72" s="1217"/>
      <c r="H72" s="1217"/>
      <c r="I72" s="1217"/>
      <c r="J72" s="1217"/>
      <c r="K72" s="1217"/>
      <c r="L72" s="1217"/>
      <c r="M72" s="1217"/>
      <c r="N72" s="1217"/>
      <c r="O72" s="1217"/>
      <c r="P72" s="1217"/>
      <c r="Q72" s="1217"/>
      <c r="R72" s="1217"/>
      <c r="S72" s="1217"/>
      <c r="T72" s="1217"/>
      <c r="U72" s="1217"/>
      <c r="V72" s="1217"/>
      <c r="W72" s="1217"/>
      <c r="X72" s="1217"/>
      <c r="Y72" s="1217"/>
      <c r="Z72" s="1218"/>
      <c r="AA72" s="340"/>
      <c r="AB72" s="340"/>
    </row>
    <row r="73" spans="2:28" ht="15.75" thickTop="1">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c r="B76" s="384" t="s">
        <v>93</v>
      </c>
      <c r="C76" s="385" t="s">
        <v>85</v>
      </c>
      <c r="D76" s="331" t="s">
        <v>47</v>
      </c>
      <c r="E76" s="422"/>
      <c r="F76" s="422"/>
      <c r="G76" s="422"/>
      <c r="H76" s="422"/>
      <c r="I76" s="422"/>
      <c r="J76" s="422"/>
      <c r="K76" s="422"/>
      <c r="L76" s="422"/>
      <c r="M76" s="422"/>
      <c r="N76" s="422"/>
      <c r="O76" s="422"/>
      <c r="P76" s="422"/>
      <c r="Q76" s="386">
        <f t="shared" si="20"/>
        <v>0</v>
      </c>
      <c r="R76" s="386">
        <f t="shared" si="15"/>
        <v>0</v>
      </c>
      <c r="S76" s="387">
        <f t="shared" si="16"/>
        <v>0</v>
      </c>
      <c r="T76" s="422"/>
      <c r="U76" s="387">
        <f t="shared" si="17"/>
        <v>0</v>
      </c>
      <c r="V76" s="422"/>
      <c r="W76" s="387">
        <f t="shared" si="18"/>
        <v>0</v>
      </c>
      <c r="X76" s="422"/>
      <c r="Y76" s="387">
        <f t="shared" si="19"/>
        <v>0</v>
      </c>
      <c r="Z76" s="424"/>
      <c r="AA76" s="340"/>
      <c r="AB76" s="340"/>
    </row>
    <row r="77" spans="2:28">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c r="B81" s="384" t="s">
        <v>371</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c r="B82" s="419" t="s">
        <v>245</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c r="B90" s="388" t="s">
        <v>248</v>
      </c>
      <c r="C90" s="385" t="s">
        <v>248</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c r="B91" s="390" t="s">
        <v>99</v>
      </c>
      <c r="C91" s="391"/>
      <c r="D91" s="392" t="s">
        <v>47</v>
      </c>
      <c r="E91" s="393">
        <f t="shared" ref="E91:R91" si="22">SUM(E73:E90)</f>
        <v>0</v>
      </c>
      <c r="F91" s="393">
        <f t="shared" si="22"/>
        <v>0</v>
      </c>
      <c r="G91" s="393">
        <f t="shared" si="22"/>
        <v>0</v>
      </c>
      <c r="H91" s="393">
        <f t="shared" si="22"/>
        <v>0</v>
      </c>
      <c r="I91" s="393">
        <f t="shared" si="22"/>
        <v>0</v>
      </c>
      <c r="J91" s="393">
        <f t="shared" si="22"/>
        <v>0</v>
      </c>
      <c r="K91" s="393">
        <f t="shared" si="22"/>
        <v>0</v>
      </c>
      <c r="L91" s="393">
        <f t="shared" si="22"/>
        <v>0</v>
      </c>
      <c r="M91" s="393">
        <f t="shared" si="22"/>
        <v>0</v>
      </c>
      <c r="N91" s="393">
        <f t="shared" si="22"/>
        <v>0</v>
      </c>
      <c r="O91" s="393">
        <f t="shared" si="22"/>
        <v>0</v>
      </c>
      <c r="P91" s="393">
        <f t="shared" si="22"/>
        <v>0</v>
      </c>
      <c r="Q91" s="428" t="s">
        <v>107</v>
      </c>
      <c r="R91" s="429">
        <f t="shared" si="22"/>
        <v>0</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c r="D92" s="394"/>
    </row>
    <row r="93" spans="2:28" ht="16.5" thickTop="1" thickBot="1">
      <c r="B93" s="395" t="s">
        <v>223</v>
      </c>
      <c r="C93" s="396"/>
      <c r="D93" s="397" t="s">
        <v>47</v>
      </c>
      <c r="E93" s="398">
        <f t="shared" ref="E93:P93" si="23">E70+E91</f>
        <v>0</v>
      </c>
      <c r="F93" s="398">
        <f t="shared" si="23"/>
        <v>0</v>
      </c>
      <c r="G93" s="398">
        <f t="shared" si="23"/>
        <v>0</v>
      </c>
      <c r="H93" s="398">
        <f t="shared" si="23"/>
        <v>0</v>
      </c>
      <c r="I93" s="398">
        <f t="shared" si="23"/>
        <v>0</v>
      </c>
      <c r="J93" s="398">
        <f t="shared" si="23"/>
        <v>5300</v>
      </c>
      <c r="K93" s="398">
        <f t="shared" si="23"/>
        <v>2000</v>
      </c>
      <c r="L93" s="398">
        <f t="shared" si="23"/>
        <v>0</v>
      </c>
      <c r="M93" s="398">
        <f t="shared" si="23"/>
        <v>0</v>
      </c>
      <c r="N93" s="398">
        <f t="shared" si="23"/>
        <v>0</v>
      </c>
      <c r="O93" s="398">
        <f t="shared" si="23"/>
        <v>0</v>
      </c>
      <c r="P93" s="398">
        <f t="shared" si="23"/>
        <v>0</v>
      </c>
      <c r="Q93" s="399" t="s">
        <v>107</v>
      </c>
      <c r="R93" s="400">
        <f>SUM(E93:P93)</f>
        <v>7300</v>
      </c>
      <c r="S93" s="399">
        <f>IF($R93=0,0,(T93/$R93)*100)</f>
        <v>77.739726027397253</v>
      </c>
      <c r="T93" s="400">
        <f>T70+T91</f>
        <v>5675</v>
      </c>
      <c r="U93" s="399">
        <f>IF($R93=0,0,(V93/$R93)*100)</f>
        <v>7.4657534246575343</v>
      </c>
      <c r="V93" s="400">
        <f>V70+V91</f>
        <v>545</v>
      </c>
      <c r="W93" s="399">
        <f>IF($R93=0,0,(X93/$R93)*100)</f>
        <v>14.794520547945206</v>
      </c>
      <c r="X93" s="400">
        <f>X70+X91</f>
        <v>1080</v>
      </c>
      <c r="Y93" s="399">
        <f>IF($R93=0,0,(Z93/$R93)*100)</f>
        <v>0</v>
      </c>
      <c r="Z93" s="401">
        <f>Z70+Z91</f>
        <v>0</v>
      </c>
    </row>
    <row r="94" spans="2:28" ht="16.5" thickTop="1" thickBot="1"/>
    <row r="95" spans="2:28" ht="16.5" thickTop="1" thickBot="1">
      <c r="B95" s="1223" t="s">
        <v>394</v>
      </c>
      <c r="C95" s="1224"/>
      <c r="D95" s="1224"/>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5" t="s">
        <v>123</v>
      </c>
      <c r="T95" s="1225"/>
      <c r="U95" s="1225" t="s">
        <v>104</v>
      </c>
      <c r="V95" s="1225"/>
      <c r="W95" s="1225" t="s">
        <v>103</v>
      </c>
      <c r="X95" s="1225"/>
      <c r="Y95" s="1225" t="s">
        <v>102</v>
      </c>
      <c r="Z95" s="1226"/>
    </row>
    <row r="96" spans="2:28" ht="15.75" thickTop="1">
      <c r="B96" s="403" t="s">
        <v>396</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c r="B97" s="407" t="s">
        <v>397</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c r="B98" s="410" t="s">
        <v>393</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c r="B99" s="395" t="s">
        <v>402</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c r="E100" s="433">
        <f t="shared" ref="E100:P100" si="32">E93-E90</f>
        <v>0</v>
      </c>
      <c r="F100" s="433">
        <f t="shared" si="32"/>
        <v>0</v>
      </c>
      <c r="G100" s="433">
        <f t="shared" si="32"/>
        <v>0</v>
      </c>
      <c r="H100" s="433">
        <f t="shared" si="32"/>
        <v>0</v>
      </c>
      <c r="I100" s="433">
        <f t="shared" si="32"/>
        <v>0</v>
      </c>
      <c r="J100" s="433">
        <f t="shared" si="32"/>
        <v>5300</v>
      </c>
      <c r="K100" s="433">
        <f t="shared" si="32"/>
        <v>2000</v>
      </c>
      <c r="L100" s="433">
        <f t="shared" si="32"/>
        <v>0</v>
      </c>
      <c r="M100" s="433">
        <f t="shared" si="32"/>
        <v>0</v>
      </c>
      <c r="N100" s="433">
        <f t="shared" si="32"/>
        <v>0</v>
      </c>
      <c r="O100" s="433">
        <f t="shared" si="32"/>
        <v>0</v>
      </c>
      <c r="P100" s="433">
        <f t="shared" si="32"/>
        <v>0</v>
      </c>
    </row>
  </sheetData>
  <sheetProtection password="CA4F"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sheetPr codeName="Plan6"/>
  <dimension ref="A1:AK849"/>
  <sheetViews>
    <sheetView showGridLines="0" topLeftCell="A88" zoomScale="90" zoomScaleNormal="90" workbookViewId="0">
      <selection activeCell="D91" sqref="D91"/>
    </sheetView>
  </sheetViews>
  <sheetFormatPr defaultColWidth="0" defaultRowHeight="15" zeroHeight="1"/>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row r="2" spans="2:16" ht="15.75" thickTop="1">
      <c r="B2" s="513" t="str">
        <f>REBANHO!B2</f>
        <v>Fazenda</v>
      </c>
      <c r="C2" s="514" t="str">
        <f>IF(REBANHO!C2="","",REBANHO!C2)</f>
        <v>RENASCER</v>
      </c>
      <c r="D2" s="514"/>
      <c r="E2" s="515"/>
      <c r="H2" s="86"/>
      <c r="I2" s="224"/>
      <c r="J2" s="224"/>
      <c r="K2" s="516"/>
      <c r="L2" s="516"/>
      <c r="M2" s="437"/>
      <c r="N2" s="224"/>
      <c r="O2" s="224"/>
    </row>
    <row r="3" spans="2:16">
      <c r="B3" s="517" t="str">
        <f>REBANHO!B3</f>
        <v>Município</v>
      </c>
      <c r="C3" s="518" t="str">
        <f>IF(REBANHO!C3="","",REBANHO!C3)</f>
        <v>INDIARA</v>
      </c>
      <c r="D3" s="518"/>
      <c r="E3" s="519"/>
      <c r="H3" s="86"/>
      <c r="I3" s="224"/>
      <c r="J3" s="224"/>
      <c r="K3" s="516"/>
      <c r="L3" s="516"/>
      <c r="M3" s="437"/>
      <c r="N3" s="224"/>
      <c r="O3" s="224"/>
    </row>
    <row r="4" spans="2:16">
      <c r="B4" s="517" t="str">
        <f>REBANHO!B4</f>
        <v>Estado</v>
      </c>
      <c r="C4" s="518" t="str">
        <f>IF(REBANHO!C4="","",REBANHO!C4)</f>
        <v>GO</v>
      </c>
      <c r="D4" s="518"/>
      <c r="E4" s="519"/>
      <c r="H4" s="86"/>
      <c r="I4" s="224"/>
      <c r="J4" s="224"/>
      <c r="K4" s="516"/>
      <c r="L4" s="516"/>
      <c r="M4" s="437"/>
      <c r="N4" s="224"/>
      <c r="O4" s="224"/>
    </row>
    <row r="5" spans="2:16">
      <c r="B5" s="517" t="str">
        <f>REBANHO!B5</f>
        <v>Proprietário</v>
      </c>
      <c r="C5" s="518" t="str">
        <f>IF(REBANHO!C5="","",REBANHO!C5)</f>
        <v>AUREA</v>
      </c>
      <c r="D5" s="518"/>
      <c r="E5" s="519"/>
      <c r="H5" s="86"/>
      <c r="I5" s="224"/>
      <c r="J5" s="224"/>
      <c r="K5" s="516"/>
      <c r="L5" s="516"/>
      <c r="M5" s="437"/>
      <c r="N5" s="224"/>
      <c r="O5" s="224"/>
    </row>
    <row r="6" spans="2:16">
      <c r="B6" s="517" t="str">
        <f>REBANHO!B6</f>
        <v>Sistema de produção</v>
      </c>
      <c r="C6" s="518" t="str">
        <f>IF(REBANHO!C6="","",REBANHO!C6)</f>
        <v>CICLO COMPLETO</v>
      </c>
      <c r="D6" s="518"/>
      <c r="E6" s="519"/>
      <c r="H6" s="86"/>
      <c r="I6" s="224"/>
      <c r="J6" s="224"/>
      <c r="K6" s="516"/>
      <c r="L6" s="516"/>
      <c r="M6" s="437"/>
      <c r="N6" s="224"/>
      <c r="O6" s="224"/>
    </row>
    <row r="7" spans="2:16">
      <c r="B7" s="517" t="str">
        <f>REBANHO!B7</f>
        <v>Valor da terra (R$/ha)</v>
      </c>
      <c r="C7" s="518" t="str">
        <f>IF(REBANHO!C7="","",REBANHO!C7)</f>
        <v/>
      </c>
      <c r="D7" s="520"/>
      <c r="E7" s="519"/>
      <c r="H7" s="86"/>
      <c r="I7" s="224"/>
      <c r="J7" s="224"/>
      <c r="K7" s="521"/>
      <c r="L7" s="521"/>
      <c r="M7" s="437"/>
      <c r="N7" s="224"/>
      <c r="O7" s="224"/>
    </row>
    <row r="8" spans="2:16" ht="16.5" customHeight="1">
      <c r="B8" s="522" t="str">
        <f>REBANHO!F2</f>
        <v>Ano</v>
      </c>
      <c r="C8" s="523">
        <f>REBANHO!I2</f>
        <v>2016</v>
      </c>
      <c r="D8" s="524"/>
      <c r="E8" s="525"/>
      <c r="H8" s="526"/>
      <c r="I8" s="224"/>
      <c r="J8" s="224"/>
      <c r="K8" s="527"/>
      <c r="L8" s="224"/>
      <c r="M8" s="224"/>
      <c r="N8" s="224"/>
      <c r="O8" s="224"/>
    </row>
    <row r="9" spans="2:16">
      <c r="B9" s="517" t="str">
        <f>REBANHO!F3</f>
        <v>Área total da propriedade (ha)</v>
      </c>
      <c r="C9" s="520" t="str">
        <f>IF(REBANHO!I3="","",REBANHO!I3)</f>
        <v/>
      </c>
      <c r="D9" s="524"/>
      <c r="E9" s="525"/>
      <c r="H9" s="86"/>
      <c r="I9" s="224"/>
      <c r="J9" s="224"/>
      <c r="K9" s="521"/>
      <c r="L9" s="224"/>
      <c r="M9" s="224"/>
      <c r="N9" s="224"/>
      <c r="O9" s="224"/>
    </row>
    <row r="10" spans="2:16">
      <c r="B10" s="517" t="str">
        <f>REBANHO!F4</f>
        <v>Área de pasto (ha)</v>
      </c>
      <c r="C10" s="520">
        <f>IF(REBANHO!I4="","",REBANHO!I4)</f>
        <v>363</v>
      </c>
      <c r="D10" s="524"/>
      <c r="E10" s="525"/>
      <c r="H10" s="86"/>
      <c r="I10" s="224"/>
      <c r="J10" s="224"/>
      <c r="K10" s="521"/>
      <c r="L10" s="224"/>
      <c r="M10" s="224"/>
      <c r="N10" s="224"/>
      <c r="O10" s="224"/>
    </row>
    <row r="11" spans="2:16">
      <c r="B11" s="517" t="s">
        <v>117</v>
      </c>
      <c r="C11" s="520" t="str">
        <f>IF(REBANHO!I5="","",REBANHO!I5)</f>
        <v/>
      </c>
      <c r="D11" s="524"/>
      <c r="E11" s="525"/>
      <c r="H11" s="86"/>
      <c r="I11" s="224"/>
      <c r="J11" s="224"/>
      <c r="K11" s="521"/>
      <c r="L11" s="224"/>
      <c r="M11" s="224"/>
      <c r="N11" s="224"/>
      <c r="O11" s="224"/>
    </row>
    <row r="12" spans="2:16">
      <c r="B12" s="517" t="s">
        <v>118</v>
      </c>
      <c r="C12" s="520" t="str">
        <f>IF(REBANHO!I6="","",REBANHO!I6)</f>
        <v/>
      </c>
      <c r="D12" s="524"/>
      <c r="E12" s="525"/>
      <c r="H12" s="86"/>
      <c r="I12" s="224"/>
      <c r="J12" s="224"/>
      <c r="K12" s="521"/>
      <c r="L12" s="224"/>
      <c r="M12" s="224"/>
      <c r="N12" s="224"/>
      <c r="O12" s="224"/>
    </row>
    <row r="13" spans="2:16" ht="15.75" thickBot="1">
      <c r="B13" s="528" t="s">
        <v>287</v>
      </c>
      <c r="C13" s="529">
        <f>IF(REBANHO!I7="","",REBANHO!I7)</f>
        <v>6</v>
      </c>
      <c r="D13" s="530"/>
      <c r="E13" s="531"/>
      <c r="H13" s="86"/>
      <c r="I13" s="224"/>
      <c r="J13" s="224"/>
      <c r="K13" s="521"/>
      <c r="L13" s="224"/>
      <c r="M13" s="224"/>
      <c r="N13" s="224"/>
      <c r="O13" s="224"/>
    </row>
    <row r="14" spans="2:16" ht="16.5" thickTop="1" thickBot="1">
      <c r="M14" s="231"/>
    </row>
    <row r="15" spans="2:16" ht="16.5" thickTop="1" thickBot="1">
      <c r="B15" s="1233" t="s">
        <v>18</v>
      </c>
      <c r="C15" s="1234"/>
      <c r="D15" s="271"/>
      <c r="G15" s="938" t="s">
        <v>501</v>
      </c>
      <c r="H15" s="939"/>
      <c r="I15" s="939"/>
      <c r="J15" s="532">
        <f>IF(C8=0,"",C8+1)</f>
        <v>2017</v>
      </c>
      <c r="L15" s="1252" t="s">
        <v>256</v>
      </c>
      <c r="M15" s="1253"/>
      <c r="N15" s="83" t="s">
        <v>47</v>
      </c>
    </row>
    <row r="16" spans="2:16" ht="15.75" thickTop="1">
      <c r="B16" s="533" t="s">
        <v>19</v>
      </c>
      <c r="C16" s="534">
        <f>IF(AND(INVESTIMENTOS!$R$24="",INVESTIMENTOS!$T$24=""),"-",D55)</f>
        <v>0</v>
      </c>
      <c r="D16" s="535"/>
      <c r="G16" s="536" t="s">
        <v>12</v>
      </c>
      <c r="H16" s="537"/>
      <c r="I16" s="537"/>
      <c r="J16" s="538">
        <f>IF(AND(INVESTIMENTOS!$R$24="",INVESTIMENTOS!$T$24=""),"-",P480)</f>
        <v>142.85714285714289</v>
      </c>
      <c r="L16" s="1256" t="s">
        <v>247</v>
      </c>
      <c r="M16" s="1257"/>
      <c r="N16" s="431">
        <f>IF(AND(INVESTIMENTOS!$R$24="",INVESTIMENTOS!$T$24=""),"-",REBANHO!Q58)</f>
        <v>0</v>
      </c>
      <c r="P16" s="539"/>
    </row>
    <row r="17" spans="1:37">
      <c r="B17" s="533" t="s">
        <v>399</v>
      </c>
      <c r="C17" s="534">
        <f>IF(AND(INVESTIMENTOS!$R$24="",INVESTIMENTOS!$T$24=""),"-",IF(OR(C50=0,C50="",C50="-"),0,(D79/C50)*C55))</f>
        <v>0</v>
      </c>
      <c r="D17" s="231"/>
      <c r="G17" s="536" t="s">
        <v>13</v>
      </c>
      <c r="H17" s="537"/>
      <c r="I17" s="537"/>
      <c r="J17" s="538">
        <f>IF(AND(INVESTIMENTOS!$R$24="",INVESTIMENTOS!$T$24=""),"-",P555)</f>
        <v>285.71428571428578</v>
      </c>
      <c r="L17" s="1256" t="s">
        <v>257</v>
      </c>
      <c r="M17" s="1257"/>
      <c r="N17" s="431">
        <f>IF(AND(INVESTIMENTOS!$R$24="",INVESTIMENTOS!$T$24=""),"-",IF(AND(C7="",C9=""),0,C9*C7))</f>
        <v>0</v>
      </c>
    </row>
    <row r="18" spans="1:37">
      <c r="A18" s="540"/>
      <c r="B18" s="533" t="s">
        <v>384</v>
      </c>
      <c r="C18" s="534">
        <f>IF(AND(INVESTIMENTOS!$R$24="",INVESTIMENTOS!$T$24=""),"-",IF(C50=0,0,IF(SUM(J59,M59,P59,S59)=0,(D83/C50)*C55,((K55*K83)+(N55*N83)+(Q55*Q83)+(T55*T83)))))</f>
        <v>0</v>
      </c>
      <c r="D18" s="231"/>
      <c r="G18" s="536" t="s">
        <v>14</v>
      </c>
      <c r="H18" s="537"/>
      <c r="I18" s="537"/>
      <c r="J18" s="538">
        <f>IF(AND(INVESTIMENTOS!$R$24="",INVESTIMENTOS!$T$24=""),"-",P630)</f>
        <v>0</v>
      </c>
      <c r="L18" s="1256" t="s">
        <v>411</v>
      </c>
      <c r="M18" s="1257"/>
      <c r="N18" s="431">
        <f>IF(AND(INVESTIMENTOS!$R$24="",INVESTIMENTOS!$T$24=""),"-",SUM(INVESTIMENTOS!K52,INVESTIMENTOS!K83,INVESTIMENTOS!K112,INVESTIMENTOS!K141,INVESTIMENTOS!K169))</f>
        <v>0</v>
      </c>
    </row>
    <row r="19" spans="1:37" ht="15.75" thickBot="1">
      <c r="B19" s="533" t="s">
        <v>385</v>
      </c>
      <c r="C19" s="534">
        <f>IF(AND(INVESTIMENTOS!$R$24="",INVESTIMENTOS!$T$24=""),"-",C16-C17-C18)</f>
        <v>0</v>
      </c>
      <c r="D19" s="231"/>
      <c r="G19" s="536" t="s">
        <v>237</v>
      </c>
      <c r="H19" s="537"/>
      <c r="I19" s="537"/>
      <c r="J19" s="538">
        <f>IF(AND(INVESTIMENTOS!$R$24="",INVESTIMENTOS!$T$24=""),"-",P705)</f>
        <v>1571.4285714285716</v>
      </c>
      <c r="L19" s="1261" t="s">
        <v>134</v>
      </c>
      <c r="M19" s="1262"/>
      <c r="N19" s="432">
        <f>IF(AND(INVESTIMENTOS!$R$24="",INVESTIMENTOS!$T$24=""),"-",SUM(N16:N18))</f>
        <v>0</v>
      </c>
      <c r="O19" s="434"/>
      <c r="P19" s="434"/>
      <c r="Q19" s="434"/>
    </row>
    <row r="20" spans="1:37" ht="15.75" thickTop="1">
      <c r="B20" s="533" t="s">
        <v>457</v>
      </c>
      <c r="C20" s="534">
        <f>IF(AND(INVESTIMENTOS!$R$24="",INVESTIMENTOS!$T$24=""),"-",SAÍDAS!R98)</f>
        <v>0</v>
      </c>
      <c r="D20" s="231"/>
      <c r="G20" s="541"/>
      <c r="H20" s="542"/>
      <c r="I20" s="542"/>
      <c r="J20" s="538"/>
    </row>
    <row r="21" spans="1:37" ht="15.75" thickBot="1">
      <c r="B21" s="546" t="s">
        <v>386</v>
      </c>
      <c r="C21" s="547">
        <f>IF(AND(INVESTIMENTOS!$R$24="",INVESTIMENTOS!$T$24=""),"-",C19-C20)</f>
        <v>0</v>
      </c>
      <c r="D21" s="231"/>
      <c r="G21" s="543" t="s">
        <v>17</v>
      </c>
      <c r="H21" s="544"/>
      <c r="I21" s="544"/>
      <c r="J21" s="545">
        <f>IF(AND(INVESTIMENTOS!$R$24="",INVESTIMENTOS!$T$24=""),"-",SUM(J16:J19))</f>
        <v>2000.0000000000002</v>
      </c>
      <c r="W21" s="1084"/>
      <c r="X21" s="1085" t="s">
        <v>293</v>
      </c>
      <c r="Y21" s="1086"/>
      <c r="Z21" s="1084"/>
      <c r="AA21" s="1087"/>
      <c r="AB21" s="1085"/>
    </row>
    <row r="22" spans="1:37" ht="15.75" thickTop="1">
      <c r="B22" s="823" t="s">
        <v>458</v>
      </c>
      <c r="D22" s="231"/>
      <c r="W22" s="86"/>
      <c r="X22" s="86"/>
      <c r="Y22" s="782"/>
      <c r="Z22" s="86"/>
      <c r="AA22" s="86"/>
      <c r="AB22" s="86"/>
      <c r="AC22" s="86"/>
    </row>
    <row r="23" spans="1:37" ht="15.75" thickBot="1">
      <c r="D23" s="231"/>
      <c r="E23" s="231"/>
      <c r="F23" s="231"/>
      <c r="H23" s="231"/>
      <c r="W23" s="1088"/>
      <c r="X23" s="786"/>
      <c r="Y23" s="786"/>
      <c r="Z23" s="786"/>
      <c r="AA23" s="86"/>
      <c r="AB23" s="86"/>
      <c r="AC23" s="86"/>
    </row>
    <row r="24" spans="1:37" ht="15.75" thickTop="1">
      <c r="B24" s="823"/>
      <c r="D24" s="231"/>
      <c r="E24" s="1228" t="s">
        <v>469</v>
      </c>
      <c r="F24" s="1229"/>
      <c r="G24" s="1227" t="s">
        <v>470</v>
      </c>
      <c r="H24" s="1227"/>
      <c r="I24" s="1227"/>
      <c r="J24" s="1227" t="s">
        <v>471</v>
      </c>
      <c r="K24" s="1227"/>
      <c r="L24" s="1227"/>
      <c r="M24" s="1263" t="s">
        <v>255</v>
      </c>
      <c r="N24" s="1254" t="s">
        <v>484</v>
      </c>
      <c r="W24" s="1088"/>
      <c r="X24" s="786"/>
      <c r="Y24" s="786"/>
      <c r="Z24" s="786"/>
      <c r="AA24" s="86"/>
      <c r="AB24" s="86"/>
      <c r="AC24" s="86"/>
    </row>
    <row r="25" spans="1:37" ht="15.75" thickBot="1">
      <c r="B25" s="456"/>
      <c r="C25" s="548"/>
      <c r="D25" s="231"/>
      <c r="E25" s="937"/>
      <c r="F25" s="935"/>
      <c r="G25" s="936" t="s">
        <v>295</v>
      </c>
      <c r="H25" s="936" t="s">
        <v>281</v>
      </c>
      <c r="I25" s="936" t="s">
        <v>297</v>
      </c>
      <c r="J25" s="936" t="s">
        <v>295</v>
      </c>
      <c r="K25" s="936" t="s">
        <v>281</v>
      </c>
      <c r="L25" s="936" t="s">
        <v>297</v>
      </c>
      <c r="M25" s="1264"/>
      <c r="N25" s="1255"/>
      <c r="T25" s="782"/>
      <c r="W25" s="786"/>
      <c r="X25" s="548"/>
      <c r="Y25" s="548"/>
      <c r="Z25" s="782"/>
      <c r="AA25" s="782"/>
      <c r="AB25" s="782"/>
      <c r="AC25" s="86"/>
    </row>
    <row r="26" spans="1:37" ht="16.5" thickTop="1" thickBot="1">
      <c r="B26" s="549" t="s">
        <v>398</v>
      </c>
      <c r="C26" s="550"/>
      <c r="D26" s="231"/>
      <c r="E26" s="551" t="s">
        <v>12</v>
      </c>
      <c r="F26" s="552"/>
      <c r="G26" s="553">
        <f>IF(INVESTIMENTOS!R24="","-",K79)</f>
        <v>2.5348837209302326</v>
      </c>
      <c r="H26" s="553">
        <f>IF(INVESTIMENTOS!R24="","-",K84)</f>
        <v>2.5348837209302326</v>
      </c>
      <c r="I26" s="553" t="e">
        <f>IF(INVESTIMENTOS!R24="","-",K92)</f>
        <v>#VALUE!</v>
      </c>
      <c r="J26" s="553">
        <f>IF(INVESTIMENTOS!R24="","-",L79)</f>
        <v>0.24026125450180075</v>
      </c>
      <c r="K26" s="553">
        <f>IF(INVESTIMENTOS!R24="","-",L84)</f>
        <v>0.24026125450180075</v>
      </c>
      <c r="L26" s="553" t="e">
        <f>IF(INVESTIMENTOS!R24="","-",L92)</f>
        <v>#VALUE!</v>
      </c>
      <c r="M26" s="1045">
        <f>IF(AND(INVESTIMENTOS!$R$24="",INVESTIMENTOS!$T$24=""),"-",IF(INVESTIMENTOS!R24="",P350,T308))</f>
        <v>215</v>
      </c>
      <c r="N26" s="1049">
        <f>IF(AND(INVESTIMENTOS!$R$24="",INVESTIMENTOS!$T$24=""),"-",IF(INVESTIMENTOS!R24="",P401,T359))</f>
        <v>2268.3640819660968</v>
      </c>
      <c r="W26" s="786"/>
      <c r="X26" s="548"/>
      <c r="Y26" s="548"/>
      <c r="Z26" s="782"/>
      <c r="AA26" s="786"/>
      <c r="AB26" s="782"/>
      <c r="AC26" s="86"/>
    </row>
    <row r="27" spans="1:37" ht="15.75" thickTop="1">
      <c r="B27" s="554" t="s">
        <v>486</v>
      </c>
      <c r="C27" s="555">
        <f>IF(AND(INVESTIMENTOS!$R$24="",INVESTIMENTOS!$T$24=""),"-",Z57)</f>
        <v>0</v>
      </c>
      <c r="D27" s="231"/>
      <c r="E27" s="556" t="s">
        <v>13</v>
      </c>
      <c r="F27" s="537"/>
      <c r="G27" s="557">
        <f>IF(INVESTIMENTOS!R24="","-",N79)</f>
        <v>3.1764705882352939</v>
      </c>
      <c r="H27" s="557">
        <f>IF(INVESTIMENTOS!R24="","-",N87)</f>
        <v>3.1764705882352939</v>
      </c>
      <c r="I27" s="557" t="e">
        <f>IF(INVESTIMENTOS!R24="","-",N92)</f>
        <v>#VALUE!</v>
      </c>
      <c r="J27" s="557">
        <f>IF(INVESTIMENTOS!R24="","-",O79)</f>
        <v>6.5224749036272981E-4</v>
      </c>
      <c r="K27" s="557">
        <f>IF(INVESTIMENTOS!R24="","-",O87)</f>
        <v>6.5224749036272981E-4</v>
      </c>
      <c r="L27" s="557" t="e">
        <f>IF(INVESTIMENTOS!R24="","-",O92)</f>
        <v>#VALUE!</v>
      </c>
      <c r="M27" s="1046">
        <f>IF(AND(INVESTIMENTOS!$R$24="",INVESTIMENTOS!$T$24=""),"-",IF(INVESTIMENTOS!R24="",P351,T316))</f>
        <v>340</v>
      </c>
      <c r="N27" s="1050">
        <f>IF(AND(INVESTIMENTOS!$R$24="",INVESTIMENTOS!$T$24=""),"-",IF(INVESTIMENTOS!R24="",P402,T367))</f>
        <v>4870.0388045476202</v>
      </c>
      <c r="W27" s="86"/>
      <c r="X27" s="86"/>
      <c r="Y27" s="86"/>
      <c r="Z27" s="86"/>
      <c r="AA27" s="86"/>
      <c r="AB27" s="86"/>
      <c r="AC27" s="86"/>
    </row>
    <row r="28" spans="1:37" ht="15.75" thickBot="1">
      <c r="B28" s="82" t="s">
        <v>487</v>
      </c>
      <c r="C28" s="91">
        <f>IF(AND(INVESTIMENTOS!$R$24="",INVESTIMENTOS!$T$24=""),"-",Z58)</f>
        <v>0</v>
      </c>
      <c r="D28" s="231"/>
      <c r="E28" s="556" t="s">
        <v>14</v>
      </c>
      <c r="F28" s="537"/>
      <c r="G28" s="557">
        <f>IF(INVESTIMENTOS!R24="","-",Q79)</f>
        <v>0</v>
      </c>
      <c r="H28" s="557">
        <f>IF(INVESTIMENTOS!R24="","-",Q84)</f>
        <v>0</v>
      </c>
      <c r="I28" s="557" t="e">
        <f>IF(INVESTIMENTOS!R24="","-",Q92)</f>
        <v>#VALUE!</v>
      </c>
      <c r="J28" s="557">
        <f>IF(INVESTIMENTOS!R24="","-",R79)</f>
        <v>0</v>
      </c>
      <c r="K28" s="557">
        <f>IF(INVESTIMENTOS!R24="","-",R84)</f>
        <v>0</v>
      </c>
      <c r="L28" s="557" t="e">
        <f>IF(INVESTIMENTOS!R24="","-",R92)</f>
        <v>#VALUE!</v>
      </c>
      <c r="M28" s="1046">
        <f>IF(AND(INVESTIMENTOS!$R$24="",INVESTIMENTOS!$T$24=""),"-",IF(INVESTIMENTOS!R24="",P352,T324))</f>
        <v>0</v>
      </c>
      <c r="N28" s="1050">
        <f>IF(AND(INVESTIMENTOS!$R$24="",INVESTIMENTOS!$T$24=""),"-",IF(INVESTIMENTOS!R24="",P403,T375))</f>
        <v>0</v>
      </c>
      <c r="W28" s="86"/>
      <c r="X28" s="786"/>
      <c r="Y28" s="786"/>
      <c r="Z28" s="782"/>
      <c r="AA28" s="782"/>
      <c r="AB28" s="782"/>
      <c r="AC28" s="86"/>
    </row>
    <row r="29" spans="1:37" ht="16.5" thickTop="1" thickBot="1">
      <c r="B29" s="1105" t="s">
        <v>499</v>
      </c>
      <c r="C29" s="1106">
        <f>IF(AND(INVESTIMENTOS!$R$24="",INVESTIMENTOS!$T$24=""),"-",IF(N16+N18=0,0,((C16-C17)/(N16+N18))*100))</f>
        <v>0</v>
      </c>
      <c r="D29" s="231"/>
      <c r="E29" s="1230" t="s">
        <v>237</v>
      </c>
      <c r="F29" s="1231"/>
      <c r="G29" s="560">
        <f>IF(INVESTIMENTOS!R24="","-",T79)</f>
        <v>19.982394366197184</v>
      </c>
      <c r="H29" s="560">
        <f>IF(INVESTIMENTOS!R24="","-",T84)</f>
        <v>19.982394366197184</v>
      </c>
      <c r="I29" s="560" t="e">
        <f>IF(INVESTIMENTOS!R24="","-",T92)</f>
        <v>#VALUE!</v>
      </c>
      <c r="J29" s="560">
        <f>IF(INVESTIMENTOS!R24="","-",U79)</f>
        <v>0.79846815134099602</v>
      </c>
      <c r="K29" s="560">
        <f>IF(INVESTIMENTOS!R24="","-",U84)</f>
        <v>0.79846815134099602</v>
      </c>
      <c r="L29" s="560" t="e">
        <f>IF(INVESTIMENTOS!R24="","-",U92)</f>
        <v>#VALUE!</v>
      </c>
      <c r="M29" s="1047">
        <f>IF(AND(INVESTIMENTOS!$R$24="",INVESTIMENTOS!$T$24=""),"-",IF(INVESTIMENTOS!R24="",P353,T333))</f>
        <v>284</v>
      </c>
      <c r="N29" s="1051">
        <f>IF(AND(INVESTIMENTOS!$R$24="",INVESTIMENTOS!$T$24=""),"-",IF(INVESTIMENTOS!R24="",P404,T384))</f>
        <v>7107.3592484171841</v>
      </c>
      <c r="W29" s="86"/>
      <c r="X29" s="786"/>
      <c r="Y29" s="786"/>
      <c r="Z29" s="782"/>
      <c r="AA29" s="782"/>
      <c r="AB29" s="782"/>
      <c r="AC29" s="86"/>
    </row>
    <row r="30" spans="1:37" ht="16.5" thickTop="1" thickBot="1">
      <c r="B30" s="558" t="s">
        <v>395</v>
      </c>
      <c r="C30" s="559">
        <f>IF(AND(INVESTIMENTOS!$R$24="",INVESTIMENTOS!$T$24=""),"-",IF(N16+N18=0,0,((C16-C17)/(N16+N17+N18))*100))</f>
        <v>0</v>
      </c>
      <c r="D30" s="231"/>
      <c r="E30" s="1241" t="s">
        <v>446</v>
      </c>
      <c r="F30" s="1242"/>
      <c r="G30" s="797" t="str">
        <f>IF(AND(INVESTIMENTOS!$R$24="",INVESTIMENTOS!$T$24=""),"-",IF(INVESTIMENTOS!$R$24&lt;&gt;"","-",IF(OR($C$50=0,$C$50="-",$C$50=""),0,D79/$C$50)))</f>
        <v>-</v>
      </c>
      <c r="H30" s="797" t="str">
        <f>IF(AND(INVESTIMENTOS!$R$24="",INVESTIMENTOS!$T$24=""),"-",IF(INVESTIMENTOS!$R$24&lt;&gt;"","-",IF(OR($C$50=0,$C$50="-",$C$50=""),0,D84/$C$50)))</f>
        <v>-</v>
      </c>
      <c r="I30" s="797" t="str">
        <f>IF(AND(INVESTIMENTOS!$R$24="",INVESTIMENTOS!$T$24=""),"-",IF(INVESTIMENTOS!$R$24&lt;&gt;"","-",IF(OR($C$50=0,$C$50="-",$C$50=""),0,D92/$C$50)))</f>
        <v>-</v>
      </c>
      <c r="J30" s="797" t="str">
        <f>IF(AND(INVESTIMENTOS!$R$24="",INVESTIMENTOS!$T$24=""),"-",IF(INVESTIMENTOS!$R$24&lt;&gt;"","-",IF(OR($C$50=0,$C$50="-",$C$50=""),0,D79/$F$50)))</f>
        <v>-</v>
      </c>
      <c r="K30" s="797" t="str">
        <f>IF(AND(INVESTIMENTOS!$R$24="",INVESTIMENTOS!$T$24=""),"-",IF(INVESTIMENTOS!$R$24&lt;&gt;"","-",IF(OR($C$50=0,$C$50="-",$C$50=""),0,D84/$F$50)))</f>
        <v>-</v>
      </c>
      <c r="L30" s="797" t="str">
        <f>IF(AND(INVESTIMENTOS!$R$24="",INVESTIMENTOS!$T$24=""),"-",IF(INVESTIMENTOS!$R$24&lt;&gt;"","-",IF(OR($C$50=0,$C$50="-",$C$50=""),0,D92/$F$50)))</f>
        <v>-</v>
      </c>
      <c r="M30" s="1048">
        <f>IF(AND(INVESTIMENTOS!$R$24="",INVESTIMENTOS!$T$24=""),"-",SUM(M26:M29))</f>
        <v>839</v>
      </c>
      <c r="N30" s="1052">
        <f>IF(AND(INVESTIMENTOS!$R$24="",INVESTIMENTOS!$T$24=""),"-",SUM(N26:N29))</f>
        <v>14245.762134930901</v>
      </c>
      <c r="W30" s="86"/>
      <c r="X30" s="548"/>
      <c r="Y30" s="785"/>
      <c r="Z30" s="782"/>
      <c r="AA30" s="786"/>
      <c r="AB30" s="782"/>
      <c r="AC30" s="86"/>
    </row>
    <row r="31" spans="1:37" ht="12" customHeight="1" thickTop="1">
      <c r="B31" s="50" t="s">
        <v>500</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c r="B34" s="564" t="s">
        <v>238</v>
      </c>
      <c r="C34" s="565">
        <f>IF(AND(INVESTIMENTOS!$R$24="",INVESTIMENTOS!$T$24=""),"-",IF($C50=0,0,ENTRADAS!D70-((SAÍDAS!E70+SAÍDAS!E91-SAÍDAS!E90)/$C50)*$C55-($C18/12)-SAÍDAS!E98))</f>
        <v>0</v>
      </c>
      <c r="D34" s="565">
        <f>IF(AND(INVESTIMENTOS!$R$24="",INVESTIMENTOS!$T$24=""),"-",IF($C50=0,0,ENTRADAS!E70-((SAÍDAS!F70+SAÍDAS!F91-SAÍDAS!F90)/$C50)*$C55-($C18/12)-SAÍDAS!F98))</f>
        <v>0</v>
      </c>
      <c r="E34" s="565">
        <f>IF(AND(INVESTIMENTOS!$R$24="",INVESTIMENTOS!$T$24=""),"-",IF($C50=0,0,ENTRADAS!F70-((SAÍDAS!G70+SAÍDAS!G91-SAÍDAS!G90)/$C50)*$C55-($C18/12)-SAÍDAS!G98))</f>
        <v>0</v>
      </c>
      <c r="F34" s="565">
        <f>IF(AND(INVESTIMENTOS!$R$24="",INVESTIMENTOS!$T$24=""),"-",IF($C50=0,0,ENTRADAS!G70-((SAÍDAS!H70+SAÍDAS!H91-SAÍDAS!H90)/$C50)*$C55-($C18/12)-SAÍDAS!H98))</f>
        <v>0</v>
      </c>
      <c r="G34" s="565">
        <f>IF(AND(INVESTIMENTOS!$R$24="",INVESTIMENTOS!$T$24=""),"-",IF($C50=0,0,ENTRADAS!H70-((SAÍDAS!I70+SAÍDAS!I91-SAÍDAS!I90)/$C50)*$C55-($C18/12)-SAÍDAS!I98))</f>
        <v>0</v>
      </c>
      <c r="H34" s="565">
        <f>IF(AND(INVESTIMENTOS!$R$24="",INVESTIMENTOS!$T$24=""),"-",IF($C50=0,0,ENTRADAS!I70-((SAÍDAS!J70+SAÍDAS!J91-SAÍDAS!J90)/$C50)*$C55-($C18/12)-SAÍDAS!J98))</f>
        <v>0</v>
      </c>
      <c r="I34" s="565">
        <f>IF(AND(INVESTIMENTOS!$R$24="",INVESTIMENTOS!$T$24=""),"-",IF($C50=0,0,ENTRADAS!J70-((SAÍDAS!K70+SAÍDAS!K91-SAÍDAS!K90)/$C50)*$C55-($C18/12)-SAÍDAS!K98))</f>
        <v>0</v>
      </c>
      <c r="J34" s="565">
        <f>IF(AND(INVESTIMENTOS!$R$24="",INVESTIMENTOS!$T$24=""),"-",IF($C50=0,0,ENTRADAS!K70-((SAÍDAS!L70+SAÍDAS!L91-SAÍDAS!L90)/$C50)*$C55-($C18/12)-SAÍDAS!L98))</f>
        <v>0</v>
      </c>
      <c r="K34" s="565">
        <f>IF(AND(INVESTIMENTOS!$R$24="",INVESTIMENTOS!$T$24=""),"-",IF($C50=0,0,ENTRADAS!L70-((SAÍDAS!M70+SAÍDAS!M91-SAÍDAS!M90)/$C50)*$C55-($C18/12)-SAÍDAS!M98))</f>
        <v>0</v>
      </c>
      <c r="L34" s="565">
        <f>IF(AND(INVESTIMENTOS!$R$24="",INVESTIMENTOS!$T$24=""),"-",IF($C50=0,0,ENTRADAS!M70-((SAÍDAS!N70+SAÍDAS!N91-SAÍDAS!N90)/$C50)*$C55-($C18/12)-SAÍDAS!N98))</f>
        <v>0</v>
      </c>
      <c r="M34" s="565">
        <f>IF(AND(INVESTIMENTOS!$R$24="",INVESTIMENTOS!$T$24=""),"-",IF($C50=0,0,ENTRADAS!N70-((SAÍDAS!O70+SAÍDAS!O91-SAÍDAS!O90)/$C50)*$C55-($C18/12)-SAÍDAS!O98))</f>
        <v>0</v>
      </c>
      <c r="N34" s="565">
        <f>IF(AND(INVESTIMENTOS!$R$24="",INVESTIMENTOS!$T$24=""),"-",IF($C50=0,0,ENTRADAS!O70-((SAÍDAS!P70+SAÍDAS!P91-SAÍDAS!P90)/$C50)*$C55-($C18/12)-SAÍDAS!P98))</f>
        <v>0</v>
      </c>
      <c r="O34" s="822">
        <f>IF(AND(INVESTIMENTOS!$R$24="",INVESTIMENTOS!$T$24=""),"-",SUM(C34:N34))</f>
        <v>0</v>
      </c>
      <c r="P34" s="566"/>
      <c r="W34" s="86"/>
      <c r="X34" s="86"/>
      <c r="Y34" s="86"/>
      <c r="Z34" s="86"/>
      <c r="AA34" s="1089"/>
      <c r="AB34" s="86"/>
      <c r="AC34" s="86"/>
    </row>
    <row r="35" spans="2:29">
      <c r="B35" s="567" t="s">
        <v>459</v>
      </c>
      <c r="C35" s="568">
        <f>IF(AND(INVESTIMENTOS!$R$24="",INVESTIMENTOS!$T$24=""),"-",$C18/12)</f>
        <v>0</v>
      </c>
      <c r="D35" s="568">
        <f>IF(AND(INVESTIMENTOS!$R$24="",INVESTIMENTOS!$T$24=""),"-",$C18/12)</f>
        <v>0</v>
      </c>
      <c r="E35" s="568">
        <f>IF(AND(INVESTIMENTOS!$R$24="",INVESTIMENTOS!$T$24=""),"-",$C18/12)</f>
        <v>0</v>
      </c>
      <c r="F35" s="568">
        <f>IF(AND(INVESTIMENTOS!$R$24="",INVESTIMENTOS!$T$24=""),"-",$C18/12)</f>
        <v>0</v>
      </c>
      <c r="G35" s="568">
        <f>IF(AND(INVESTIMENTOS!$R$24="",INVESTIMENTOS!$T$24=""),"-",$C18/12)</f>
        <v>0</v>
      </c>
      <c r="H35" s="568">
        <f>IF(AND(INVESTIMENTOS!$R$24="",INVESTIMENTOS!$T$24=""),"-",$C18/12)</f>
        <v>0</v>
      </c>
      <c r="I35" s="568">
        <f>IF(AND(INVESTIMENTOS!$R$24="",INVESTIMENTOS!$T$24=""),"-",$C18/12)</f>
        <v>0</v>
      </c>
      <c r="J35" s="568">
        <f>IF(AND(INVESTIMENTOS!$R$24="",INVESTIMENTOS!$T$24=""),"-",$C18/12)</f>
        <v>0</v>
      </c>
      <c r="K35" s="568">
        <f>IF(AND(INVESTIMENTOS!$R$24="",INVESTIMENTOS!$T$24=""),"-",$C18/12)</f>
        <v>0</v>
      </c>
      <c r="L35" s="568">
        <f>IF(AND(INVESTIMENTOS!$R$24="",INVESTIMENTOS!$T$24=""),"-",$C18/12)</f>
        <v>0</v>
      </c>
      <c r="M35" s="568">
        <f>IF(AND(INVESTIMENTOS!$R$24="",INVESTIMENTOS!$T$24=""),"-",$C18/12)</f>
        <v>0</v>
      </c>
      <c r="N35" s="568">
        <f>IF(AND(INVESTIMENTOS!$R$24="",INVESTIMENTOS!$T$24=""),"-",$C18/12)</f>
        <v>0</v>
      </c>
      <c r="O35" s="569">
        <f>IF(AND(INVESTIMENTOS!$R$24="",INVESTIMENTOS!$T$24=""),"-",SUM(C35:N35))</f>
        <v>0</v>
      </c>
      <c r="W35" s="86"/>
      <c r="X35" s="86"/>
      <c r="Y35" s="782"/>
      <c r="Z35" s="86"/>
      <c r="AA35" s="86"/>
      <c r="AB35" s="86"/>
      <c r="AC35" s="86"/>
    </row>
    <row r="36" spans="2:29">
      <c r="B36" s="567" t="s">
        <v>390</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c r="B37" s="567" t="s">
        <v>388</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c r="B38" s="567" t="s">
        <v>381</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c r="B39" s="567" t="s">
        <v>453</v>
      </c>
      <c r="C39" s="568">
        <f>IF(AND(INVESTIMENTOS!$R$24="",INVESTIMENTOS!$T$24=""),"-",IF($C50=0,0,(SAÍDAS!E70+SAÍDAS!E91-SAÍDAS!E90)-((SAÍDAS!E70+SAÍDAS!E91-SAÍDAS!E90)/$C50)*$C55))</f>
        <v>0</v>
      </c>
      <c r="D39" s="568">
        <f>IF(AND(INVESTIMENTOS!$R$24="",INVESTIMENTOS!$T$24=""),"-",IF($C50=0,0,(SAÍDAS!F70+SAÍDAS!F91-SAÍDAS!F90)-((SAÍDAS!F70+SAÍDAS!F91-SAÍDAS!F90)/$C50)*$C55))</f>
        <v>0</v>
      </c>
      <c r="E39" s="568">
        <f>IF(AND(INVESTIMENTOS!$R$24="",INVESTIMENTOS!$T$24=""),"-",IF($C50=0,0,(SAÍDAS!G70+SAÍDAS!G91-SAÍDAS!G90)-((SAÍDAS!G70+SAÍDAS!G91-SAÍDAS!G90)/$C50)*$C55))</f>
        <v>0</v>
      </c>
      <c r="F39" s="568">
        <f>IF(AND(INVESTIMENTOS!$R$24="",INVESTIMENTOS!$T$24=""),"-",IF($C50=0,0,(SAÍDAS!H70+SAÍDAS!H91-SAÍDAS!H90)-((SAÍDAS!H70+SAÍDAS!H91-SAÍDAS!H90)/$C50)*$C55))</f>
        <v>0</v>
      </c>
      <c r="G39" s="568">
        <f>IF(AND(INVESTIMENTOS!$R$24="",INVESTIMENTOS!$T$24=""),"-",IF($C50=0,0,(SAÍDAS!I70+SAÍDAS!I91-SAÍDAS!I90)-((SAÍDAS!I70+SAÍDAS!I91-SAÍDAS!I90)/$C50)*$C55))</f>
        <v>0</v>
      </c>
      <c r="H39" s="568">
        <f>IF(AND(INVESTIMENTOS!$R$24="",INVESTIMENTOS!$T$24=""),"-",IF($C50=0,0,(SAÍDAS!J70+SAÍDAS!J91-SAÍDAS!J90)-((SAÍDAS!J70+SAÍDAS!J91-SAÍDAS!J90)/$C50)*$C55))</f>
        <v>5300</v>
      </c>
      <c r="I39" s="568">
        <f>IF(AND(INVESTIMENTOS!$R$24="",INVESTIMENTOS!$T$24=""),"-",IF($C50=0,0,(SAÍDAS!K70+SAÍDAS!K91-SAÍDAS!K90)-((SAÍDAS!K70+SAÍDAS!K91-SAÍDAS!K90)/$C50)*$C55))</f>
        <v>2000</v>
      </c>
      <c r="J39" s="568">
        <f>IF(AND(INVESTIMENTOS!$R$24="",INVESTIMENTOS!$T$24=""),"-",IF($C50=0,0,(SAÍDAS!L70+SAÍDAS!L91-SAÍDAS!L90)-((SAÍDAS!L70+SAÍDAS!L91-SAÍDAS!L90)/$C50)*$C55))</f>
        <v>0</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7300</v>
      </c>
      <c r="W39" s="786"/>
      <c r="X39" s="548"/>
      <c r="Y39" s="548"/>
      <c r="Z39" s="782"/>
      <c r="AA39" s="786"/>
      <c r="AB39" s="782"/>
      <c r="AC39" s="86"/>
    </row>
    <row r="40" spans="2:29">
      <c r="B40" s="567" t="s">
        <v>387</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0</v>
      </c>
      <c r="W40" s="86"/>
      <c r="X40" s="86"/>
      <c r="Y40" s="86"/>
      <c r="Z40" s="86"/>
      <c r="AA40" s="86"/>
      <c r="AB40" s="86"/>
      <c r="AC40" s="86"/>
    </row>
    <row r="41" spans="2:29">
      <c r="B41" s="567" t="s">
        <v>382</v>
      </c>
      <c r="C41" s="568">
        <f>IF(AND(INVESTIMENTOS!$R$24="",INVESTIMENTOS!$T$24=""),"-",C34+C35+C36+C37+C38-C39-C40)</f>
        <v>0</v>
      </c>
      <c r="D41" s="568">
        <f>IF(AND(INVESTIMENTOS!$R$24="",INVESTIMENTOS!$T$24=""),"-",D34+D35+D36+D37+D38-D39-D40)</f>
        <v>0</v>
      </c>
      <c r="E41" s="568">
        <f>IF(AND(INVESTIMENTOS!$R$24="",INVESTIMENTOS!$T$24=""),"-",E34+E35+E36+E37+E38-E39-E40)</f>
        <v>0</v>
      </c>
      <c r="F41" s="568">
        <f>IF(AND(INVESTIMENTOS!$R$24="",INVESTIMENTOS!$T$24=""),"-",F34+F35+F36+F37+F38-F39-F40)</f>
        <v>0</v>
      </c>
      <c r="G41" s="568">
        <f>IF(AND(INVESTIMENTOS!$R$24="",INVESTIMENTOS!$T$24=""),"-",G34+G35+G36+G37+G38-G39-G40)</f>
        <v>0</v>
      </c>
      <c r="H41" s="568">
        <f>IF(AND(INVESTIMENTOS!$R$24="",INVESTIMENTOS!$T$24=""),"-",H34+H35+H36+H37+H38-H39-H40)</f>
        <v>-5300</v>
      </c>
      <c r="I41" s="568">
        <f>IF(AND(INVESTIMENTOS!$R$24="",INVESTIMENTOS!$T$24=""),"-",I34+I35+I36+I37+I38-I39-I40)</f>
        <v>-2000</v>
      </c>
      <c r="J41" s="568">
        <f>IF(AND(INVESTIMENTOS!$R$24="",INVESTIMENTOS!$T$24=""),"-",J34+J35+J36+J37+J38-J39-J40)</f>
        <v>0</v>
      </c>
      <c r="K41" s="568">
        <f>IF(AND(INVESTIMENTOS!$R$24="",INVESTIMENTOS!$T$24=""),"-",K34+K35+K36+K37+K38-K39-K40)</f>
        <v>0</v>
      </c>
      <c r="L41" s="568">
        <f>IF(AND(INVESTIMENTOS!$R$24="",INVESTIMENTOS!$T$24=""),"-",L34+L35+L36+L37+L38-L39-L40)</f>
        <v>0</v>
      </c>
      <c r="M41" s="568">
        <f>IF(AND(INVESTIMENTOS!$R$24="",INVESTIMENTOS!$T$24=""),"-",M34+M35+M36+M37+M38-M39-M40)</f>
        <v>0</v>
      </c>
      <c r="N41" s="568">
        <f>IF(AND(INVESTIMENTOS!$R$24="",INVESTIMENTOS!$T$24=""),"-",N34+N35+N36+N37+N38-N39-N40)</f>
        <v>0</v>
      </c>
      <c r="O41" s="569">
        <f>IF(AND(INVESTIMENTOS!$R$24="",INVESTIMENTOS!$T$24=""),"-",SUM(C41:N41))</f>
        <v>-7300</v>
      </c>
      <c r="W41" s="86"/>
      <c r="X41" s="786"/>
      <c r="Y41" s="786"/>
      <c r="Z41" s="782"/>
      <c r="AA41" s="782"/>
      <c r="AB41" s="782"/>
      <c r="AC41" s="86"/>
    </row>
    <row r="42" spans="2:29">
      <c r="B42" s="567" t="s">
        <v>391</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c r="B43" s="571" t="s">
        <v>389</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c r="B44" s="573" t="s">
        <v>383</v>
      </c>
      <c r="C44" s="574">
        <f>IF(AND(INVESTIMENTOS!$R$24="",INVESTIMENTOS!$T$24=""),"-",C41-C42-C43)</f>
        <v>0</v>
      </c>
      <c r="D44" s="574">
        <f>IF(AND(INVESTIMENTOS!$R$24="",INVESTIMENTOS!$T$24=""),"-",D41-D42-D43+C44)</f>
        <v>0</v>
      </c>
      <c r="E44" s="574">
        <f>IF(AND(INVESTIMENTOS!$R$24="",INVESTIMENTOS!$T$24=""),"-",E41-E42-E43+D44)</f>
        <v>0</v>
      </c>
      <c r="F44" s="574">
        <f>IF(AND(INVESTIMENTOS!$R$24="",INVESTIMENTOS!$T$24=""),"-",F41-F42-F43+E44)</f>
        <v>0</v>
      </c>
      <c r="G44" s="574">
        <f>IF(AND(INVESTIMENTOS!$R$24="",INVESTIMENTOS!$T$24=""),"-",G41-G42-G43+F44)</f>
        <v>0</v>
      </c>
      <c r="H44" s="574">
        <f>IF(AND(INVESTIMENTOS!$R$24="",INVESTIMENTOS!$T$24=""),"-",H41-H42-H43+G44)</f>
        <v>-5300</v>
      </c>
      <c r="I44" s="574">
        <f>IF(AND(INVESTIMENTOS!$R$24="",INVESTIMENTOS!$T$24=""),"-",I41-I42-I43+H44)</f>
        <v>-7300</v>
      </c>
      <c r="J44" s="574">
        <f>IF(AND(INVESTIMENTOS!$R$24="",INVESTIMENTOS!$T$24=""),"-",J41-J42-J43+I44)</f>
        <v>-7300</v>
      </c>
      <c r="K44" s="574">
        <f>IF(AND(INVESTIMENTOS!$R$24="",INVESTIMENTOS!$T$24=""),"-",K41-K42-K43+J44)</f>
        <v>-7300</v>
      </c>
      <c r="L44" s="574">
        <f>IF(AND(INVESTIMENTOS!$R$24="",INVESTIMENTOS!$T$24=""),"-",L41-L42-L43+K44)</f>
        <v>-7300</v>
      </c>
      <c r="M44" s="574">
        <f>IF(AND(INVESTIMENTOS!$R$24="",INVESTIMENTOS!$T$24=""),"-",M41-M42-M43+L44)</f>
        <v>-7300</v>
      </c>
      <c r="N44" s="574">
        <f>IF(AND(INVESTIMENTOS!$R$24="",INVESTIMENTOS!$T$24=""),"-",N41-N42-N43+M44)</f>
        <v>-7300</v>
      </c>
      <c r="O44" s="575">
        <f>N44</f>
        <v>-7300</v>
      </c>
      <c r="W44" s="86"/>
      <c r="X44" s="86"/>
      <c r="Y44" s="86"/>
      <c r="Z44" s="86"/>
      <c r="AA44" s="86"/>
      <c r="AB44" s="86"/>
      <c r="AC44" s="86"/>
    </row>
    <row r="45" spans="2:29" ht="11.25" customHeight="1" thickTop="1">
      <c r="B45" s="827" t="s">
        <v>460</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c r="C46" s="576"/>
      <c r="D46" s="576"/>
      <c r="E46" s="576"/>
      <c r="F46" s="576"/>
      <c r="G46" s="576"/>
      <c r="H46" s="576"/>
      <c r="I46" s="576"/>
      <c r="J46" s="576"/>
      <c r="K46" s="576"/>
      <c r="L46" s="576"/>
      <c r="M46" s="576"/>
      <c r="N46" s="576"/>
      <c r="W46" s="86"/>
      <c r="X46" s="86"/>
      <c r="Y46" s="86"/>
      <c r="Z46" s="86"/>
      <c r="AA46" s="86"/>
      <c r="AB46" s="86"/>
      <c r="AC46" s="86"/>
    </row>
    <row r="47" spans="2:29" ht="15.75" thickBot="1">
      <c r="B47" s="228"/>
      <c r="C47" s="576"/>
      <c r="D47" s="576"/>
      <c r="E47" s="576"/>
      <c r="G47" s="576"/>
      <c r="H47" s="576"/>
      <c r="I47" s="576"/>
      <c r="J47" s="576"/>
      <c r="K47" s="576"/>
      <c r="L47" s="576"/>
      <c r="M47" s="576"/>
      <c r="N47" s="576"/>
    </row>
    <row r="48" spans="2:29" ht="16.5" thickTop="1" thickBot="1">
      <c r="B48" s="577" t="s">
        <v>401</v>
      </c>
      <c r="C48" s="576"/>
      <c r="D48" s="576"/>
      <c r="E48" s="576"/>
      <c r="F48" s="576"/>
      <c r="G48" s="576"/>
      <c r="H48" s="576"/>
      <c r="I48" s="576"/>
      <c r="J48" s="576"/>
      <c r="K48" s="576"/>
      <c r="L48" s="576"/>
      <c r="M48" s="576"/>
      <c r="N48" s="576"/>
    </row>
    <row r="49" spans="2:28" ht="11.25" customHeight="1" thickTop="1" thickBot="1">
      <c r="B49" s="228"/>
      <c r="C49" s="576"/>
      <c r="D49" s="576"/>
      <c r="E49" s="576"/>
      <c r="F49" s="576"/>
      <c r="G49" s="576"/>
      <c r="L49" s="578"/>
      <c r="M49" s="578"/>
      <c r="N49" s="578"/>
      <c r="O49" s="227"/>
      <c r="P49" s="227"/>
      <c r="X49" s="949" t="s">
        <v>465</v>
      </c>
      <c r="Y49" s="949"/>
      <c r="Z49" s="949"/>
      <c r="AA49" s="949"/>
      <c r="AB49" s="949"/>
    </row>
    <row r="50" spans="2:28" ht="16.5" thickTop="1" thickBot="1">
      <c r="B50" s="549" t="s">
        <v>264</v>
      </c>
      <c r="C50" s="1097">
        <f>M30</f>
        <v>839</v>
      </c>
      <c r="D50" s="840">
        <f>C50</f>
        <v>839</v>
      </c>
      <c r="E50" s="840" t="s">
        <v>498</v>
      </c>
      <c r="F50" s="1098">
        <f>N30</f>
        <v>14245.762134930901</v>
      </c>
      <c r="G50" s="1237" t="s">
        <v>485</v>
      </c>
      <c r="H50" s="1238"/>
      <c r="J50" s="1248" t="s">
        <v>294</v>
      </c>
      <c r="K50" s="1249"/>
      <c r="L50" s="1250"/>
      <c r="M50" s="1251" t="s">
        <v>13</v>
      </c>
      <c r="N50" s="1249"/>
      <c r="O50" s="1250"/>
      <c r="P50" s="1251" t="s">
        <v>14</v>
      </c>
      <c r="Q50" s="1249"/>
      <c r="R50" s="1250"/>
      <c r="S50" s="1258" t="s">
        <v>237</v>
      </c>
      <c r="T50" s="1259"/>
      <c r="U50" s="1260"/>
      <c r="X50" s="949" t="s">
        <v>492</v>
      </c>
      <c r="Y50" s="1091">
        <f>G71*C56</f>
        <v>0</v>
      </c>
      <c r="Z50" s="949"/>
      <c r="AA50" s="949"/>
      <c r="AB50" s="949"/>
    </row>
    <row r="51" spans="2:28" ht="35.25" customHeight="1" thickTop="1">
      <c r="B51" s="1082"/>
      <c r="C51" s="1092"/>
      <c r="D51" s="579" t="s">
        <v>41</v>
      </c>
      <c r="E51" s="917" t="s">
        <v>265</v>
      </c>
      <c r="F51" s="581" t="s">
        <v>463</v>
      </c>
      <c r="G51" s="579" t="s">
        <v>464</v>
      </c>
      <c r="H51" s="580" t="s">
        <v>266</v>
      </c>
      <c r="J51" s="1059" t="s">
        <v>41</v>
      </c>
      <c r="K51" s="579" t="s">
        <v>298</v>
      </c>
      <c r="L51" s="917" t="s">
        <v>465</v>
      </c>
      <c r="M51" s="917" t="s">
        <v>41</v>
      </c>
      <c r="N51" s="579" t="s">
        <v>298</v>
      </c>
      <c r="O51" s="917" t="s">
        <v>465</v>
      </c>
      <c r="P51" s="917" t="s">
        <v>41</v>
      </c>
      <c r="Q51" s="579" t="s">
        <v>298</v>
      </c>
      <c r="R51" s="917" t="s">
        <v>465</v>
      </c>
      <c r="S51" s="917" t="s">
        <v>41</v>
      </c>
      <c r="T51" s="917" t="s">
        <v>298</v>
      </c>
      <c r="U51" s="582" t="s">
        <v>465</v>
      </c>
      <c r="V51" s="1062"/>
      <c r="X51" s="949" t="s">
        <v>493</v>
      </c>
      <c r="Y51" s="1091">
        <f>(G59+G77)*C56</f>
        <v>0</v>
      </c>
      <c r="Z51" s="949"/>
      <c r="AA51" s="949" t="s">
        <v>409</v>
      </c>
      <c r="AB51" s="949">
        <f>IF(Y54=0,0,Y51/Y54)</f>
        <v>0</v>
      </c>
    </row>
    <row r="52" spans="2:28">
      <c r="B52" s="1093" t="s">
        <v>267</v>
      </c>
      <c r="C52" s="1095">
        <f>SUM(P189:P193)</f>
        <v>0</v>
      </c>
      <c r="D52" s="584">
        <f>ENTRADAS!P28</f>
        <v>0</v>
      </c>
      <c r="E52" s="918">
        <f>IF(D52=0,0,(D52/$D$55)*100)</f>
        <v>0</v>
      </c>
      <c r="F52" s="590">
        <f>IF(OR(C$50=0,C$50="",C$50="-"),0,D52/C$50)</f>
        <v>0</v>
      </c>
      <c r="G52" s="584">
        <f>IF(OR(F$50=0,F$50="",F$50="-"),0,D52/F$50)</f>
        <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494</v>
      </c>
      <c r="Y52" s="1083">
        <f>G83*C56</f>
        <v>0</v>
      </c>
      <c r="Z52" s="949"/>
      <c r="AA52" s="949" t="s">
        <v>410</v>
      </c>
      <c r="AB52" s="949">
        <f>1-AB51</f>
        <v>1</v>
      </c>
    </row>
    <row r="53" spans="2:28">
      <c r="B53" s="1093" t="s">
        <v>268</v>
      </c>
      <c r="C53" s="1095">
        <f>SUM(P197:P199)</f>
        <v>0</v>
      </c>
      <c r="D53" s="584">
        <f>ENTRADAS!P43</f>
        <v>0</v>
      </c>
      <c r="E53" s="918">
        <f>IF(D53=0,0,(D53/$D$55)*100)</f>
        <v>0</v>
      </c>
      <c r="F53" s="590">
        <f>IF(OR(C$50=0,C$50="",C$50="-"),0,D53/C$50)</f>
        <v>0</v>
      </c>
      <c r="G53" s="584">
        <f>IF(OR(F$50=0,F$50="",F$50="-"),0,D53/F$50)</f>
        <v>0</v>
      </c>
      <c r="H53" s="585">
        <f>IF(D53=0,0,D53/$C$10)</f>
        <v>0</v>
      </c>
      <c r="J53" s="1060" t="s">
        <v>107</v>
      </c>
      <c r="K53" s="583" t="s">
        <v>107</v>
      </c>
      <c r="L53" s="918" t="s">
        <v>107</v>
      </c>
      <c r="M53" s="918" t="s">
        <v>107</v>
      </c>
      <c r="N53" s="583" t="s">
        <v>107</v>
      </c>
      <c r="O53" s="918" t="s">
        <v>107</v>
      </c>
      <c r="P53" s="918">
        <f>P238</f>
        <v>0</v>
      </c>
      <c r="Q53" s="583">
        <f>P197</f>
        <v>0</v>
      </c>
      <c r="R53" s="918">
        <f>P217</f>
        <v>0</v>
      </c>
      <c r="S53" s="918">
        <f>P239+P240</f>
        <v>0</v>
      </c>
      <c r="T53" s="929">
        <f>P198+P199</f>
        <v>0</v>
      </c>
      <c r="U53" s="585">
        <f>P218+P219</f>
        <v>0</v>
      </c>
      <c r="X53" s="949"/>
      <c r="Y53" s="949"/>
      <c r="Z53" s="949"/>
      <c r="AA53" s="949"/>
      <c r="AB53" s="949"/>
    </row>
    <row r="54" spans="2:28">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495</v>
      </c>
      <c r="Y54" s="1083">
        <f>G55*C56</f>
        <v>0</v>
      </c>
      <c r="Z54" s="949"/>
      <c r="AA54" s="949"/>
      <c r="AB54" s="949"/>
    </row>
    <row r="55" spans="2:28" ht="15.75" thickBot="1">
      <c r="B55" s="1094" t="s">
        <v>134</v>
      </c>
      <c r="C55" s="1096">
        <f>SUM(C52:C54)</f>
        <v>0</v>
      </c>
      <c r="D55" s="592">
        <f>SUM(D52:D54)</f>
        <v>0</v>
      </c>
      <c r="E55" s="919" t="s">
        <v>107</v>
      </c>
      <c r="F55" s="594">
        <f>IF(OR(C$50=0,C$50="",C$50="-"),0,D55/C$50)</f>
        <v>0</v>
      </c>
      <c r="G55" s="592">
        <f>IF(OR(F$50=0,F$50="",F$50="-"),0,D55/F$50)</f>
        <v>0</v>
      </c>
      <c r="H55" s="593">
        <f>IF(D55=0,0,D55/$C$10)</f>
        <v>0</v>
      </c>
      <c r="J55" s="1061">
        <f t="shared" ref="J55" si="0">SUM(J52:J54)</f>
        <v>0</v>
      </c>
      <c r="K55" s="591">
        <f t="shared" ref="K55:U55" si="1">SUM(K52:K54)</f>
        <v>0</v>
      </c>
      <c r="L55" s="919">
        <f t="shared" si="1"/>
        <v>0</v>
      </c>
      <c r="M55" s="919">
        <f t="shared" si="1"/>
        <v>0</v>
      </c>
      <c r="N55" s="591">
        <f t="shared" si="1"/>
        <v>0</v>
      </c>
      <c r="O55" s="919">
        <f t="shared" si="1"/>
        <v>0</v>
      </c>
      <c r="P55" s="919">
        <f t="shared" si="1"/>
        <v>0</v>
      </c>
      <c r="Q55" s="591">
        <f t="shared" si="1"/>
        <v>0</v>
      </c>
      <c r="R55" s="919">
        <f t="shared" si="1"/>
        <v>0</v>
      </c>
      <c r="S55" s="919">
        <f t="shared" si="1"/>
        <v>0</v>
      </c>
      <c r="T55" s="930">
        <f t="shared" si="1"/>
        <v>0</v>
      </c>
      <c r="U55" s="593">
        <f t="shared" si="1"/>
        <v>0</v>
      </c>
      <c r="X55" s="949"/>
      <c r="Y55" s="949"/>
      <c r="Z55" s="949"/>
      <c r="AA55" s="949"/>
      <c r="AB55" s="949"/>
    </row>
    <row r="56" spans="2:28" ht="16.5" thickTop="1" thickBot="1">
      <c r="B56" s="228"/>
      <c r="C56" s="647">
        <f>SUM(L55,O55,R55,U55)</f>
        <v>0</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c r="B57" s="933" t="s">
        <v>269</v>
      </c>
      <c r="C57" s="926"/>
      <c r="D57" s="927"/>
      <c r="E57" s="927"/>
      <c r="F57" s="927"/>
      <c r="G57" s="927"/>
      <c r="H57" s="931"/>
      <c r="I57" s="576"/>
      <c r="J57" s="1248" t="s">
        <v>294</v>
      </c>
      <c r="K57" s="1249"/>
      <c r="L57" s="1250"/>
      <c r="M57" s="1251" t="s">
        <v>13</v>
      </c>
      <c r="N57" s="1249"/>
      <c r="O57" s="1250"/>
      <c r="P57" s="1251" t="s">
        <v>14</v>
      </c>
      <c r="Q57" s="1249"/>
      <c r="R57" s="1250"/>
      <c r="S57" s="1258" t="s">
        <v>237</v>
      </c>
      <c r="T57" s="1259"/>
      <c r="U57" s="1260"/>
      <c r="X57" s="949" t="s">
        <v>496</v>
      </c>
      <c r="Y57" s="949"/>
      <c r="Z57" s="1091">
        <f>Y50/AB52</f>
        <v>0</v>
      </c>
      <c r="AA57" s="949"/>
      <c r="AB57" s="949"/>
    </row>
    <row r="58" spans="2:28" ht="15.75" thickTop="1">
      <c r="B58" s="932" t="s">
        <v>270</v>
      </c>
      <c r="C58" s="595"/>
      <c r="D58" s="579" t="s">
        <v>41</v>
      </c>
      <c r="E58" s="917" t="s">
        <v>265</v>
      </c>
      <c r="F58" s="581" t="s">
        <v>463</v>
      </c>
      <c r="G58" s="579" t="s">
        <v>464</v>
      </c>
      <c r="H58" s="582" t="s">
        <v>271</v>
      </c>
      <c r="I58" s="576"/>
      <c r="J58" s="581" t="s">
        <v>41</v>
      </c>
      <c r="K58" s="579" t="s">
        <v>296</v>
      </c>
      <c r="L58" s="579" t="s">
        <v>466</v>
      </c>
      <c r="M58" s="579" t="s">
        <v>41</v>
      </c>
      <c r="N58" s="579" t="s">
        <v>296</v>
      </c>
      <c r="O58" s="579" t="s">
        <v>466</v>
      </c>
      <c r="P58" s="579" t="s">
        <v>41</v>
      </c>
      <c r="Q58" s="579" t="s">
        <v>296</v>
      </c>
      <c r="R58" s="579" t="s">
        <v>466</v>
      </c>
      <c r="S58" s="579" t="s">
        <v>41</v>
      </c>
      <c r="T58" s="917" t="s">
        <v>296</v>
      </c>
      <c r="U58" s="582" t="s">
        <v>466</v>
      </c>
      <c r="X58" s="949" t="s">
        <v>497</v>
      </c>
      <c r="Y58" s="949"/>
      <c r="Z58" s="1091">
        <f>(Y50+Y52)/AB52</f>
        <v>0</v>
      </c>
      <c r="AA58" s="949"/>
      <c r="AB58" s="949"/>
    </row>
    <row r="59" spans="2:28">
      <c r="B59" s="596" t="s">
        <v>272</v>
      </c>
      <c r="C59" s="597"/>
      <c r="D59" s="598">
        <f>SUM(D60:D69)</f>
        <v>7300</v>
      </c>
      <c r="E59" s="920">
        <f t="shared" ref="E59:E69" si="2">IF(D$79=0,0,(D59/$D$79)*100)</f>
        <v>100</v>
      </c>
      <c r="F59" s="600">
        <f>IF(OR(C$50=0,C$50="",C$50="-"),0,D59/C$50)</f>
        <v>8.7008343265792618</v>
      </c>
      <c r="G59" s="598">
        <f>IF(OR(F$50=0,F$50="",F$50="-"),0,D59/F$50)</f>
        <v>0.51243309630309286</v>
      </c>
      <c r="H59" s="599">
        <f t="shared" ref="H59:H69" si="3">IF(D59=0,0,D59/$C$10)</f>
        <v>20.110192837465565</v>
      </c>
      <c r="I59" s="576"/>
      <c r="J59" s="600">
        <f>SUM(J60:J69)</f>
        <v>545</v>
      </c>
      <c r="K59" s="598">
        <f>IF(J59=0,0,J59/M$26)</f>
        <v>2.5348837209302326</v>
      </c>
      <c r="L59" s="598">
        <f>IF($J59=0,0,$J59/N$26)</f>
        <v>0.24026125450180075</v>
      </c>
      <c r="M59" s="598">
        <f>SUM(M60:M69)</f>
        <v>1080</v>
      </c>
      <c r="N59" s="598">
        <f>IF(M59=0,0,M59/M$27)</f>
        <v>3.1764705882352939</v>
      </c>
      <c r="O59" s="598">
        <f>IF(M59=0,0,N59/N$27)</f>
        <v>6.5224749036272981E-4</v>
      </c>
      <c r="P59" s="598">
        <f>SUM(P60:P69)</f>
        <v>0</v>
      </c>
      <c r="Q59" s="598">
        <f>IF($P59=0,0,$P59/M$28)</f>
        <v>0</v>
      </c>
      <c r="R59" s="598">
        <f>IF($P59=0,0,$P59/N$28)</f>
        <v>0</v>
      </c>
      <c r="S59" s="598">
        <f>SUM(S60:S69)</f>
        <v>5675</v>
      </c>
      <c r="T59" s="920">
        <f>IF($S59=0,0,$S59/M$29)</f>
        <v>19.982394366197184</v>
      </c>
      <c r="U59" s="599">
        <f>IF($S59=0,0,$S59/N$29)</f>
        <v>0.79846815134099602</v>
      </c>
    </row>
    <row r="60" spans="2:28">
      <c r="B60" s="601" t="s">
        <v>53</v>
      </c>
      <c r="C60" s="602"/>
      <c r="D60" s="584">
        <f>SUMIFS(SAÍDAS!$R$31:$R$69,SAÍDAS!$C$31:$C$69,'RESULTADOS FINANCEIROS'!B60)</f>
        <v>7000</v>
      </c>
      <c r="E60" s="918">
        <f t="shared" si="2"/>
        <v>95.890410958904098</v>
      </c>
      <c r="F60" s="590">
        <f>IF(OR(C$50=0,C$50="",C$50="-"),0,D60/C$50)</f>
        <v>8.34326579261025</v>
      </c>
      <c r="G60" s="584">
        <f>IF(OR(F$50=0,F$50="",F$50="-"),0,D60/F$50)</f>
        <v>0.49137420193447262</v>
      </c>
      <c r="H60" s="585">
        <f t="shared" si="3"/>
        <v>19.28374655647383</v>
      </c>
      <c r="I60" s="576"/>
      <c r="J60" s="590">
        <f>IF(SAÍDAS!$X$29="",0,SUMIFS(SAÍDAS!$V$31:$V$69,SAÍDAS!$C$31:$C$69,'RESULTADOS FINANCEIROS'!B60))</f>
        <v>500</v>
      </c>
      <c r="K60" s="584">
        <f>IF(J60=0,0,J60/M$26)</f>
        <v>2.3255813953488373</v>
      </c>
      <c r="L60" s="584">
        <f t="shared" ref="L60:L92" si="4">IF($J60=0,0,$J60/N$26)</f>
        <v>0.22042316926770711</v>
      </c>
      <c r="M60" s="584">
        <f>IF(SAÍDAS!$X$29="",0,SUMIFS(SAÍDAS!$X$31:$X$69,SAÍDAS!$C$31:$C$69,'RESULTADOS FINANCEIROS'!B60))</f>
        <v>1000</v>
      </c>
      <c r="N60" s="584">
        <f>IF(M60=0,0,M60/M$27)</f>
        <v>2.9411764705882355</v>
      </c>
      <c r="O60" s="584">
        <f t="shared" ref="O60:O100" si="5">IF(M60=0,0,N60/N$27)</f>
        <v>6.0393286144697208E-4</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5500</v>
      </c>
      <c r="T60" s="918">
        <f t="shared" ref="T60:T69" si="8">IF(S60=0,0,S60/$M$29)</f>
        <v>19.366197183098592</v>
      </c>
      <c r="U60" s="585">
        <f t="shared" ref="U60:U100" si="9">IF($S60=0,0,$S60/N$29)</f>
        <v>0.77384578544061289</v>
      </c>
    </row>
    <row r="61" spans="2:28">
      <c r="B61" s="601" t="s">
        <v>79</v>
      </c>
      <c r="C61" s="602"/>
      <c r="D61" s="584">
        <f>SUMIFS(SAÍDAS!$R$31:$R$69,SAÍDAS!$C$31:$C$69,'RESULTADOS FINANCEIROS'!B61)</f>
        <v>300</v>
      </c>
      <c r="E61" s="918">
        <f t="shared" si="2"/>
        <v>4.10958904109589</v>
      </c>
      <c r="F61" s="590">
        <f t="shared" ref="F61:F69" si="10">IF(OR(C$50=0,C$50="",C$50="-"),0,D61/C$50)</f>
        <v>0.35756853396901073</v>
      </c>
      <c r="G61" s="584">
        <f t="shared" ref="G61:G69" si="11">IF(OR(F$50=0,F$50="",F$50="-"),0,D61/F$50)</f>
        <v>2.1058894368620254E-2</v>
      </c>
      <c r="H61" s="585">
        <f t="shared" si="3"/>
        <v>0.82644628099173556</v>
      </c>
      <c r="I61" s="576"/>
      <c r="J61" s="590">
        <f>IF(SAÍDAS!$X$29="",0,SUMIFS(SAÍDAS!$V$31:$V$69,SAÍDAS!$C$31:$C$69,'RESULTADOS FINANCEIROS'!B61))</f>
        <v>45</v>
      </c>
      <c r="K61" s="584">
        <f t="shared" ref="K61:K69" si="12">IF(J61=0,0,J61/$M$26)</f>
        <v>0.20930232558139536</v>
      </c>
      <c r="L61" s="584">
        <f t="shared" si="4"/>
        <v>1.9838085234093639E-2</v>
      </c>
      <c r="M61" s="584">
        <f>IF(SAÍDAS!$X$29="",0,SUMIFS(SAÍDAS!$X$31:$X$69,SAÍDAS!$C$31:$C$69,'RESULTADOS FINANCEIROS'!B61))</f>
        <v>80</v>
      </c>
      <c r="N61" s="584">
        <f t="shared" ref="N61:N69" si="13">IF(M61=0,0,M61/$M$27)</f>
        <v>0.23529411764705882</v>
      </c>
      <c r="O61" s="584">
        <f t="shared" si="5"/>
        <v>4.8314628915757761E-5</v>
      </c>
      <c r="P61" s="584">
        <f>IF(SAÍDAS!$X$29="",0,SUMIFS(SAÍDAS!$Z$31:$Z$69,SAÍDAS!$C$31:$C$69,'RESULTADOS FINANCEIROS'!B61))</f>
        <v>0</v>
      </c>
      <c r="Q61" s="584">
        <f t="shared" si="6"/>
        <v>0</v>
      </c>
      <c r="R61" s="584">
        <f t="shared" si="7"/>
        <v>0</v>
      </c>
      <c r="S61" s="584">
        <f>IF(SAÍDAS!$X$29="",0,SUMIFS(SAÍDAS!$T$31:$T$69,SAÍDAS!$C$31:$C$69,'RESULTADOS FINANCEIROS'!B61))</f>
        <v>175</v>
      </c>
      <c r="T61" s="918">
        <f t="shared" si="8"/>
        <v>0.61619718309859151</v>
      </c>
      <c r="U61" s="585">
        <f t="shared" si="9"/>
        <v>2.4622365900383136E-2</v>
      </c>
    </row>
    <row r="62" spans="2:28">
      <c r="B62" s="601" t="s">
        <v>65</v>
      </c>
      <c r="C62" s="602"/>
      <c r="D62" s="584">
        <f>SUMIFS(SAÍDAS!$R$31:$R$69,SAÍDAS!$C$31:$C$69,'RESULTADOS FINANCEIROS'!B62)</f>
        <v>0</v>
      </c>
      <c r="E62" s="918">
        <f t="shared" si="2"/>
        <v>0</v>
      </c>
      <c r="F62" s="590">
        <f t="shared" si="10"/>
        <v>0</v>
      </c>
      <c r="G62" s="584">
        <f t="shared" si="11"/>
        <v>0</v>
      </c>
      <c r="H62" s="585">
        <f t="shared" si="3"/>
        <v>0</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c r="B63" s="601" t="s">
        <v>77</v>
      </c>
      <c r="C63" s="602"/>
      <c r="D63" s="584">
        <f>SUMIFS(SAÍDAS!$R$31:$R$69,SAÍDAS!$C$31:$C$69,'RESULTADOS FINANCEIROS'!B63)</f>
        <v>0</v>
      </c>
      <c r="E63" s="918">
        <f t="shared" si="2"/>
        <v>0</v>
      </c>
      <c r="F63" s="590">
        <f t="shared" si="10"/>
        <v>0</v>
      </c>
      <c r="G63" s="584">
        <f t="shared" si="11"/>
        <v>0</v>
      </c>
      <c r="H63" s="585">
        <f t="shared" si="3"/>
        <v>0</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c r="B64" s="601" t="s">
        <v>46</v>
      </c>
      <c r="C64" s="602"/>
      <c r="D64" s="584">
        <f>SUMIFS(SAÍDAS!$R$31:$R$69,SAÍDAS!$C$31:$C$69,'RESULTADOS FINANCEIROS'!B64)</f>
        <v>0</v>
      </c>
      <c r="E64" s="918">
        <f t="shared" si="2"/>
        <v>0</v>
      </c>
      <c r="F64" s="590">
        <f t="shared" si="10"/>
        <v>0</v>
      </c>
      <c r="G64" s="584">
        <f t="shared" si="11"/>
        <v>0</v>
      </c>
      <c r="H64" s="585">
        <f t="shared" si="3"/>
        <v>0</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c r="B66" s="601" t="s">
        <v>73</v>
      </c>
      <c r="C66" s="602"/>
      <c r="D66" s="584">
        <f>SUMIFS(SAÍDAS!$R$31:$R$69,SAÍDAS!$C$31:$C$69,'RESULTADOS FINANCEIROS'!B66)</f>
        <v>0</v>
      </c>
      <c r="E66" s="918">
        <f t="shared" si="2"/>
        <v>0</v>
      </c>
      <c r="F66" s="590">
        <f t="shared" si="10"/>
        <v>0</v>
      </c>
      <c r="G66" s="584">
        <f t="shared" si="11"/>
        <v>0</v>
      </c>
      <c r="H66" s="585">
        <f t="shared" si="3"/>
        <v>0</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c r="B67" s="601" t="s">
        <v>51</v>
      </c>
      <c r="C67" s="602"/>
      <c r="D67" s="584">
        <f>SUMIFS(SAÍDAS!$R$31:$R$69,SAÍDAS!$C$31:$C$69,'RESULTADOS FINANCEIROS'!B67)</f>
        <v>0</v>
      </c>
      <c r="E67" s="918">
        <f t="shared" si="2"/>
        <v>0</v>
      </c>
      <c r="F67" s="590">
        <f t="shared" si="10"/>
        <v>0</v>
      </c>
      <c r="G67" s="584">
        <f t="shared" si="11"/>
        <v>0</v>
      </c>
      <c r="H67" s="585">
        <f t="shared" si="3"/>
        <v>0</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c r="B68" s="601" t="s">
        <v>85</v>
      </c>
      <c r="C68" s="602"/>
      <c r="D68" s="584">
        <f>SUMIFS(SAÍDAS!$R$31:$R$69,SAÍDAS!$C$31:$C$69,'RESULTADOS FINANCEIROS'!B68)</f>
        <v>0</v>
      </c>
      <c r="E68" s="918">
        <f t="shared" si="2"/>
        <v>0</v>
      </c>
      <c r="F68" s="590">
        <f t="shared" si="10"/>
        <v>0</v>
      </c>
      <c r="G68" s="584">
        <f t="shared" si="11"/>
        <v>0</v>
      </c>
      <c r="H68" s="585">
        <f t="shared" si="3"/>
        <v>0</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c r="B69" s="601" t="s">
        <v>88</v>
      </c>
      <c r="C69" s="602"/>
      <c r="D69" s="584">
        <f>SUMIFS(SAÍDAS!$R$31:$R$69,SAÍDAS!$C$31:$C$69,'RESULTADOS FINANCEIROS'!B69)</f>
        <v>0</v>
      </c>
      <c r="E69" s="918">
        <f t="shared" si="2"/>
        <v>0</v>
      </c>
      <c r="F69" s="590">
        <f t="shared" si="10"/>
        <v>0</v>
      </c>
      <c r="G69" s="584">
        <f t="shared" si="11"/>
        <v>0</v>
      </c>
      <c r="H69" s="585">
        <f t="shared" si="3"/>
        <v>0</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c r="B71" s="596" t="s">
        <v>273</v>
      </c>
      <c r="C71" s="597"/>
      <c r="D71" s="598">
        <f>SUM(D72:D75)</f>
        <v>0</v>
      </c>
      <c r="E71" s="920">
        <f>IF(D$79=0,0,(D71/$D$79)*100)</f>
        <v>0</v>
      </c>
      <c r="F71" s="600">
        <f>IF(OR(C$50=0,C$50="",C$50="-"),0,D71/C$50)</f>
        <v>0</v>
      </c>
      <c r="G71" s="598">
        <f>IF(OR(F$50=0,F$50="",F$50="-"),0,D71/F$50)</f>
        <v>0</v>
      </c>
      <c r="H71" s="599">
        <f>IF(D71=0,0,D71/$C$10)</f>
        <v>0</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c r="B72" s="601" t="s">
        <v>85</v>
      </c>
      <c r="C72" s="602"/>
      <c r="D72" s="584">
        <f>SUMIFS(SAÍDAS!$R$73:$R$90,SAÍDAS!$C$73:$C$90,'RESULTADOS FINANCEIROS'!B72)</f>
        <v>0</v>
      </c>
      <c r="E72" s="918">
        <f>IF(D$79=0,0,(D72/$D$79)*100)</f>
        <v>0</v>
      </c>
      <c r="F72" s="590">
        <f>IF(OR(C$50=0,C$50="",C$50="-"),0,D72/C$50)</f>
        <v>0</v>
      </c>
      <c r="G72" s="584">
        <f>IF(OR(F$50=0,F$50="",F$50="-"),0,D72/F$50)</f>
        <v>0</v>
      </c>
      <c r="H72" s="585">
        <f>IF(D72=0,0,D72/$C$10)</f>
        <v>0</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c r="B74" s="601" t="s">
        <v>46</v>
      </c>
      <c r="C74" s="602"/>
      <c r="D74" s="584">
        <f>SUMIFS(SAÍDAS!$R$73:$R$90,SAÍDAS!$C$73:$C$90,'RESULTADOS FINANCEIROS'!B74)</f>
        <v>0</v>
      </c>
      <c r="E74" s="918">
        <f>IF(D$79=0,0,(D74/$D$79)*100)</f>
        <v>0</v>
      </c>
      <c r="F74" s="590">
        <f t="shared" si="14"/>
        <v>0</v>
      </c>
      <c r="G74" s="584">
        <f t="shared" si="15"/>
        <v>0</v>
      </c>
      <c r="H74" s="585">
        <f>IF(D74=0,0,D74/$C$10)</f>
        <v>0</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c r="B75" s="601" t="s">
        <v>88</v>
      </c>
      <c r="C75" s="602"/>
      <c r="D75" s="584">
        <f>SUMIFS(SAÍDAS!$R$73:$R$90,SAÍDAS!$C$73:$C$90,'RESULTADOS FINANCEIROS'!B75)</f>
        <v>0</v>
      </c>
      <c r="E75" s="918">
        <f>IF(D$79=0,0,(D75/$D$79)*100)</f>
        <v>0</v>
      </c>
      <c r="F75" s="590">
        <f t="shared" si="14"/>
        <v>0</v>
      </c>
      <c r="G75" s="584">
        <f>IF(OR(F$50=0,F$50="",F$50="-"),0,D75/F$50)</f>
        <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c r="B77" s="1246" t="s">
        <v>274</v>
      </c>
      <c r="C77" s="1247"/>
      <c r="D77" s="584">
        <f>SUM(SAÍDAS!E27:P27)-SUM(SAÍDAS!E26:P26)+IF(SAÍDAS!C7=0,SAÍDAS!C9,0)+IF(SAÍDAS!C11=0,SAÍDAS!C13,0)+IF(SAÍDAS!C15=0,SAÍDAS!C17,0)+IF(SAÍDAS!C19=0,SAÍDAS!C21,0)</f>
        <v>0</v>
      </c>
      <c r="E77" s="918">
        <f>IF(D$79=0,0,(D77/$D$79)*100)</f>
        <v>0</v>
      </c>
      <c r="F77" s="590">
        <f>IF(OR(C$50=0,C$50="",C$50="-"),0,D77/C$50)</f>
        <v>0</v>
      </c>
      <c r="G77" s="584">
        <f>IF(OR(F$50=0,F$50="",F$50="-"),0,D77/F$50)</f>
        <v>0</v>
      </c>
      <c r="H77" s="585">
        <f>IF(D77=0,0,D77/$C$10)</f>
        <v>0</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c r="B78" s="601" t="s">
        <v>275</v>
      </c>
      <c r="C78" s="602"/>
      <c r="D78" s="584">
        <f>SUM(D59,D77)</f>
        <v>7300</v>
      </c>
      <c r="E78" s="918">
        <f>IF(D$79=0,0,(D78/$D$79)*100)</f>
        <v>100</v>
      </c>
      <c r="F78" s="590">
        <f>IF(OR(C$50=0,C$50="",C$50="-"),0,D78/C$50)</f>
        <v>8.7008343265792618</v>
      </c>
      <c r="G78" s="584">
        <f>IF(OR(F$50=0,F$50="",F$50="-"),0,D78/F$50)</f>
        <v>0.51243309630309286</v>
      </c>
      <c r="H78" s="585">
        <f>IF(D78=0,0,D78/$C$10)</f>
        <v>20.110192837465565</v>
      </c>
      <c r="I78" s="576"/>
      <c r="J78" s="590">
        <f>SUM(J59,J77)</f>
        <v>545</v>
      </c>
      <c r="K78" s="584">
        <f>IF(J78=0,0,J78/$M$26)</f>
        <v>2.5348837209302326</v>
      </c>
      <c r="L78" s="584">
        <f t="shared" si="4"/>
        <v>0.24026125450180075</v>
      </c>
      <c r="M78" s="584">
        <f>SUM(M59,M77)</f>
        <v>1080</v>
      </c>
      <c r="N78" s="584">
        <f>IF(M78=0,0,M78/$M$27)</f>
        <v>3.1764705882352939</v>
      </c>
      <c r="O78" s="584">
        <f t="shared" si="5"/>
        <v>6.5224749036272981E-4</v>
      </c>
      <c r="P78" s="584">
        <f>SUM(P59,P77)</f>
        <v>0</v>
      </c>
      <c r="Q78" s="584">
        <f>IF(P78=0,0,P78/$M$28)</f>
        <v>0</v>
      </c>
      <c r="R78" s="584">
        <f t="shared" si="7"/>
        <v>0</v>
      </c>
      <c r="S78" s="584">
        <f>SUM(S59,S77)</f>
        <v>5675</v>
      </c>
      <c r="T78" s="918">
        <f>IF(S78=0,0,S78/$M$29)</f>
        <v>19.982394366197184</v>
      </c>
      <c r="U78" s="585">
        <f t="shared" si="9"/>
        <v>0.79846815134099602</v>
      </c>
    </row>
    <row r="79" spans="2:21">
      <c r="B79" s="610" t="s">
        <v>276</v>
      </c>
      <c r="C79" s="611"/>
      <c r="D79" s="612">
        <f>SUM(D78,D71)</f>
        <v>7300</v>
      </c>
      <c r="E79" s="921" t="s">
        <v>107</v>
      </c>
      <c r="F79" s="615">
        <f>IF(OR(C$50=0,C$50="",C$50="-"),0,D79/C$50)</f>
        <v>8.7008343265792618</v>
      </c>
      <c r="G79" s="598">
        <f>IF(OR(F$50=0,F$50="",F$50="-"),0,D79/F$50)</f>
        <v>0.51243309630309286</v>
      </c>
      <c r="H79" s="613">
        <f>IF(D79=0,0,D79/$C$10)</f>
        <v>20.110192837465565</v>
      </c>
      <c r="I79" s="614"/>
      <c r="J79" s="615">
        <f>SUM(J78,J71)</f>
        <v>545</v>
      </c>
      <c r="K79" s="612">
        <f>IF(J79=0,0,J79/M$26)</f>
        <v>2.5348837209302326</v>
      </c>
      <c r="L79" s="612">
        <f t="shared" si="4"/>
        <v>0.24026125450180075</v>
      </c>
      <c r="M79" s="612">
        <f>SUM(M78,M71)</f>
        <v>1080</v>
      </c>
      <c r="N79" s="612">
        <f>IF(M79=0,0,M79/$M$27)</f>
        <v>3.1764705882352939</v>
      </c>
      <c r="O79" s="612">
        <f t="shared" si="5"/>
        <v>6.5224749036272981E-4</v>
      </c>
      <c r="P79" s="612">
        <f>SUM(P78,P71)</f>
        <v>0</v>
      </c>
      <c r="Q79" s="612">
        <f>IF(P79=0,0,P79/$M$28)</f>
        <v>0</v>
      </c>
      <c r="R79" s="612">
        <f t="shared" si="7"/>
        <v>0</v>
      </c>
      <c r="S79" s="612">
        <f>SUM(S78,S71)</f>
        <v>5675</v>
      </c>
      <c r="T79" s="921">
        <f>IF(S79=0,0,S79/$M$29)</f>
        <v>19.982394366197184</v>
      </c>
      <c r="U79" s="613">
        <f t="shared" si="9"/>
        <v>0.79846815134099602</v>
      </c>
    </row>
    <row r="80" spans="2:21">
      <c r="B80" s="616"/>
      <c r="C80" s="617"/>
      <c r="D80" s="618"/>
      <c r="E80" s="618"/>
      <c r="F80" s="618"/>
      <c r="G80" s="618"/>
      <c r="H80" s="619"/>
      <c r="I80" s="576"/>
      <c r="J80" s="620"/>
      <c r="K80" s="618"/>
      <c r="L80" s="618"/>
      <c r="M80" s="618"/>
      <c r="N80" s="618"/>
      <c r="O80" s="618"/>
      <c r="P80" s="618"/>
      <c r="Q80" s="618"/>
      <c r="R80" s="618"/>
      <c r="S80" s="618"/>
      <c r="T80" s="618"/>
      <c r="U80" s="619"/>
    </row>
    <row r="81" spans="2:21">
      <c r="B81" s="621" t="s">
        <v>277</v>
      </c>
      <c r="C81" s="622"/>
      <c r="D81" s="623"/>
      <c r="E81" s="623"/>
      <c r="F81" s="623"/>
      <c r="G81" s="623"/>
      <c r="H81" s="604"/>
      <c r="I81" s="576"/>
      <c r="J81" s="624"/>
      <c r="K81" s="623"/>
      <c r="L81" s="623"/>
      <c r="M81" s="623"/>
      <c r="N81" s="623"/>
      <c r="O81" s="623"/>
      <c r="P81" s="623"/>
      <c r="Q81" s="623"/>
      <c r="R81" s="623"/>
      <c r="S81" s="623"/>
      <c r="T81" s="623"/>
      <c r="U81" s="604"/>
    </row>
    <row r="82" spans="2:21">
      <c r="B82" s="601" t="s">
        <v>295</v>
      </c>
      <c r="C82" s="602"/>
      <c r="D82" s="584">
        <f>D79</f>
        <v>7300</v>
      </c>
      <c r="E82" s="918">
        <f>IF(D$84=0,0,(D82/$D$84)*100)</f>
        <v>100</v>
      </c>
      <c r="F82" s="590">
        <f>IF(OR(C$50=0,C$50="",C$50="-"),0,D82/C$50)</f>
        <v>8.7008343265792618</v>
      </c>
      <c r="G82" s="584">
        <f>IF(OR(F$50=0,F$50="",F$50="-"),0,D82/F$50)</f>
        <v>0.51243309630309286</v>
      </c>
      <c r="H82" s="585">
        <f>IF(D82=0,0,D82/$C$10)</f>
        <v>20.110192837465565</v>
      </c>
      <c r="I82" s="576"/>
      <c r="J82" s="590">
        <f>J79</f>
        <v>545</v>
      </c>
      <c r="K82" s="584">
        <f>IF(J82=0,0,J82/M$26)</f>
        <v>2.5348837209302326</v>
      </c>
      <c r="L82" s="584">
        <f t="shared" si="4"/>
        <v>0.24026125450180075</v>
      </c>
      <c r="M82" s="584">
        <f>M79</f>
        <v>1080</v>
      </c>
      <c r="N82" s="584">
        <f>IF(M82=0,0,M82/$M$27)</f>
        <v>3.1764705882352939</v>
      </c>
      <c r="O82" s="584">
        <f t="shared" si="5"/>
        <v>6.5224749036272981E-4</v>
      </c>
      <c r="P82" s="584">
        <f>P79</f>
        <v>0</v>
      </c>
      <c r="Q82" s="584">
        <f>IF(P82=0,0,P82/$M$28)</f>
        <v>0</v>
      </c>
      <c r="R82" s="584">
        <f t="shared" si="7"/>
        <v>0</v>
      </c>
      <c r="S82" s="584">
        <f>S79</f>
        <v>5675</v>
      </c>
      <c r="T82" s="918">
        <f>IF(S82=0,0,S82/$M$29)</f>
        <v>19.982394366197184</v>
      </c>
      <c r="U82" s="585">
        <f t="shared" si="9"/>
        <v>0.79846815134099602</v>
      </c>
    </row>
    <row r="83" spans="2:21">
      <c r="B83" s="601" t="s">
        <v>278</v>
      </c>
      <c r="C83" s="602"/>
      <c r="D83" s="584">
        <f>C149</f>
        <v>0</v>
      </c>
      <c r="E83" s="918">
        <f>IF(D$84=0,0,(D83/$D$84)*100)</f>
        <v>0</v>
      </c>
      <c r="F83" s="590">
        <f>IF(OR(C$50=0,C$50="",C$50="-"),0,D83/C$50)</f>
        <v>0</v>
      </c>
      <c r="G83" s="584">
        <f>IF(OR(F$50=0,F$50="",F$50="-"),0,D83/F$50)</f>
        <v>0</v>
      </c>
      <c r="H83" s="585">
        <f>IF(D83=0,0,D83/$C$10)</f>
        <v>0</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c r="B84" s="610" t="s">
        <v>279</v>
      </c>
      <c r="C84" s="611"/>
      <c r="D84" s="612">
        <f>SUM(D82:D83)</f>
        <v>7300</v>
      </c>
      <c r="E84" s="921" t="s">
        <v>107</v>
      </c>
      <c r="F84" s="615">
        <f>IF(OR(C$50=0,C$50="",C$50="-"),0,D84/C$50)</f>
        <v>8.7008343265792618</v>
      </c>
      <c r="G84" s="598">
        <f>IF(OR(F$50=0,F$50="",F$50="-"),0,D84/F$50)</f>
        <v>0.51243309630309286</v>
      </c>
      <c r="H84" s="613">
        <f>IF(D84=0,0,D84/$C$10)</f>
        <v>20.110192837465565</v>
      </c>
      <c r="I84" s="614"/>
      <c r="J84" s="615">
        <f>SUM(J82:J83)</f>
        <v>545</v>
      </c>
      <c r="K84" s="612">
        <f>IF(J84=0,0,J84/M$26)</f>
        <v>2.5348837209302326</v>
      </c>
      <c r="L84" s="612">
        <f t="shared" si="4"/>
        <v>0.24026125450180075</v>
      </c>
      <c r="M84" s="612">
        <f>SUM(M82:M83)</f>
        <v>1080</v>
      </c>
      <c r="N84" s="612">
        <f>IF(M84=0,0,M84/$M$27)</f>
        <v>3.1764705882352939</v>
      </c>
      <c r="O84" s="612">
        <f t="shared" si="5"/>
        <v>6.5224749036272981E-4</v>
      </c>
      <c r="P84" s="612">
        <f>SUM(P82:P83)</f>
        <v>0</v>
      </c>
      <c r="Q84" s="612">
        <f>IF(P84=0,0,P84/$M$28)</f>
        <v>0</v>
      </c>
      <c r="R84" s="612">
        <f t="shared" si="7"/>
        <v>0</v>
      </c>
      <c r="S84" s="612">
        <f>SUM(S82:S83)</f>
        <v>5675</v>
      </c>
      <c r="T84" s="921">
        <f>IF(S84=0,0,S84/$M$29)</f>
        <v>19.982394366197184</v>
      </c>
      <c r="U84" s="613">
        <f t="shared" si="9"/>
        <v>0.79846815134099602</v>
      </c>
    </row>
    <row r="85" spans="2:21">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c r="B86" s="621" t="s">
        <v>280</v>
      </c>
      <c r="C86" s="622"/>
      <c r="D86" s="623"/>
      <c r="E86" s="623"/>
      <c r="F86" s="623"/>
      <c r="G86" s="623"/>
      <c r="H86" s="604"/>
      <c r="I86" s="576"/>
      <c r="J86" s="624"/>
      <c r="K86" s="623"/>
      <c r="L86" s="623"/>
      <c r="M86" s="623"/>
      <c r="N86" s="623"/>
      <c r="O86" s="623"/>
      <c r="P86" s="623"/>
      <c r="Q86" s="623"/>
      <c r="R86" s="623">
        <f t="shared" si="7"/>
        <v>0</v>
      </c>
      <c r="S86" s="623"/>
      <c r="T86" s="623"/>
      <c r="U86" s="604"/>
    </row>
    <row r="87" spans="2:21">
      <c r="B87" s="601" t="s">
        <v>281</v>
      </c>
      <c r="C87" s="602"/>
      <c r="D87" s="625">
        <f>D84</f>
        <v>7300</v>
      </c>
      <c r="E87" s="918" t="e">
        <f>IF(D$92=0,0,(D87/$D$92)*100)</f>
        <v>#VALUE!</v>
      </c>
      <c r="F87" s="590">
        <f>IF(OR(C$50=0,C$50="",C$50="-"),0,D87/C$50)</f>
        <v>8.7008343265792618</v>
      </c>
      <c r="G87" s="584">
        <f>IF(OR(F$50=0,F$50="",F$50="-"),0,D87/F$50)</f>
        <v>0.51243309630309286</v>
      </c>
      <c r="H87" s="585">
        <f t="shared" ref="H87:H92" si="16">IF(D87=0,0,D87/$C$10)</f>
        <v>20.110192837465565</v>
      </c>
      <c r="I87" s="576"/>
      <c r="J87" s="626">
        <f>J84</f>
        <v>545</v>
      </c>
      <c r="K87" s="584">
        <f>IF(J87=0,0,J87/M$26)</f>
        <v>2.5348837209302326</v>
      </c>
      <c r="L87" s="584">
        <f t="shared" si="4"/>
        <v>0.24026125450180075</v>
      </c>
      <c r="M87" s="625">
        <f>M84</f>
        <v>1080</v>
      </c>
      <c r="N87" s="584">
        <f t="shared" ref="N87:N92" si="17">IF(M87=0,0,M87/$M$27)</f>
        <v>3.1764705882352939</v>
      </c>
      <c r="O87" s="584">
        <f t="shared" si="5"/>
        <v>6.5224749036272981E-4</v>
      </c>
      <c r="P87" s="625">
        <f>P84</f>
        <v>0</v>
      </c>
      <c r="Q87" s="584">
        <f t="shared" ref="Q87:Q92" si="18">IF(P87=0,0,P87/$M$28)</f>
        <v>0</v>
      </c>
      <c r="R87" s="584">
        <f t="shared" si="7"/>
        <v>0</v>
      </c>
      <c r="S87" s="625">
        <f>S84</f>
        <v>5675</v>
      </c>
      <c r="T87" s="918">
        <f t="shared" ref="T87:T92" si="19">IF(S87=0,0,S87/$M$29)</f>
        <v>19.982394366197184</v>
      </c>
      <c r="U87" s="1053">
        <f t="shared" si="9"/>
        <v>0.79846815134099602</v>
      </c>
    </row>
    <row r="88" spans="2:21">
      <c r="B88" s="601" t="s">
        <v>456</v>
      </c>
      <c r="C88" s="602"/>
      <c r="D88" s="625">
        <f>IF(OR(C$50=0,C$50="",C$50="-"),0,N16*(C13/100))</f>
        <v>0</v>
      </c>
      <c r="E88" s="918" t="e">
        <f>IF(D$92=0,0,(D88/$D$92)*100)</f>
        <v>#VALUE!</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c r="B89" s="601" t="s">
        <v>454</v>
      </c>
      <c r="C89" s="602"/>
      <c r="D89" s="625" t="e">
        <f>IF(OR(C$50=0,C$50="",C$50="-"),0,C10*C7*(C13/100))</f>
        <v>#VALUE!</v>
      </c>
      <c r="E89" s="918" t="e">
        <f>IF(D$92=0,0,(D89/$D$92)*100)</f>
        <v>#VALUE!</v>
      </c>
      <c r="F89" s="590" t="e">
        <f t="shared" si="20"/>
        <v>#VALUE!</v>
      </c>
      <c r="G89" s="584" t="e">
        <f t="shared" si="21"/>
        <v>#VALUE!</v>
      </c>
      <c r="H89" s="585" t="e">
        <f t="shared" si="16"/>
        <v>#VALUE!</v>
      </c>
      <c r="I89" s="576"/>
      <c r="J89" s="626" t="e">
        <f>IF(SAÍDAS!$X$29="",0,(INVESTIMENTOS!T$12/100)*$D89)</f>
        <v>#VALUE!</v>
      </c>
      <c r="K89" s="584" t="e">
        <f t="shared" si="22"/>
        <v>#VALUE!</v>
      </c>
      <c r="L89" s="584" t="e">
        <f t="shared" si="4"/>
        <v>#VALUE!</v>
      </c>
      <c r="M89" s="625" t="e">
        <f>IF(SAÍDAS!$X$29="",0,(INVESTIMENTOS!T$13/100)*$D89)</f>
        <v>#VALUE!</v>
      </c>
      <c r="N89" s="584" t="e">
        <f t="shared" si="17"/>
        <v>#VALUE!</v>
      </c>
      <c r="O89" s="584" t="e">
        <f t="shared" si="5"/>
        <v>#VALUE!</v>
      </c>
      <c r="P89" s="625" t="e">
        <f>IF(SAÍDAS!$X$29="",0,(INVESTIMENTOS!T$14/100)*$D89)</f>
        <v>#VALUE!</v>
      </c>
      <c r="Q89" s="584" t="e">
        <f>IF(P89=0,0,P89/$M$28)</f>
        <v>#VALUE!</v>
      </c>
      <c r="R89" s="584" t="e">
        <f t="shared" si="7"/>
        <v>#VALUE!</v>
      </c>
      <c r="S89" s="625" t="e">
        <f>IF(SAÍDAS!$X$29="",0,(INVESTIMENTOS!T$15/100)*$D89)</f>
        <v>#VALUE!</v>
      </c>
      <c r="T89" s="918" t="e">
        <f t="shared" si="19"/>
        <v>#VALUE!</v>
      </c>
      <c r="U89" s="1053" t="e">
        <f t="shared" si="9"/>
        <v>#VALUE!</v>
      </c>
    </row>
    <row r="90" spans="2:21">
      <c r="B90" s="601" t="s">
        <v>455</v>
      </c>
      <c r="C90" s="602"/>
      <c r="D90" s="625">
        <f>IF(OR(C$50=0,C$50="",C$50="-"),0,SUM(INVESTIMENTOS!H52,INVESTIMENTOS!F83,INVESTIMENTOS!F112,INVESTIMENTOS!F141,INVESTIMENTOS!F169)*($C$13/100))</f>
        <v>0</v>
      </c>
      <c r="E90" s="918" t="e">
        <f>IF(D$92=0,0,(D90/$D$92)*100)</f>
        <v>#VALUE!</v>
      </c>
      <c r="F90" s="590">
        <f t="shared" si="20"/>
        <v>0</v>
      </c>
      <c r="G90" s="584">
        <f t="shared" si="21"/>
        <v>0</v>
      </c>
      <c r="H90" s="585">
        <f t="shared" si="16"/>
        <v>0</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c r="B91" s="601" t="s">
        <v>282</v>
      </c>
      <c r="C91" s="602"/>
      <c r="D91" s="761"/>
      <c r="E91" s="918" t="e">
        <f>IF(D$92=0,0,(D91/$D$92)*100)</f>
        <v>#VALUE!</v>
      </c>
      <c r="F91" s="590">
        <f t="shared" si="20"/>
        <v>0</v>
      </c>
      <c r="G91" s="584">
        <f t="shared" si="21"/>
        <v>0</v>
      </c>
      <c r="H91" s="585">
        <f t="shared" si="16"/>
        <v>0</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c r="B92" s="627" t="s">
        <v>400</v>
      </c>
      <c r="C92" s="628"/>
      <c r="D92" s="629" t="e">
        <f>SUM(D87:D91)</f>
        <v>#VALUE!</v>
      </c>
      <c r="E92" s="922" t="s">
        <v>107</v>
      </c>
      <c r="F92" s="646" t="e">
        <f>IF(OR(C$50=0,C$50="",C$50="-"),0,D92/C$50)</f>
        <v>#VALUE!</v>
      </c>
      <c r="G92" s="598" t="e">
        <f>IF(OR(F$50=0,F$50="",F$50="-"),0,D92/F$50)</f>
        <v>#VALUE!</v>
      </c>
      <c r="H92" s="630" t="e">
        <f t="shared" si="16"/>
        <v>#VALUE!</v>
      </c>
      <c r="I92" s="614"/>
      <c r="J92" s="631" t="e">
        <f>SUM(J87:J91)</f>
        <v>#VALUE!</v>
      </c>
      <c r="K92" s="612" t="e">
        <f>IF(J92=0,0,J92/M$26)</f>
        <v>#VALUE!</v>
      </c>
      <c r="L92" s="612" t="e">
        <f t="shared" si="4"/>
        <v>#VALUE!</v>
      </c>
      <c r="M92" s="629" t="e">
        <f>SUM(M87:M91)</f>
        <v>#VALUE!</v>
      </c>
      <c r="N92" s="612" t="e">
        <f t="shared" si="17"/>
        <v>#VALUE!</v>
      </c>
      <c r="O92" s="612" t="e">
        <f t="shared" si="5"/>
        <v>#VALUE!</v>
      </c>
      <c r="P92" s="612" t="e">
        <f>SUM(P87:P91)</f>
        <v>#VALUE!</v>
      </c>
      <c r="Q92" s="612" t="e">
        <f t="shared" si="18"/>
        <v>#VALUE!</v>
      </c>
      <c r="R92" s="612" t="e">
        <f t="shared" si="7"/>
        <v>#VALUE!</v>
      </c>
      <c r="S92" s="632" t="e">
        <f>SUM(S87:S91)</f>
        <v>#VALUE!</v>
      </c>
      <c r="T92" s="925" t="e">
        <f t="shared" si="19"/>
        <v>#VALUE!</v>
      </c>
      <c r="U92" s="630" t="e">
        <f t="shared" si="9"/>
        <v>#VALUE!</v>
      </c>
    </row>
    <row r="93" spans="2:21" ht="16.5" thickTop="1" thickBot="1">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c r="B94" s="459" t="s">
        <v>283</v>
      </c>
      <c r="C94" s="637"/>
      <c r="D94" s="638" t="s">
        <v>41</v>
      </c>
      <c r="E94" s="923" t="s">
        <v>265</v>
      </c>
      <c r="F94" s="640" t="s">
        <v>463</v>
      </c>
      <c r="G94" s="638" t="s">
        <v>464</v>
      </c>
      <c r="H94" s="639" t="s">
        <v>271</v>
      </c>
      <c r="I94" s="576"/>
      <c r="J94" s="640" t="s">
        <v>41</v>
      </c>
      <c r="K94" s="638" t="s">
        <v>296</v>
      </c>
      <c r="L94" s="579" t="s">
        <v>466</v>
      </c>
      <c r="M94" s="638" t="s">
        <v>41</v>
      </c>
      <c r="N94" s="638" t="s">
        <v>296</v>
      </c>
      <c r="O94" s="579" t="s">
        <v>466</v>
      </c>
      <c r="P94" s="638" t="s">
        <v>41</v>
      </c>
      <c r="Q94" s="638" t="s">
        <v>296</v>
      </c>
      <c r="R94" s="579" t="s">
        <v>466</v>
      </c>
      <c r="S94" s="638" t="s">
        <v>41</v>
      </c>
      <c r="T94" s="923" t="s">
        <v>296</v>
      </c>
      <c r="U94" s="1056" t="s">
        <v>466</v>
      </c>
    </row>
    <row r="95" spans="2:21" ht="15.75" thickTop="1">
      <c r="B95" s="641" t="s">
        <v>246</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c r="B96" s="601" t="s">
        <v>284</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c r="B97" s="601" t="s">
        <v>285</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c r="B98" s="601" t="s">
        <v>292</v>
      </c>
      <c r="C98" s="602"/>
      <c r="D98" s="584">
        <f>SUMIFS(INVESTIMENTOS!$F$87:$F$111,INVESTIMENTOS!$L$87:$L$111,'RESULTADOS FINANCEIROS'!$C$8)+SUMIFS(INVESTIMENTOS!$F$116:$F$140,INVESTIMENTOS!$L$116:$L$140,'RESULTADOS FINANCEIROS'!$C$8)</f>
        <v>0</v>
      </c>
      <c r="E98" s="924">
        <f>IF(D$100=0,0,(D98/$D$100)*100)</f>
        <v>0</v>
      </c>
      <c r="F98" s="586">
        <f t="shared" si="25"/>
        <v>0</v>
      </c>
      <c r="G98" s="584">
        <f t="shared" si="26"/>
        <v>0</v>
      </c>
      <c r="H98" s="585">
        <f t="shared" si="23"/>
        <v>0</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c r="B99" s="601" t="s">
        <v>286</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c r="B100" s="627" t="s">
        <v>134</v>
      </c>
      <c r="C100" s="628"/>
      <c r="D100" s="632">
        <f>SUM(D95:D99)</f>
        <v>0</v>
      </c>
      <c r="E100" s="925" t="s">
        <v>107</v>
      </c>
      <c r="F100" s="646">
        <f>IF(OR(C$50=0,C$50="",C$50="-"),0,D100/C$50)</f>
        <v>0</v>
      </c>
      <c r="G100" s="632">
        <f>IF(OR(F$50=0,F$50="",F$50="-"),0,D100/F$50)</f>
        <v>0</v>
      </c>
      <c r="H100" s="630">
        <f t="shared" si="23"/>
        <v>0</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c r="B101" s="226"/>
      <c r="C101" s="647"/>
      <c r="D101" s="647"/>
      <c r="E101" s="647"/>
      <c r="F101" s="576"/>
      <c r="G101" s="576"/>
      <c r="H101" s="576"/>
      <c r="I101" s="576"/>
      <c r="J101" s="576"/>
      <c r="K101" s="576"/>
      <c r="L101" s="576"/>
      <c r="M101" s="576"/>
      <c r="N101" s="576"/>
      <c r="O101" s="648"/>
      <c r="P101" s="576"/>
      <c r="Q101" s="649"/>
      <c r="R101" s="784"/>
      <c r="S101" s="79"/>
    </row>
    <row r="102" spans="2:21">
      <c r="B102" s="273" t="str">
        <f t="shared" ref="B102:B111" si="28">B60</f>
        <v>Alimentação</v>
      </c>
      <c r="C102" s="650">
        <f>D60</f>
        <v>7000</v>
      </c>
      <c r="D102" s="434"/>
      <c r="E102" s="647"/>
      <c r="F102" s="576"/>
      <c r="G102" s="576"/>
      <c r="H102" s="576"/>
      <c r="I102" s="576"/>
      <c r="J102" s="576"/>
      <c r="K102" s="576"/>
      <c r="L102" s="576"/>
      <c r="M102" s="576"/>
      <c r="N102" s="576"/>
      <c r="O102" s="576"/>
      <c r="P102" s="576"/>
      <c r="Q102" s="649"/>
      <c r="R102" s="784"/>
      <c r="S102" s="79"/>
    </row>
    <row r="103" spans="2:21">
      <c r="B103" s="273" t="str">
        <f t="shared" si="28"/>
        <v>Combustível e Energia</v>
      </c>
      <c r="C103" s="650">
        <f>D61</f>
        <v>300</v>
      </c>
      <c r="D103" s="434"/>
      <c r="E103" s="647"/>
      <c r="F103" s="576"/>
      <c r="G103" s="576"/>
      <c r="H103" s="576"/>
      <c r="I103" s="576"/>
      <c r="J103" s="576"/>
      <c r="K103" s="576"/>
      <c r="L103" s="576"/>
      <c r="M103" s="576"/>
      <c r="N103" s="576"/>
      <c r="O103" s="576"/>
      <c r="P103" s="576"/>
      <c r="Q103" s="649"/>
      <c r="R103" s="784"/>
      <c r="S103" s="79"/>
    </row>
    <row r="104" spans="2:21">
      <c r="B104" s="273" t="str">
        <f t="shared" si="28"/>
        <v>Manutenção de Forragem</v>
      </c>
      <c r="C104" s="650">
        <f>D62</f>
        <v>0</v>
      </c>
      <c r="D104" s="434"/>
      <c r="E104" s="647"/>
      <c r="F104" s="576"/>
      <c r="G104" s="576"/>
      <c r="H104" s="576"/>
      <c r="I104" s="576"/>
      <c r="J104" s="576"/>
      <c r="K104" s="576"/>
      <c r="L104" s="576"/>
      <c r="M104" s="576"/>
      <c r="N104" s="576"/>
      <c r="O104" s="576"/>
      <c r="P104" s="576"/>
      <c r="Q104" s="649"/>
      <c r="R104" s="784"/>
      <c r="S104" s="79"/>
    </row>
    <row r="105" spans="2:21">
      <c r="B105" s="273" t="str">
        <f t="shared" si="28"/>
        <v>Manutenção de Máquinas e Instalações</v>
      </c>
      <c r="C105" s="650">
        <f>D63</f>
        <v>0</v>
      </c>
      <c r="D105" s="434"/>
      <c r="E105" s="647"/>
      <c r="F105" s="576"/>
      <c r="G105" s="576"/>
      <c r="H105" s="576"/>
      <c r="I105" s="576"/>
      <c r="J105" s="576"/>
      <c r="K105" s="576"/>
      <c r="M105" s="576"/>
      <c r="N105" s="576"/>
      <c r="O105" s="576"/>
      <c r="P105" s="576"/>
      <c r="Q105" s="649"/>
      <c r="R105" s="784"/>
      <c r="S105" s="79"/>
    </row>
    <row r="106" spans="2:21">
      <c r="B106" s="273" t="str">
        <f t="shared" si="28"/>
        <v>Mão de Obra</v>
      </c>
      <c r="C106" s="650">
        <f>D64+D74</f>
        <v>0</v>
      </c>
      <c r="D106" s="434"/>
      <c r="E106" s="647"/>
      <c r="F106" s="576"/>
      <c r="G106" s="576"/>
      <c r="H106" s="576"/>
      <c r="I106" s="576"/>
      <c r="J106" s="576"/>
      <c r="K106" s="576"/>
      <c r="M106" s="576"/>
      <c r="N106" s="576"/>
      <c r="O106" s="576"/>
      <c r="P106" s="576"/>
      <c r="Q106" s="649"/>
      <c r="R106" s="784"/>
      <c r="S106" s="79"/>
    </row>
    <row r="107" spans="2:21">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c r="B108" s="273" t="str">
        <f t="shared" si="28"/>
        <v>Sanidade</v>
      </c>
      <c r="C108" s="650">
        <f>D66</f>
        <v>0</v>
      </c>
      <c r="D108" s="434"/>
      <c r="E108" s="647"/>
      <c r="F108" s="576"/>
      <c r="G108" s="576"/>
      <c r="H108" s="576"/>
      <c r="I108" s="576"/>
      <c r="J108" s="576"/>
      <c r="K108" s="576"/>
      <c r="M108" s="576"/>
      <c r="N108" s="576"/>
      <c r="O108" s="576"/>
      <c r="P108" s="576"/>
      <c r="Q108" s="649"/>
      <c r="R108" s="784"/>
      <c r="S108" s="79"/>
    </row>
    <row r="109" spans="2:21">
      <c r="B109" s="273" t="str">
        <f t="shared" si="28"/>
        <v>Serviços Terceirizados</v>
      </c>
      <c r="C109" s="650">
        <f>D67</f>
        <v>0</v>
      </c>
      <c r="D109" s="434"/>
      <c r="E109" s="647"/>
      <c r="F109" s="576"/>
      <c r="G109" s="576"/>
      <c r="H109" s="576"/>
      <c r="I109" s="576"/>
      <c r="J109" s="576"/>
      <c r="K109" s="576"/>
      <c r="L109" s="576"/>
      <c r="M109" s="576"/>
      <c r="N109" s="576"/>
      <c r="O109" s="576"/>
      <c r="P109" s="576"/>
      <c r="Q109" s="649"/>
      <c r="R109" s="784"/>
      <c r="S109" s="79"/>
    </row>
    <row r="110" spans="2:21">
      <c r="B110" s="273" t="str">
        <f t="shared" si="28"/>
        <v>Tarifas e Impostos</v>
      </c>
      <c r="C110" s="650">
        <f>D68+D72</f>
        <v>0</v>
      </c>
      <c r="D110" s="434"/>
      <c r="E110" s="647"/>
      <c r="F110" s="576"/>
      <c r="G110" s="576"/>
      <c r="H110" s="576"/>
      <c r="I110" s="576"/>
      <c r="J110" s="576"/>
      <c r="K110" s="576"/>
      <c r="L110" s="576"/>
      <c r="M110" s="576"/>
      <c r="N110" s="576"/>
      <c r="O110" s="576"/>
      <c r="P110" s="576"/>
      <c r="Q110" s="649"/>
      <c r="R110" s="784"/>
      <c r="S110" s="79"/>
    </row>
    <row r="111" spans="2:21">
      <c r="B111" s="273" t="str">
        <f t="shared" si="28"/>
        <v>Outros</v>
      </c>
      <c r="C111" s="650">
        <f>D69+D75</f>
        <v>0</v>
      </c>
      <c r="D111" s="434"/>
      <c r="E111" s="647"/>
      <c r="F111" s="576"/>
      <c r="G111" s="576"/>
      <c r="H111" s="576"/>
      <c r="I111" s="576"/>
      <c r="J111" s="576"/>
      <c r="K111" s="576"/>
      <c r="L111" s="576"/>
      <c r="M111" s="576"/>
      <c r="N111" s="576"/>
      <c r="O111" s="576"/>
      <c r="P111" s="576"/>
      <c r="Q111" s="649"/>
      <c r="R111" s="784"/>
      <c r="S111" s="79"/>
    </row>
    <row r="112" spans="2:21">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c r="B113" s="273" t="s">
        <v>412</v>
      </c>
      <c r="C113" s="650">
        <f>D77</f>
        <v>0</v>
      </c>
      <c r="D113" s="434"/>
      <c r="E113" s="647"/>
      <c r="F113" s="576"/>
      <c r="G113" s="576"/>
      <c r="H113" s="576"/>
      <c r="I113" s="576"/>
      <c r="J113" s="576"/>
      <c r="K113" s="576"/>
      <c r="L113" s="576"/>
      <c r="M113" s="576"/>
      <c r="N113" s="576"/>
      <c r="O113" s="576"/>
      <c r="P113" s="576"/>
      <c r="Q113" s="649"/>
      <c r="R113" s="784"/>
      <c r="S113" s="79"/>
    </row>
    <row r="114" spans="1:37">
      <c r="B114" s="273"/>
      <c r="C114" s="273"/>
      <c r="D114" s="434"/>
      <c r="E114" s="647"/>
      <c r="F114" s="576"/>
      <c r="G114" s="576"/>
      <c r="H114" s="576"/>
      <c r="I114" s="576"/>
      <c r="J114" s="576"/>
      <c r="K114" s="576"/>
      <c r="L114" s="576"/>
      <c r="M114" s="576"/>
      <c r="N114" s="576"/>
      <c r="O114" s="576"/>
      <c r="P114" s="576"/>
      <c r="Q114" s="649"/>
      <c r="R114" s="784"/>
      <c r="S114" s="79"/>
    </row>
    <row r="115" spans="1:37">
      <c r="B115" s="273"/>
      <c r="C115" s="273"/>
      <c r="D115" s="434"/>
      <c r="E115" s="647"/>
      <c r="F115" s="576"/>
      <c r="G115" s="576"/>
      <c r="H115" s="576"/>
      <c r="I115" s="576"/>
      <c r="J115" s="576"/>
      <c r="K115" s="576"/>
      <c r="L115" s="576"/>
      <c r="M115" s="576"/>
      <c r="N115" s="576"/>
      <c r="O115" s="576"/>
      <c r="P115" s="576"/>
      <c r="Q115" s="649"/>
      <c r="R115" s="784"/>
      <c r="S115" s="79"/>
    </row>
    <row r="116" spans="1:37">
      <c r="B116" s="434"/>
      <c r="C116" s="434"/>
      <c r="D116" s="647"/>
      <c r="E116" s="647"/>
      <c r="F116" s="576"/>
      <c r="G116" s="576"/>
      <c r="H116" s="576"/>
      <c r="I116" s="576"/>
      <c r="J116" s="576"/>
      <c r="K116" s="576"/>
      <c r="L116" s="576"/>
      <c r="M116" s="576"/>
      <c r="N116" s="576"/>
      <c r="O116" s="576"/>
      <c r="P116" s="576"/>
      <c r="Q116" s="649"/>
      <c r="R116" s="784"/>
      <c r="S116" s="79"/>
    </row>
    <row r="117" spans="1:37">
      <c r="B117" s="273"/>
      <c r="C117" s="273"/>
      <c r="D117" s="434"/>
      <c r="E117" s="647"/>
      <c r="F117" s="576"/>
      <c r="G117" s="576"/>
      <c r="H117" s="576"/>
      <c r="I117" s="576"/>
      <c r="J117" s="576"/>
      <c r="K117" s="576"/>
      <c r="L117" s="576"/>
      <c r="M117" s="576"/>
      <c r="N117" s="576"/>
      <c r="O117" s="576"/>
      <c r="P117" s="576"/>
      <c r="Q117" s="649"/>
      <c r="R117" s="784"/>
      <c r="S117" s="79"/>
    </row>
    <row r="118" spans="1:37">
      <c r="B118" s="273"/>
      <c r="C118" s="647"/>
      <c r="D118" s="647"/>
      <c r="E118" s="647"/>
      <c r="F118" s="576"/>
      <c r="G118" s="576"/>
      <c r="H118" s="576"/>
      <c r="I118" s="576"/>
      <c r="J118" s="576"/>
      <c r="K118" s="576"/>
      <c r="L118" s="576"/>
      <c r="M118" s="576"/>
      <c r="N118" s="576"/>
      <c r="O118" s="576"/>
      <c r="P118" s="576"/>
      <c r="Q118" s="649"/>
      <c r="R118" s="784"/>
      <c r="S118" s="79"/>
    </row>
    <row r="119" spans="1:37">
      <c r="B119" s="226"/>
      <c r="C119" s="647"/>
      <c r="D119" s="647"/>
      <c r="E119" s="647"/>
      <c r="F119" s="576"/>
      <c r="G119" s="576"/>
      <c r="H119" s="576"/>
      <c r="I119" s="576"/>
      <c r="J119" s="576"/>
      <c r="K119" s="576"/>
      <c r="L119" s="576"/>
      <c r="M119" s="576"/>
      <c r="N119" s="576"/>
      <c r="O119" s="576"/>
      <c r="P119" s="576"/>
      <c r="Q119" s="576"/>
      <c r="R119" s="784"/>
      <c r="S119" s="79"/>
    </row>
    <row r="120" spans="1:37">
      <c r="B120" s="226"/>
      <c r="C120" s="647"/>
      <c r="D120" s="647"/>
      <c r="E120" s="647"/>
      <c r="F120" s="576"/>
      <c r="G120" s="576"/>
      <c r="H120" s="576"/>
      <c r="I120" s="576"/>
      <c r="J120" s="576"/>
      <c r="K120" s="576"/>
      <c r="L120" s="576"/>
      <c r="M120" s="576"/>
      <c r="O120" s="576"/>
      <c r="P120" s="576"/>
      <c r="Q120" s="576"/>
      <c r="R120" s="784"/>
      <c r="S120" s="79"/>
    </row>
    <row r="121" spans="1:37">
      <c r="B121" s="226"/>
      <c r="C121" s="647"/>
      <c r="D121" s="647"/>
      <c r="E121" s="647"/>
      <c r="F121" s="576"/>
      <c r="G121" s="576"/>
      <c r="H121" s="576"/>
      <c r="I121" s="576"/>
      <c r="J121" s="576"/>
      <c r="K121" s="576"/>
      <c r="L121" s="576"/>
      <c r="M121" s="576"/>
      <c r="O121" s="576"/>
      <c r="P121" s="576"/>
      <c r="Q121" s="576"/>
      <c r="R121" s="784"/>
      <c r="S121" s="79"/>
    </row>
    <row r="122" spans="1:37">
      <c r="B122" s="226"/>
      <c r="C122" s="647"/>
      <c r="D122" s="647"/>
      <c r="E122" s="647"/>
      <c r="F122" s="576"/>
      <c r="G122" s="576"/>
      <c r="H122" s="576"/>
      <c r="I122" s="576"/>
      <c r="J122" s="576"/>
      <c r="K122" s="576"/>
      <c r="L122" s="576"/>
      <c r="M122" s="576"/>
      <c r="O122" s="576"/>
      <c r="P122" s="576"/>
      <c r="Q122" s="576"/>
      <c r="R122" s="784"/>
      <c r="S122" s="79"/>
    </row>
    <row r="123" spans="1:37">
      <c r="B123" s="494" t="s">
        <v>413</v>
      </c>
      <c r="C123" s="576"/>
      <c r="D123" s="576"/>
      <c r="E123" s="494" t="s">
        <v>504</v>
      </c>
      <c r="F123" s="576"/>
      <c r="G123" s="576"/>
      <c r="H123" s="576"/>
      <c r="I123" s="576"/>
      <c r="J123" s="576"/>
      <c r="K123" s="576"/>
      <c r="L123" s="576"/>
      <c r="M123" s="576"/>
      <c r="O123" s="576"/>
      <c r="P123" s="576"/>
      <c r="Q123" s="649"/>
      <c r="R123" s="784"/>
      <c r="S123" s="79"/>
    </row>
    <row r="124" spans="1:37">
      <c r="B124" s="229"/>
      <c r="C124" s="576"/>
      <c r="D124" s="576"/>
      <c r="E124" s="576"/>
      <c r="F124" s="576"/>
      <c r="G124" s="576"/>
      <c r="H124" s="576"/>
      <c r="I124" s="576"/>
      <c r="J124" s="576"/>
      <c r="K124" s="576"/>
      <c r="L124" s="576"/>
      <c r="M124" s="576"/>
      <c r="O124" s="576"/>
      <c r="P124" s="576"/>
      <c r="Q124" s="649"/>
      <c r="R124" s="784"/>
      <c r="S124" s="79"/>
    </row>
    <row r="125" spans="1:37" s="224" customFormat="1">
      <c r="A125" s="561"/>
      <c r="B125" s="229"/>
      <c r="D125" s="578"/>
      <c r="E125" s="576"/>
      <c r="F125" s="589"/>
      <c r="G125" s="576"/>
      <c r="H125" s="1232"/>
      <c r="I125" s="1232"/>
      <c r="J125" s="1232"/>
      <c r="K125" s="1232"/>
      <c r="L125" s="1232"/>
      <c r="M125" s="1232"/>
      <c r="N125" s="1232"/>
      <c r="O125" s="1232"/>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c r="H126" s="227"/>
      <c r="I126" s="227"/>
      <c r="J126" s="227"/>
      <c r="K126" s="227"/>
      <c r="L126" s="227"/>
      <c r="M126" s="227"/>
      <c r="N126" s="227"/>
      <c r="O126" s="227"/>
      <c r="P126" s="227"/>
    </row>
    <row r="127" spans="1:37" hidden="1">
      <c r="B127" s="652" t="s">
        <v>263</v>
      </c>
      <c r="H127" s="227"/>
      <c r="I127" s="227"/>
      <c r="J127" s="227"/>
      <c r="K127" s="227"/>
      <c r="L127" s="227"/>
      <c r="M127" s="227"/>
      <c r="N127" s="227"/>
      <c r="O127" s="227"/>
      <c r="P127" s="227"/>
    </row>
    <row r="128" spans="1:37" hidden="1">
      <c r="H128" s="227"/>
      <c r="I128" s="227"/>
      <c r="J128" s="227"/>
      <c r="K128" s="227"/>
      <c r="L128" s="227"/>
      <c r="M128" s="227"/>
      <c r="N128" s="227"/>
      <c r="O128" s="227"/>
      <c r="P128" s="227"/>
    </row>
    <row r="129" spans="1:16" hidden="1">
      <c r="H129" s="227"/>
      <c r="I129" s="227"/>
      <c r="J129" s="227"/>
      <c r="K129" s="227"/>
      <c r="L129" s="227"/>
      <c r="M129" s="227"/>
      <c r="N129" s="227"/>
      <c r="O129" s="227"/>
      <c r="P129" s="227"/>
    </row>
    <row r="130" spans="1:16" hidden="1">
      <c r="B130" s="271"/>
    </row>
    <row r="131" spans="1:16" ht="15.75" hidden="1" thickBot="1">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c r="B132" s="549" t="s">
        <v>258</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c r="B133" s="654" t="s">
        <v>259</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c r="B136" s="657" t="s">
        <v>168</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c r="B137" s="657" t="s">
        <v>260</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0</v>
      </c>
    </row>
    <row r="140" spans="1:16" s="51" customFormat="1" ht="35.25" hidden="1" customHeight="1" thickTop="1" thickBot="1">
      <c r="A140" s="52"/>
      <c r="H140" s="1245"/>
      <c r="I140" s="1245"/>
      <c r="J140" s="1245"/>
      <c r="K140" s="1245"/>
      <c r="L140" s="1245"/>
      <c r="M140" s="1245"/>
      <c r="N140" s="1245"/>
      <c r="O140" s="1245"/>
    </row>
    <row r="141" spans="1:16" s="51" customFormat="1" ht="16.5" hidden="1" thickTop="1" thickBot="1">
      <c r="A141" s="52"/>
      <c r="B141" s="77" t="s">
        <v>239</v>
      </c>
      <c r="C141" s="84"/>
      <c r="E141" s="1235" t="s">
        <v>123</v>
      </c>
      <c r="F141" s="1236"/>
      <c r="G141" s="1239" t="s">
        <v>104</v>
      </c>
      <c r="H141" s="1240"/>
      <c r="I141" s="1243" t="s">
        <v>103</v>
      </c>
      <c r="J141" s="1236"/>
      <c r="K141" s="1243" t="s">
        <v>102</v>
      </c>
      <c r="L141" s="1244"/>
      <c r="M141" s="85"/>
      <c r="N141" s="86"/>
      <c r="O141" s="86"/>
    </row>
    <row r="142" spans="1:16" s="51" customFormat="1" ht="33.75" hidden="1" customHeight="1" thickTop="1" thickBot="1">
      <c r="A142" s="52"/>
      <c r="B142" s="56" t="s">
        <v>129</v>
      </c>
      <c r="C142" s="6" t="s">
        <v>244</v>
      </c>
      <c r="D142" s="14"/>
      <c r="E142" s="7" t="s">
        <v>130</v>
      </c>
      <c r="F142" s="8" t="s">
        <v>131</v>
      </c>
      <c r="G142" s="8" t="s">
        <v>130</v>
      </c>
      <c r="H142" s="8" t="s">
        <v>131</v>
      </c>
      <c r="I142" s="8" t="s">
        <v>130</v>
      </c>
      <c r="J142" s="8" t="s">
        <v>131</v>
      </c>
      <c r="K142" s="8" t="s">
        <v>130</v>
      </c>
      <c r="L142" s="9" t="s">
        <v>131</v>
      </c>
      <c r="M142" s="79" t="s">
        <v>472</v>
      </c>
    </row>
    <row r="143" spans="1:16" s="51" customFormat="1" ht="15.75" hidden="1" customHeight="1" thickTop="1">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c r="A144" s="52"/>
      <c r="B144" s="48" t="s">
        <v>133</v>
      </c>
      <c r="C144" s="11">
        <f>INVESTIMENTOS!J52</f>
        <v>0</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c r="A145" s="52"/>
      <c r="B145" s="53" t="s">
        <v>240</v>
      </c>
      <c r="C145" s="54">
        <f>INVESTIMENTOS!J83</f>
        <v>0</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c r="A146" s="52"/>
      <c r="B146" s="53" t="s">
        <v>241</v>
      </c>
      <c r="C146" s="54">
        <f>INVESTIMENTOS!J112</f>
        <v>0</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c r="A147" s="52"/>
      <c r="B147" s="53" t="s">
        <v>242</v>
      </c>
      <c r="C147" s="54">
        <f>INVESTIMENTOS!J141</f>
        <v>0</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c r="B149" s="55" t="s">
        <v>134</v>
      </c>
      <c r="C149" s="13">
        <f>SUM(C142:C148)</f>
        <v>0</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row r="151" spans="1:25" ht="15.75" hidden="1" thickBot="1"/>
    <row r="152" spans="1:25" ht="16.5" hidden="1" thickTop="1" thickBot="1">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c r="A153" s="670"/>
      <c r="B153" s="971" t="s">
        <v>173</v>
      </c>
      <c r="C153" s="972" t="s">
        <v>480</v>
      </c>
      <c r="D153" s="973"/>
      <c r="E153" s="973"/>
      <c r="F153" s="973"/>
      <c r="G153" s="973"/>
      <c r="H153" s="973"/>
      <c r="I153" s="973"/>
      <c r="J153" s="973"/>
      <c r="K153" s="973"/>
      <c r="L153" s="973"/>
      <c r="M153" s="973"/>
      <c r="N153" s="973"/>
      <c r="O153" s="973"/>
      <c r="P153" s="671" t="s">
        <v>254</v>
      </c>
      <c r="Q153" s="968"/>
      <c r="R153" s="783"/>
      <c r="S153" s="783"/>
      <c r="T153" s="783"/>
      <c r="U153" s="783"/>
      <c r="V153" s="783"/>
      <c r="W153" s="783"/>
      <c r="X153" s="783"/>
      <c r="Y153" s="783"/>
    </row>
    <row r="154" spans="1:25" hidden="1">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f>IF(OR(REBANHO!J38=0,REBANHO!J38=""),"",REBANHO!J38)</f>
        <v>108</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f t="shared" ref="P154:P166" si="32">AVERAGE(D154:O154)</f>
        <v>108</v>
      </c>
      <c r="Q154" s="969"/>
      <c r="R154" s="783"/>
      <c r="S154" s="783"/>
      <c r="T154" s="783"/>
      <c r="U154" s="783"/>
      <c r="V154" s="783"/>
      <c r="W154" s="783"/>
      <c r="X154" s="783"/>
      <c r="Y154" s="783"/>
    </row>
    <row r="155" spans="1:25" hidden="1">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f>IF(OR(REBANHO!J40=0,REBANHO!J40=""),"",REBANHO!J40)</f>
        <v>107</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f t="shared" si="32"/>
        <v>107</v>
      </c>
      <c r="Q155" s="969"/>
      <c r="R155" s="783"/>
      <c r="S155" s="783"/>
      <c r="T155" s="783"/>
      <c r="U155" s="783"/>
      <c r="V155" s="783"/>
      <c r="W155" s="783"/>
      <c r="X155" s="783"/>
      <c r="Y155" s="783"/>
    </row>
    <row r="156" spans="1:25" ht="15.75" hidden="1" thickBot="1">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f t="shared" si="33"/>
        <v>215</v>
      </c>
      <c r="J156" s="686" t="str">
        <f t="shared" si="33"/>
        <v/>
      </c>
      <c r="K156" s="686" t="str">
        <f t="shared" si="33"/>
        <v/>
      </c>
      <c r="L156" s="686" t="str">
        <f t="shared" si="33"/>
        <v/>
      </c>
      <c r="M156" s="686" t="str">
        <f t="shared" si="33"/>
        <v/>
      </c>
      <c r="N156" s="686" t="str">
        <f t="shared" si="33"/>
        <v/>
      </c>
      <c r="O156" s="687" t="str">
        <f t="shared" si="33"/>
        <v/>
      </c>
      <c r="P156" s="975">
        <f t="shared" si="32"/>
        <v>215</v>
      </c>
      <c r="Q156" s="970"/>
      <c r="R156" s="783"/>
      <c r="S156" s="783"/>
      <c r="T156" s="783"/>
      <c r="U156" s="783"/>
      <c r="V156" s="783"/>
      <c r="W156" s="783"/>
      <c r="X156" s="783"/>
      <c r="Y156" s="783"/>
    </row>
    <row r="157" spans="1:25" hidden="1">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f>IF(OR(REBANHO!J43=0,REBANHO!J43=""),"",REBANHO!J43)</f>
        <v>306</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f t="shared" si="32"/>
        <v>306</v>
      </c>
      <c r="Q157" s="970"/>
      <c r="R157" s="783"/>
      <c r="S157" s="783"/>
      <c r="T157" s="783"/>
      <c r="U157" s="783"/>
      <c r="V157" s="783"/>
      <c r="W157" s="783"/>
      <c r="X157" s="783"/>
      <c r="Y157" s="783"/>
    </row>
    <row r="158" spans="1:25" hidden="1">
      <c r="A158" s="670"/>
      <c r="B158" s="679" t="s">
        <v>13</v>
      </c>
      <c r="C158" s="680" t="s">
        <v>172</v>
      </c>
      <c r="D158" s="681" t="str">
        <f>IF(OR(REBANHO!E45=0,REBANHO!E45=""),"",REBANHO!E45)</f>
        <v/>
      </c>
      <c r="E158" s="681" t="str">
        <f>IF(OR(REBANHO!F45=0,REBANHO!F45=""),"",REBANHO!F45)</f>
        <v/>
      </c>
      <c r="F158" s="681" t="str">
        <f>IF(OR(REBANHO!G45=0,REBANHO!G45=""),"",REBANHO!G45)</f>
        <v/>
      </c>
      <c r="G158" s="681" t="str">
        <f>IF(OR(REBANHO!H45=0,REBANHO!H45=""),"",REBANHO!H45)</f>
        <v/>
      </c>
      <c r="H158" s="681" t="str">
        <f>IF(OR(REBANHO!I45=0,REBANHO!I45=""),"",REBANHO!I45)</f>
        <v/>
      </c>
      <c r="I158" s="681">
        <f>IF(OR(REBANHO!J45=0,REBANHO!J45=""),"",REBANHO!J45)</f>
        <v>34</v>
      </c>
      <c r="J158" s="681" t="str">
        <f>IF(OR(REBANHO!K45=0,REBANHO!K45=""),"",REBANHO!K45)</f>
        <v/>
      </c>
      <c r="K158" s="681" t="str">
        <f>IF(OR(REBANHO!L45=0,REBANHO!L45=""),"",REBANHO!L45)</f>
        <v/>
      </c>
      <c r="L158" s="681" t="str">
        <f>IF(OR(REBANHO!M45=0,REBANHO!M45=""),"",REBANHO!M45)</f>
        <v/>
      </c>
      <c r="M158" s="681" t="str">
        <f>IF(OR(REBANHO!N45=0,REBANHO!N45=""),"",REBANHO!N45)</f>
        <v/>
      </c>
      <c r="N158" s="681" t="str">
        <f>IF(OR(REBANHO!O45=0,REBANHO!O45=""),"",REBANHO!O45)</f>
        <v/>
      </c>
      <c r="O158" s="682" t="str">
        <f>IF(OR(REBANHO!P45=0,REBANHO!P45=""),"",REBANHO!P45)</f>
        <v/>
      </c>
      <c r="P158" s="683">
        <f t="shared" si="32"/>
        <v>34</v>
      </c>
      <c r="Q158" s="970"/>
      <c r="R158" s="783"/>
      <c r="S158" s="783"/>
      <c r="T158" s="783"/>
      <c r="U158" s="783"/>
      <c r="V158" s="783"/>
      <c r="W158" s="783"/>
      <c r="X158" s="783"/>
      <c r="Y158" s="783"/>
    </row>
    <row r="159" spans="1:25" ht="15.75" hidden="1" thickBot="1">
      <c r="A159" s="670"/>
      <c r="B159" s="684" t="s">
        <v>13</v>
      </c>
      <c r="C159" s="685" t="s">
        <v>175</v>
      </c>
      <c r="D159" s="686" t="str">
        <f t="shared" ref="D159:O159" si="34">IF(AND(D157="",D158=""),"",SUM(D157:D158))</f>
        <v/>
      </c>
      <c r="E159" s="686" t="str">
        <f t="shared" si="34"/>
        <v/>
      </c>
      <c r="F159" s="686" t="str">
        <f t="shared" si="34"/>
        <v/>
      </c>
      <c r="G159" s="686" t="str">
        <f t="shared" si="34"/>
        <v/>
      </c>
      <c r="H159" s="686" t="str">
        <f t="shared" si="34"/>
        <v/>
      </c>
      <c r="I159" s="686">
        <f t="shared" si="34"/>
        <v>340</v>
      </c>
      <c r="J159" s="686" t="str">
        <f t="shared" si="34"/>
        <v/>
      </c>
      <c r="K159" s="686" t="str">
        <f t="shared" si="34"/>
        <v/>
      </c>
      <c r="L159" s="686" t="str">
        <f t="shared" si="34"/>
        <v/>
      </c>
      <c r="M159" s="686" t="str">
        <f t="shared" si="34"/>
        <v/>
      </c>
      <c r="N159" s="686" t="str">
        <f t="shared" si="34"/>
        <v/>
      </c>
      <c r="O159" s="687" t="str">
        <f t="shared" si="34"/>
        <v/>
      </c>
      <c r="P159" s="975">
        <f t="shared" si="32"/>
        <v>340</v>
      </c>
      <c r="Q159" s="970"/>
      <c r="R159" s="783"/>
      <c r="S159" s="783"/>
      <c r="T159" s="783"/>
      <c r="U159" s="783"/>
      <c r="V159" s="783"/>
      <c r="W159" s="783"/>
      <c r="X159" s="783"/>
      <c r="Y159" s="783"/>
    </row>
    <row r="160" spans="1:25" hidden="1">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c r="A161" s="670"/>
      <c r="B161" s="679" t="s">
        <v>14</v>
      </c>
      <c r="C161" s="680" t="s">
        <v>172</v>
      </c>
      <c r="D161" s="681" t="str">
        <f>IF(OR(REBANHO!E50=0,REBANHO!E50=""),"",REBANHO!E50)</f>
        <v/>
      </c>
      <c r="E161" s="681" t="str">
        <f>IF(OR(REBANHO!F50=0,REBANHO!F50=""),"",REBANHO!F50)</f>
        <v/>
      </c>
      <c r="F161" s="681" t="str">
        <f>IF(OR(REBANHO!G50=0,REBANHO!G50=""),"",REBANHO!G50)</f>
        <v/>
      </c>
      <c r="G161" s="681" t="str">
        <f>IF(OR(REBANHO!H50=0,REBANHO!H50=""),"",REBANHO!H50)</f>
        <v/>
      </c>
      <c r="H161" s="681" t="str">
        <f>IF(OR(REBANHO!I50=0,REBANHO!I50=""),"",REBANHO!I50)</f>
        <v/>
      </c>
      <c r="I161" s="681" t="str">
        <f>IF(OR(REBANHO!J50=0,REBANHO!J50=""),"",REBANHO!J50)</f>
        <v/>
      </c>
      <c r="J161" s="681" t="str">
        <f>IF(OR(REBANHO!K50=0,REBANHO!K50=""),"",REBANHO!K50)</f>
        <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t="e">
        <f t="shared" si="32"/>
        <v>#DIV/0!</v>
      </c>
      <c r="Q161" s="970"/>
      <c r="R161" s="783"/>
      <c r="S161" s="783"/>
      <c r="T161" s="783"/>
      <c r="U161" s="783"/>
      <c r="V161" s="783"/>
      <c r="W161" s="783"/>
      <c r="X161" s="783"/>
      <c r="Y161" s="783"/>
    </row>
    <row r="162" spans="1:25" ht="15.75" hidden="1" thickBot="1">
      <c r="A162" s="670"/>
      <c r="B162" s="684" t="s">
        <v>14</v>
      </c>
      <c r="C162" s="685" t="s">
        <v>175</v>
      </c>
      <c r="D162" s="686" t="str">
        <f t="shared" ref="D162:O162" si="35">IF(AND(D160="",D161=""),"",SUM(D160:D161))</f>
        <v/>
      </c>
      <c r="E162" s="686" t="str">
        <f t="shared" si="35"/>
        <v/>
      </c>
      <c r="F162" s="686" t="str">
        <f t="shared" si="35"/>
        <v/>
      </c>
      <c r="G162" s="686" t="str">
        <f t="shared" si="35"/>
        <v/>
      </c>
      <c r="H162" s="686" t="str">
        <f t="shared" si="35"/>
        <v/>
      </c>
      <c r="I162" s="686" t="str">
        <f t="shared" si="35"/>
        <v/>
      </c>
      <c r="J162" s="686" t="str">
        <f t="shared" si="35"/>
        <v/>
      </c>
      <c r="K162" s="686" t="str">
        <f t="shared" si="35"/>
        <v/>
      </c>
      <c r="L162" s="686" t="str">
        <f t="shared" si="35"/>
        <v/>
      </c>
      <c r="M162" s="686" t="str">
        <f t="shared" si="35"/>
        <v/>
      </c>
      <c r="N162" s="686" t="str">
        <f t="shared" si="35"/>
        <v/>
      </c>
      <c r="O162" s="687" t="str">
        <f t="shared" si="35"/>
        <v/>
      </c>
      <c r="P162" s="975" t="e">
        <f t="shared" si="32"/>
        <v>#DIV/0!</v>
      </c>
      <c r="Q162" s="970"/>
      <c r="R162" s="783"/>
      <c r="S162" s="783"/>
      <c r="T162" s="783"/>
      <c r="U162" s="783"/>
      <c r="V162" s="783"/>
      <c r="W162" s="783"/>
      <c r="X162" s="783"/>
      <c r="Y162" s="783"/>
    </row>
    <row r="163" spans="1:25" hidden="1">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f>IF(OR(REBANHO!J53=0,REBANHO!J53=""),"",REBANHO!J53)</f>
        <v>272</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f t="shared" si="32"/>
        <v>272</v>
      </c>
      <c r="Q163" s="970"/>
      <c r="R163" s="783"/>
      <c r="S163" s="783"/>
      <c r="T163" s="783"/>
      <c r="U163" s="783"/>
      <c r="V163" s="783"/>
      <c r="W163" s="783"/>
      <c r="X163" s="783"/>
      <c r="Y163" s="783"/>
    </row>
    <row r="164" spans="1:25" hidden="1">
      <c r="A164" s="670"/>
      <c r="B164" s="679" t="s">
        <v>106</v>
      </c>
      <c r="C164" s="680" t="s">
        <v>172</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f>IF(OR(REBANHO!J55=0,REBANHO!J55=""),"",REBANHO!J55)</f>
        <v>12</v>
      </c>
      <c r="J164" s="681" t="str">
        <f>IF(OR(REBANHO!K55=0,REBANHO!K55=""),"",REBANHO!K55)</f>
        <v/>
      </c>
      <c r="K164" s="681" t="str">
        <f>IF(OR(REBANHO!L55=0,REBANHO!L55=""),"",REBANHO!L55)</f>
        <v/>
      </c>
      <c r="L164" s="681" t="str">
        <f>IF(OR(REBANHO!M55=0,REBANHO!M55=""),"",REBANHO!M55)</f>
        <v/>
      </c>
      <c r="M164" s="681" t="str">
        <f>IF(OR(REBANHO!N55=0,REBANHO!N55=""),"",REBANHO!N55)</f>
        <v/>
      </c>
      <c r="N164" s="681" t="str">
        <f>IF(OR(REBANHO!O55=0,REBANHO!O55=""),"",REBANHO!O55)</f>
        <v/>
      </c>
      <c r="O164" s="682" t="str">
        <f>IF(OR(REBANHO!P55=0,REBANHO!P55=""),"",REBANHO!P55)</f>
        <v/>
      </c>
      <c r="P164" s="683">
        <f t="shared" si="32"/>
        <v>12</v>
      </c>
      <c r="Q164" s="970"/>
      <c r="R164" s="783"/>
      <c r="S164" s="783"/>
      <c r="T164" s="783"/>
      <c r="U164" s="783"/>
      <c r="V164" s="783"/>
      <c r="W164" s="783"/>
      <c r="X164" s="783"/>
      <c r="Y164" s="783"/>
    </row>
    <row r="165" spans="1:25" ht="15.75" hidden="1" thickBot="1">
      <c r="A165" s="670"/>
      <c r="B165" s="689" t="s">
        <v>237</v>
      </c>
      <c r="C165" s="690" t="s">
        <v>175</v>
      </c>
      <c r="D165" s="691" t="str">
        <f t="shared" ref="D165:O165" si="36">IF(AND(D163="",D164=""),"",SUM(D163:D164))</f>
        <v/>
      </c>
      <c r="E165" s="691" t="str">
        <f t="shared" si="36"/>
        <v/>
      </c>
      <c r="F165" s="691" t="str">
        <f t="shared" si="36"/>
        <v/>
      </c>
      <c r="G165" s="691" t="str">
        <f t="shared" si="36"/>
        <v/>
      </c>
      <c r="H165" s="691" t="str">
        <f t="shared" si="36"/>
        <v/>
      </c>
      <c r="I165" s="691">
        <f t="shared" si="36"/>
        <v>284</v>
      </c>
      <c r="J165" s="691" t="str">
        <f t="shared" si="36"/>
        <v/>
      </c>
      <c r="K165" s="691" t="str">
        <f t="shared" si="36"/>
        <v/>
      </c>
      <c r="L165" s="691" t="str">
        <f t="shared" si="36"/>
        <v/>
      </c>
      <c r="M165" s="691" t="str">
        <f t="shared" si="36"/>
        <v/>
      </c>
      <c r="N165" s="691" t="str">
        <f t="shared" si="36"/>
        <v/>
      </c>
      <c r="O165" s="692" t="str">
        <f t="shared" si="36"/>
        <v/>
      </c>
      <c r="P165" s="976">
        <f t="shared" si="32"/>
        <v>284</v>
      </c>
      <c r="Q165" s="970"/>
      <c r="R165" s="783"/>
      <c r="S165" s="783"/>
      <c r="T165" s="783"/>
      <c r="U165" s="783"/>
      <c r="V165" s="783"/>
      <c r="W165" s="783"/>
      <c r="X165" s="783"/>
      <c r="Y165" s="783"/>
    </row>
    <row r="166" spans="1:25" ht="15.75" hidden="1" thickBot="1">
      <c r="A166" s="670"/>
      <c r="B166" s="694" t="s">
        <v>249</v>
      </c>
      <c r="C166" s="695"/>
      <c r="D166" s="696">
        <f t="shared" ref="D166:O166" si="37">SUM(D156,D159,D162,D165)</f>
        <v>0</v>
      </c>
      <c r="E166" s="696">
        <f t="shared" si="37"/>
        <v>0</v>
      </c>
      <c r="F166" s="696">
        <f t="shared" si="37"/>
        <v>0</v>
      </c>
      <c r="G166" s="696">
        <f t="shared" si="37"/>
        <v>0</v>
      </c>
      <c r="H166" s="696">
        <f t="shared" si="37"/>
        <v>0</v>
      </c>
      <c r="I166" s="696">
        <f t="shared" si="37"/>
        <v>839</v>
      </c>
      <c r="J166" s="696">
        <f t="shared" si="37"/>
        <v>0</v>
      </c>
      <c r="K166" s="696">
        <f t="shared" si="37"/>
        <v>0</v>
      </c>
      <c r="L166" s="696">
        <f t="shared" si="37"/>
        <v>0</v>
      </c>
      <c r="M166" s="696">
        <f t="shared" si="37"/>
        <v>0</v>
      </c>
      <c r="N166" s="696">
        <f t="shared" si="37"/>
        <v>0</v>
      </c>
      <c r="O166" s="697">
        <f t="shared" si="37"/>
        <v>0</v>
      </c>
      <c r="P166" s="698">
        <f t="shared" si="32"/>
        <v>69.916666666666671</v>
      </c>
      <c r="Q166" s="969"/>
      <c r="R166" s="783"/>
      <c r="S166" s="783"/>
      <c r="T166" s="783"/>
      <c r="U166" s="783"/>
      <c r="V166" s="783"/>
      <c r="W166" s="783"/>
      <c r="X166" s="783"/>
      <c r="Y166" s="783"/>
    </row>
    <row r="167" spans="1:25" hidden="1">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c r="A169" s="670"/>
      <c r="B169" s="971" t="s">
        <v>173</v>
      </c>
      <c r="C169" s="972" t="s">
        <v>465</v>
      </c>
      <c r="D169" s="973"/>
      <c r="E169" s="973"/>
      <c r="F169" s="973"/>
      <c r="G169" s="973"/>
      <c r="H169" s="973"/>
      <c r="I169" s="973"/>
      <c r="J169" s="973"/>
      <c r="K169" s="973"/>
      <c r="L169" s="973"/>
      <c r="M169" s="973"/>
      <c r="N169" s="973"/>
      <c r="O169" s="973"/>
      <c r="P169" s="671" t="s">
        <v>254</v>
      </c>
      <c r="Q169" s="678"/>
      <c r="R169" s="783"/>
      <c r="S169" s="783"/>
      <c r="T169" s="783"/>
      <c r="U169" s="783"/>
      <c r="V169" s="783"/>
      <c r="W169" s="783"/>
      <c r="X169" s="783"/>
      <c r="Y169" s="783"/>
    </row>
    <row r="170" spans="1:25" hidden="1">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f>IF(OR(REBANHO!J38=0,REBANHO!J38=""),"",(REBANHO!J38*REBANHO!J39)/14.689)</f>
        <v>1102.8660902716317</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f t="shared" ref="P170:P182" si="38">AVERAGE(D170:O170)</f>
        <v>1102.8660902716317</v>
      </c>
      <c r="Q170" s="678"/>
      <c r="R170" s="783"/>
      <c r="S170" s="783"/>
      <c r="T170" s="783"/>
      <c r="U170" s="783"/>
      <c r="V170" s="783"/>
      <c r="W170" s="783"/>
      <c r="X170" s="783"/>
      <c r="Y170" s="783"/>
    </row>
    <row r="171" spans="1:25" hidden="1">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f>IF(OR(REBANHO!J40=0,REBANHO!J40=""),"",(REBANHO!J40*REBANHO!J41)/14.689)</f>
        <v>1165.4979916944653</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f t="shared" si="38"/>
        <v>1165.4979916944653</v>
      </c>
      <c r="Q171" s="678"/>
      <c r="R171" s="783"/>
      <c r="S171" s="783"/>
      <c r="T171" s="783"/>
      <c r="U171" s="783"/>
      <c r="V171" s="783"/>
      <c r="W171" s="783"/>
      <c r="X171" s="783"/>
      <c r="Y171" s="783"/>
    </row>
    <row r="172" spans="1:25" ht="15.75" hidden="1" thickBot="1">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f t="shared" si="39"/>
        <v>2268.3640819660968</v>
      </c>
      <c r="J172" s="991" t="str">
        <f t="shared" si="39"/>
        <v/>
      </c>
      <c r="K172" s="991" t="str">
        <f t="shared" si="39"/>
        <v/>
      </c>
      <c r="L172" s="991" t="str">
        <f t="shared" si="39"/>
        <v/>
      </c>
      <c r="M172" s="991" t="str">
        <f t="shared" si="39"/>
        <v/>
      </c>
      <c r="N172" s="991" t="str">
        <f t="shared" si="39"/>
        <v/>
      </c>
      <c r="O172" s="991" t="str">
        <f t="shared" si="39"/>
        <v/>
      </c>
      <c r="P172" s="998">
        <f t="shared" si="38"/>
        <v>2268.3640819660968</v>
      </c>
      <c r="Q172" s="678"/>
      <c r="R172" s="783"/>
      <c r="S172" s="783"/>
      <c r="T172" s="783"/>
      <c r="U172" s="783"/>
      <c r="V172" s="783"/>
      <c r="W172" s="783"/>
      <c r="X172" s="783"/>
      <c r="Y172" s="783"/>
    </row>
    <row r="173" spans="1:25" hidden="1">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f>IF(OR(REBANHO!J43=0,REBANHO!J43=""),"",(REBANHO!J43*REBANHO!J44)/14.689)</f>
        <v>4791.3404588467556</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f t="shared" si="38"/>
        <v>4791.3404588467556</v>
      </c>
      <c r="Q173" s="678"/>
      <c r="R173" s="783"/>
      <c r="S173" s="783"/>
      <c r="T173" s="783"/>
      <c r="U173" s="783"/>
      <c r="V173" s="783"/>
      <c r="W173" s="783"/>
      <c r="X173" s="783"/>
      <c r="Y173" s="783"/>
    </row>
    <row r="174" spans="1:25" hidden="1">
      <c r="A174" s="670"/>
      <c r="B174" s="679" t="s">
        <v>13</v>
      </c>
      <c r="C174" s="680" t="s">
        <v>172</v>
      </c>
      <c r="D174" s="746" t="str">
        <f>IF(OR(REBANHO!E45=0,REBANHO!E45=""),"",(REBANHO!E45*REBANHO!E45)/14.689)</f>
        <v/>
      </c>
      <c r="E174" s="746" t="str">
        <f>IF(OR(REBANHO!F45=0,REBANHO!F45=""),"",(REBANHO!F45*REBANHO!F45)/14.689)</f>
        <v/>
      </c>
      <c r="F174" s="746" t="str">
        <f>IF(OR(REBANHO!G45=0,REBANHO!G45=""),"",(REBANHO!G45*REBANHO!G45)/14.689)</f>
        <v/>
      </c>
      <c r="G174" s="746" t="str">
        <f>IF(OR(REBANHO!H45=0,REBANHO!H45=""),"",(REBANHO!H45*REBANHO!H45)/14.689)</f>
        <v/>
      </c>
      <c r="H174" s="746" t="str">
        <f>IF(OR(REBANHO!I45=0,REBANHO!I45=""),"",(REBANHO!I45*REBANHO!I45)/14.689)</f>
        <v/>
      </c>
      <c r="I174" s="746">
        <f>IF(OR(REBANHO!J45=0,REBANHO!J45=""),"",(REBANHO!J45*REBANHO!J45)/14.689)</f>
        <v>78.698345700864593</v>
      </c>
      <c r="J174" s="746" t="str">
        <f>IF(OR(REBANHO!K45=0,REBANHO!K45=""),"",(REBANHO!K45*REBANHO!K45)/14.689)</f>
        <v/>
      </c>
      <c r="K174" s="746" t="str">
        <f>IF(OR(REBANHO!L45=0,REBANHO!L45=""),"",(REBANHO!L45*REBANHO!L45)/14.689)</f>
        <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f t="shared" si="38"/>
        <v>78.698345700864593</v>
      </c>
      <c r="Q174" s="678"/>
      <c r="R174" s="783"/>
      <c r="S174" s="783"/>
      <c r="T174" s="783"/>
      <c r="U174" s="783"/>
      <c r="V174" s="783"/>
      <c r="W174" s="783"/>
      <c r="X174" s="783"/>
      <c r="Y174" s="783"/>
    </row>
    <row r="175" spans="1:25" ht="15.75" hidden="1" thickBot="1">
      <c r="A175" s="670"/>
      <c r="B175" s="989" t="s">
        <v>13</v>
      </c>
      <c r="C175" s="990" t="s">
        <v>175</v>
      </c>
      <c r="D175" s="991" t="str">
        <f t="shared" ref="D175:O175" si="40">IF(AND(D173="",D174=""),"",SUM(D173:D174))</f>
        <v/>
      </c>
      <c r="E175" s="991" t="str">
        <f t="shared" si="40"/>
        <v/>
      </c>
      <c r="F175" s="991" t="str">
        <f t="shared" si="40"/>
        <v/>
      </c>
      <c r="G175" s="991" t="str">
        <f t="shared" si="40"/>
        <v/>
      </c>
      <c r="H175" s="991" t="str">
        <f t="shared" si="40"/>
        <v/>
      </c>
      <c r="I175" s="991">
        <f t="shared" si="40"/>
        <v>4870.0388045476202</v>
      </c>
      <c r="J175" s="991" t="str">
        <f t="shared" si="40"/>
        <v/>
      </c>
      <c r="K175" s="991" t="str">
        <f t="shared" si="40"/>
        <v/>
      </c>
      <c r="L175" s="991" t="str">
        <f t="shared" si="40"/>
        <v/>
      </c>
      <c r="M175" s="991" t="str">
        <f t="shared" si="40"/>
        <v/>
      </c>
      <c r="N175" s="991" t="str">
        <f t="shared" si="40"/>
        <v/>
      </c>
      <c r="O175" s="991" t="str">
        <f t="shared" si="40"/>
        <v/>
      </c>
      <c r="P175" s="998">
        <f t="shared" si="38"/>
        <v>4870.0388045476202</v>
      </c>
      <c r="Q175" s="678"/>
      <c r="R175" s="783"/>
      <c r="S175" s="783"/>
      <c r="T175" s="783"/>
      <c r="U175" s="783"/>
      <c r="V175" s="783"/>
      <c r="W175" s="783"/>
      <c r="X175" s="783"/>
      <c r="Y175" s="783"/>
    </row>
    <row r="176" spans="1:25" hidden="1">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t="str">
        <f>IF(OR(REBANHO!H50=0,REBANHO!H50=""),"",(REBANHO!H50*REBANHO!H51)/14.689)</f>
        <v/>
      </c>
      <c r="H177" s="746" t="str">
        <f>IF(OR(REBANHO!I50=0,REBANHO!I50=""),"",(REBANHO!I50*REBANHO!I51)/14.689)</f>
        <v/>
      </c>
      <c r="I177" s="746" t="str">
        <f>IF(OR(REBANHO!J50=0,REBANHO!J50=""),"",(REBANHO!J50*REBANHO!J51)/14.689)</f>
        <v/>
      </c>
      <c r="J177" s="746" t="str">
        <f>IF(OR(REBANHO!K50=0,REBANHO!K50=""),"",(REBANHO!K50*REBANHO!K51)/14.689)</f>
        <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t="e">
        <f t="shared" si="38"/>
        <v>#DIV/0!</v>
      </c>
      <c r="Q177" s="678"/>
      <c r="R177" s="783"/>
      <c r="S177" s="783"/>
      <c r="T177" s="783"/>
      <c r="U177" s="783"/>
      <c r="V177" s="783"/>
      <c r="W177" s="783"/>
      <c r="X177" s="783"/>
      <c r="Y177" s="783"/>
    </row>
    <row r="178" spans="1:26" ht="15.75" hidden="1" thickBot="1">
      <c r="A178" s="670"/>
      <c r="B178" s="989" t="s">
        <v>14</v>
      </c>
      <c r="C178" s="990" t="s">
        <v>175</v>
      </c>
      <c r="D178" s="991" t="str">
        <f t="shared" ref="D178:O178" si="41">IF(AND(D176="",D177=""),"",SUM(D176:D177))</f>
        <v/>
      </c>
      <c r="E178" s="991" t="str">
        <f t="shared" si="41"/>
        <v/>
      </c>
      <c r="F178" s="991" t="str">
        <f t="shared" si="41"/>
        <v/>
      </c>
      <c r="G178" s="991" t="str">
        <f t="shared" si="41"/>
        <v/>
      </c>
      <c r="H178" s="991" t="str">
        <f t="shared" si="41"/>
        <v/>
      </c>
      <c r="I178" s="991" t="str">
        <f t="shared" si="41"/>
        <v/>
      </c>
      <c r="J178" s="991" t="str">
        <f t="shared" si="41"/>
        <v/>
      </c>
      <c r="K178" s="991" t="str">
        <f t="shared" si="41"/>
        <v/>
      </c>
      <c r="L178" s="991" t="str">
        <f t="shared" si="41"/>
        <v/>
      </c>
      <c r="M178" s="991" t="str">
        <f t="shared" si="41"/>
        <v/>
      </c>
      <c r="N178" s="991" t="str">
        <f t="shared" si="41"/>
        <v/>
      </c>
      <c r="O178" s="991" t="str">
        <f t="shared" si="41"/>
        <v/>
      </c>
      <c r="P178" s="998" t="e">
        <f t="shared" si="38"/>
        <v>#DIV/0!</v>
      </c>
      <c r="Q178" s="678"/>
      <c r="R178" s="783"/>
      <c r="S178" s="783"/>
      <c r="T178" s="783"/>
      <c r="U178" s="783"/>
      <c r="V178" s="783"/>
      <c r="W178" s="783"/>
      <c r="X178" s="783"/>
      <c r="Y178" s="783"/>
    </row>
    <row r="179" spans="1:26" hidden="1">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f>IF(OR(REBANHO!J53=0,REBANHO!J53=""),"",(REBANHO!J53*REBANHO!J54)/14.689)</f>
        <v>6666.2128123085304</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f t="shared" si="38"/>
        <v>6666.2128123085304</v>
      </c>
      <c r="Q179" s="678"/>
      <c r="R179" s="783"/>
      <c r="S179" s="783"/>
      <c r="T179" s="783"/>
      <c r="U179" s="783"/>
      <c r="V179" s="783"/>
      <c r="W179" s="783"/>
      <c r="X179" s="783"/>
      <c r="Y179" s="783"/>
    </row>
    <row r="180" spans="1:26" hidden="1">
      <c r="A180" s="670"/>
      <c r="B180" s="679" t="s">
        <v>106</v>
      </c>
      <c r="C180" s="680" t="s">
        <v>172</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f>IF(OR(REBANHO!J55=0,REBANHO!J55=""),"",(REBANHO!J55*REBANHO!J56)/14.689)</f>
        <v>441.14643610865272</v>
      </c>
      <c r="J180" s="746" t="str">
        <f>IF(OR(REBANHO!K55=0,REBANHO!K55=""),"",(REBANHO!K55*REBANHO!K56)/14.689)</f>
        <v/>
      </c>
      <c r="K180" s="746" t="str">
        <f>IF(OR(REBANHO!L55=0,REBANHO!L55=""),"",(REBANHO!L55*REBANHO!L56)/14.689)</f>
        <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f t="shared" si="38"/>
        <v>441.14643610865272</v>
      </c>
      <c r="Q180" s="678"/>
      <c r="R180" s="783"/>
      <c r="S180" s="783"/>
      <c r="T180" s="783"/>
      <c r="U180" s="783"/>
      <c r="V180" s="783"/>
      <c r="W180" s="783"/>
      <c r="X180" s="783"/>
      <c r="Y180" s="783"/>
    </row>
    <row r="181" spans="1:26" ht="15.75" hidden="1" thickBot="1">
      <c r="A181" s="670"/>
      <c r="B181" s="992" t="s">
        <v>237</v>
      </c>
      <c r="C181" s="993" t="s">
        <v>175</v>
      </c>
      <c r="D181" s="991" t="str">
        <f>IF(AND(D179="",D180=""),"",SUM(D179:D180))</f>
        <v/>
      </c>
      <c r="E181" s="991" t="str">
        <f t="shared" ref="E181:O181" si="42">IF(AND(E179="",E180=""),"",SUM(E179:E180))</f>
        <v/>
      </c>
      <c r="F181" s="991" t="str">
        <f t="shared" si="42"/>
        <v/>
      </c>
      <c r="G181" s="991" t="str">
        <f t="shared" si="42"/>
        <v/>
      </c>
      <c r="H181" s="991" t="str">
        <f t="shared" si="42"/>
        <v/>
      </c>
      <c r="I181" s="991">
        <f t="shared" si="42"/>
        <v>7107.3592484171832</v>
      </c>
      <c r="J181" s="991" t="str">
        <f t="shared" si="42"/>
        <v/>
      </c>
      <c r="K181" s="991" t="str">
        <f t="shared" si="42"/>
        <v/>
      </c>
      <c r="L181" s="991" t="str">
        <f t="shared" si="42"/>
        <v/>
      </c>
      <c r="M181" s="991" t="str">
        <f t="shared" si="42"/>
        <v/>
      </c>
      <c r="N181" s="991" t="str">
        <f t="shared" si="42"/>
        <v/>
      </c>
      <c r="O181" s="991" t="str">
        <f t="shared" si="42"/>
        <v/>
      </c>
      <c r="P181" s="999">
        <f t="shared" si="38"/>
        <v>7107.3592484171832</v>
      </c>
      <c r="Q181" s="678"/>
      <c r="R181" s="783"/>
      <c r="S181" s="783"/>
      <c r="T181" s="783"/>
      <c r="U181" s="783"/>
      <c r="V181" s="783"/>
      <c r="W181" s="783"/>
      <c r="X181" s="783"/>
      <c r="Y181" s="783"/>
    </row>
    <row r="182" spans="1:26" ht="15.75" hidden="1" thickBot="1">
      <c r="A182" s="670"/>
      <c r="B182" s="994" t="s">
        <v>249</v>
      </c>
      <c r="C182" s="995"/>
      <c r="D182" s="991">
        <f>SUM(D172,D175,D178,D181)</f>
        <v>0</v>
      </c>
      <c r="E182" s="991">
        <f t="shared" ref="E182:O182" si="43">SUM(E172,E175,E178,E181)</f>
        <v>0</v>
      </c>
      <c r="F182" s="991">
        <f t="shared" si="43"/>
        <v>0</v>
      </c>
      <c r="G182" s="991">
        <f t="shared" si="43"/>
        <v>0</v>
      </c>
      <c r="H182" s="991">
        <f t="shared" si="43"/>
        <v>0</v>
      </c>
      <c r="I182" s="991">
        <f t="shared" si="43"/>
        <v>14245.762134930901</v>
      </c>
      <c r="J182" s="991">
        <f t="shared" si="43"/>
        <v>0</v>
      </c>
      <c r="K182" s="991">
        <f t="shared" si="43"/>
        <v>0</v>
      </c>
      <c r="L182" s="991">
        <f t="shared" si="43"/>
        <v>0</v>
      </c>
      <c r="M182" s="991">
        <f t="shared" si="43"/>
        <v>0</v>
      </c>
      <c r="N182" s="991">
        <f t="shared" si="43"/>
        <v>0</v>
      </c>
      <c r="O182" s="991">
        <f t="shared" si="43"/>
        <v>0</v>
      </c>
      <c r="P182" s="1000">
        <f t="shared" si="38"/>
        <v>1187.1468445775752</v>
      </c>
      <c r="Q182" s="678"/>
      <c r="R182" s="783"/>
      <c r="S182" s="783"/>
      <c r="T182" s="783"/>
      <c r="U182" s="783"/>
      <c r="V182" s="783"/>
      <c r="W182" s="783"/>
      <c r="X182" s="783"/>
      <c r="Y182" s="783"/>
    </row>
    <row r="183" spans="1:26" hidden="1">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c r="A188" s="665"/>
      <c r="B188" s="941" t="s">
        <v>170</v>
      </c>
      <c r="C188" s="942" t="s">
        <v>473</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c r="A191" s="670"/>
      <c r="B191" s="224" t="s">
        <v>14</v>
      </c>
      <c r="C191" s="653">
        <f>P191+P197+P204</f>
        <v>0</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c r="A194" s="670"/>
      <c r="B194" s="224"/>
      <c r="C194" s="653">
        <f>SUM(C189:C193)</f>
        <v>0</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c r="A197" s="670"/>
      <c r="B197" s="224" t="s">
        <v>14</v>
      </c>
      <c r="C197" s="224"/>
      <c r="D197" s="228">
        <f>ENTRADAS!D31</f>
        <v>0</v>
      </c>
      <c r="E197" s="228">
        <f>ENTRADAS!E31</f>
        <v>0</v>
      </c>
      <c r="F197" s="228">
        <f>ENTRADAS!F31</f>
        <v>0</v>
      </c>
      <c r="G197" s="228">
        <f>ENTRADAS!G31</f>
        <v>0</v>
      </c>
      <c r="H197" s="228">
        <f>ENTRADAS!H31</f>
        <v>0</v>
      </c>
      <c r="I197" s="228">
        <f>ENTRADAS!I31</f>
        <v>0</v>
      </c>
      <c r="J197" s="228">
        <f>ENTRADAS!J31</f>
        <v>0</v>
      </c>
      <c r="K197" s="228">
        <f>ENTRADAS!K31</f>
        <v>0</v>
      </c>
      <c r="L197" s="228">
        <f>ENTRADAS!L31</f>
        <v>0</v>
      </c>
      <c r="M197" s="228">
        <f>ENTRADAS!M31</f>
        <v>0</v>
      </c>
      <c r="N197" s="228">
        <f>ENTRADAS!N31</f>
        <v>0</v>
      </c>
      <c r="O197" s="228">
        <f>ENTRADAS!O31</f>
        <v>0</v>
      </c>
      <c r="P197" s="228">
        <f>SUM(D197:O197)</f>
        <v>0</v>
      </c>
      <c r="Q197" s="672"/>
      <c r="R197" s="783"/>
      <c r="S197" s="783"/>
      <c r="T197" s="783"/>
      <c r="U197" s="783"/>
      <c r="V197" s="783"/>
      <c r="W197" s="783"/>
      <c r="X197" s="783"/>
      <c r="Y197" s="783"/>
      <c r="Z197" s="783"/>
    </row>
    <row r="198" spans="1:26" hidden="1">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c r="A208" s="670"/>
      <c r="B208" s="651" t="s">
        <v>170</v>
      </c>
      <c r="C208" s="977" t="s">
        <v>476</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c r="A211" s="670"/>
      <c r="B211" s="224" t="s">
        <v>14</v>
      </c>
      <c r="C211" s="300">
        <f>P211+P217</f>
        <v>0</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c r="A214" s="670"/>
      <c r="B214" s="224"/>
      <c r="C214" s="300">
        <f>SUM(C209:C213)</f>
        <v>0</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0</v>
      </c>
      <c r="K217" s="300">
        <f>(ENTRADAS!K31*ENTRADAS!K32)/14.689</f>
        <v>0</v>
      </c>
      <c r="L217" s="300">
        <f>(ENTRADAS!L31*ENTRADAS!L32)/14.689</f>
        <v>0</v>
      </c>
      <c r="M217" s="300">
        <f>(ENTRADAS!M31*ENTRADAS!M32)/14.689</f>
        <v>0</v>
      </c>
      <c r="N217" s="300">
        <f>(ENTRADAS!N31*ENTRADAS!N32)/14.689</f>
        <v>0</v>
      </c>
      <c r="O217" s="300">
        <f>(ENTRADAS!O31*ENTRADAS!O32)/14.689</f>
        <v>0</v>
      </c>
      <c r="P217" s="300">
        <f>SUM(D217:O217)</f>
        <v>0</v>
      </c>
      <c r="Q217" s="672"/>
      <c r="R217" s="783"/>
      <c r="S217" s="783"/>
      <c r="T217" s="783"/>
      <c r="U217" s="783"/>
      <c r="V217" s="783"/>
      <c r="W217" s="783"/>
      <c r="X217" s="783"/>
      <c r="Y217" s="783"/>
      <c r="Z217" s="783"/>
    </row>
    <row r="218" spans="1:26" hidden="1">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c r="A232" s="670"/>
      <c r="B232" s="224" t="s">
        <v>14</v>
      </c>
      <c r="C232" s="300">
        <f>P232+P238+P245</f>
        <v>0</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c r="A235" s="670"/>
      <c r="B235" s="224"/>
      <c r="C235" s="300">
        <f>SUM(C230:C234)</f>
        <v>0</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c r="A238" s="670"/>
      <c r="B238" s="224" t="s">
        <v>14</v>
      </c>
      <c r="C238" s="224"/>
      <c r="D238" s="300">
        <f>ENTRADAS!D34</f>
        <v>0</v>
      </c>
      <c r="E238" s="300">
        <f>ENTRADAS!E34</f>
        <v>0</v>
      </c>
      <c r="F238" s="300">
        <f>ENTRADAS!F34</f>
        <v>0</v>
      </c>
      <c r="G238" s="300">
        <f>ENTRADAS!G34</f>
        <v>0</v>
      </c>
      <c r="H238" s="300">
        <f>ENTRADAS!H34</f>
        <v>0</v>
      </c>
      <c r="I238" s="300">
        <f>ENTRADAS!I34</f>
        <v>0</v>
      </c>
      <c r="J238" s="300">
        <f>ENTRADAS!J34</f>
        <v>0</v>
      </c>
      <c r="K238" s="300">
        <f>ENTRADAS!K34</f>
        <v>0</v>
      </c>
      <c r="L238" s="300">
        <f>ENTRADAS!L34</f>
        <v>0</v>
      </c>
      <c r="M238" s="300">
        <f>ENTRADAS!M34</f>
        <v>0</v>
      </c>
      <c r="N238" s="300">
        <f>ENTRADAS!N34</f>
        <v>0</v>
      </c>
      <c r="O238" s="300">
        <f>ENTRADAS!O34</f>
        <v>0</v>
      </c>
      <c r="P238" s="300">
        <f>SUM(D238:O238)</f>
        <v>0</v>
      </c>
      <c r="Q238" s="672"/>
      <c r="R238" s="783"/>
      <c r="S238" s="783"/>
      <c r="T238" s="783"/>
      <c r="U238" s="783"/>
      <c r="V238" s="783"/>
      <c r="W238" s="783"/>
      <c r="X238" s="783"/>
      <c r="Y238" s="783"/>
      <c r="Z238" s="783"/>
    </row>
    <row r="239" spans="1:26" hidden="1">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c r="A249" s="665"/>
      <c r="B249" s="707"/>
      <c r="C249" s="666"/>
      <c r="D249" s="668"/>
      <c r="E249" s="668"/>
      <c r="F249" s="668"/>
      <c r="G249" s="668"/>
      <c r="H249" s="668"/>
      <c r="I249" s="668"/>
      <c r="J249" s="668"/>
      <c r="K249" s="668"/>
      <c r="L249" s="668"/>
      <c r="M249" s="668"/>
      <c r="N249" s="668"/>
      <c r="O249" s="668"/>
      <c r="P249" s="666"/>
      <c r="Q249" s="705"/>
    </row>
    <row r="250" spans="1:26" ht="15.75" hidden="1" thickBot="1">
      <c r="A250" s="670"/>
      <c r="B250" s="708" t="s">
        <v>193</v>
      </c>
      <c r="C250" s="709" t="s">
        <v>475</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f>IF(OR(REBANHO!J42=0,REBANHO!J42=""),"",SUM(I230,I243)/REBANHO!J42)</f>
        <v>0</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c r="A255" s="670"/>
      <c r="B255" s="711" t="s">
        <v>196</v>
      </c>
      <c r="C255" s="712"/>
      <c r="D255" s="713" t="str">
        <f>IF(OR(REBANHO!E47=0,REBANHO!E47=""),"",SUM(D231,D244)/REBANHO!E47)</f>
        <v/>
      </c>
      <c r="E255" s="713" t="str">
        <f>IF(OR(REBANHO!F47=0,REBANHO!F47=""),"",SUM(E231,E244)/REBANHO!F47)</f>
        <v/>
      </c>
      <c r="F255" s="713" t="str">
        <f>IF(OR(REBANHO!G47=0,REBANHO!G47=""),"",SUM(F231,F244)/REBANHO!G47)</f>
        <v/>
      </c>
      <c r="G255" s="713" t="str">
        <f>IF(OR(REBANHO!H47=0,REBANHO!H47=""),"",SUM(G231,G244)/REBANHO!H47)</f>
        <v/>
      </c>
      <c r="H255" s="713" t="str">
        <f>IF(OR(REBANHO!I47=0,REBANHO!I47=""),"",SUM(H231,H244)/REBANHO!I47)</f>
        <v/>
      </c>
      <c r="I255" s="713">
        <f>IF(OR(REBANHO!J47=0,REBANHO!J47=""),"",SUM(I231,I244)/REBANHO!J47)</f>
        <v>0</v>
      </c>
      <c r="J255" s="713" t="str">
        <f>IF(OR(REBANHO!K47=0,REBANHO!K47=""),"",SUM(J231,J244)/REBANHO!K47)</f>
        <v/>
      </c>
      <c r="K255" s="713" t="str">
        <f>IF(OR(REBANHO!L47=0,REBANHO!L47=""),"",SUM(K231,K244)/REBANHO!L47)</f>
        <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c r="A256" s="670"/>
      <c r="B256" s="715" t="s">
        <v>198</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c r="A258" s="670"/>
      <c r="B258" s="719" t="s">
        <v>209</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t="str">
        <f>IF(OR(REBANHO!H52=0,REBANHO!H52=""),"",SUM(G232,G238,G245)/REBANHO!H52)</f>
        <v/>
      </c>
      <c r="H259" s="713" t="str">
        <f>IF(OR(REBANHO!I52=0,REBANHO!I52=""),"",SUM(H232,H238,H245)/REBANHO!I52)</f>
        <v/>
      </c>
      <c r="I259" s="713" t="str">
        <f>IF(OR(REBANHO!J52=0,REBANHO!J52=""),"",SUM(I232,I238,I245)/REBANHO!J52)</f>
        <v/>
      </c>
      <c r="J259" s="713" t="str">
        <f>IF(OR(REBANHO!K52=0,REBANHO!K52=""),"",SUM(J232,J238,J245)/REBANHO!K52)</f>
        <v/>
      </c>
      <c r="K259" s="713" t="str">
        <f>IF(OR(REBANHO!L52=0,REBANHO!L52=""),"",SUM(K232,K238,K245)/REBANHO!L52)</f>
        <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t="str">
        <f t="shared" si="51"/>
        <v/>
      </c>
      <c r="K261" s="721" t="str">
        <f t="shared" si="51"/>
        <v/>
      </c>
      <c r="L261" s="721" t="str">
        <f t="shared" si="51"/>
        <v/>
      </c>
      <c r="M261" s="721" t="str">
        <f t="shared" si="51"/>
        <v/>
      </c>
      <c r="N261" s="721" t="str">
        <f t="shared" si="51"/>
        <v/>
      </c>
      <c r="O261" s="721" t="str">
        <f t="shared" si="51"/>
        <v/>
      </c>
      <c r="P261" s="718"/>
      <c r="Q261" s="706"/>
    </row>
    <row r="262" spans="1:17" hidden="1">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t="str">
        <f t="shared" si="53"/>
        <v/>
      </c>
      <c r="K263" s="721" t="str">
        <f t="shared" si="53"/>
        <v/>
      </c>
      <c r="L263" s="721" t="str">
        <f t="shared" si="53"/>
        <v/>
      </c>
      <c r="M263" s="721" t="str">
        <f t="shared" si="53"/>
        <v/>
      </c>
      <c r="N263" s="721" t="str">
        <f t="shared" si="53"/>
        <v/>
      </c>
      <c r="O263" s="721" t="str">
        <f t="shared" si="53"/>
        <v/>
      </c>
      <c r="P263" s="718"/>
      <c r="Q263" s="706"/>
    </row>
    <row r="264" spans="1:17" hidden="1">
      <c r="A264" s="670"/>
      <c r="B264" s="711" t="s">
        <v>210</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f>IF(OR(REBANHO!J57=0,REBANHO!J57=""),"",SUM(I233,I234,I239,I240,I246)/REBANHO!J57)</f>
        <v>0</v>
      </c>
      <c r="J264" s="713" t="str">
        <f>IF(OR(REBANHO!K57=0,REBANHO!K57=""),"",SUM(J233,J234,J239,J240,J246)/REBANHO!K57)</f>
        <v/>
      </c>
      <c r="K264" s="713" t="str">
        <f>IF(OR(REBANHO!L57=0,REBANHO!L57=""),"",SUM(K233,K234,K239,K240,K246)/REBANHO!L57)</f>
        <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c r="A269" s="670"/>
      <c r="B269" s="711" t="s">
        <v>440</v>
      </c>
      <c r="C269" s="712"/>
      <c r="D269" s="713" t="str">
        <f>IF(OR(REBANHO!E58=0,REBANHO!E58=""),"",SUM(D230:D246)/REBANHO!E58)</f>
        <v/>
      </c>
      <c r="E269" s="713" t="str">
        <f>IF(OR(REBANHO!F58=0,REBANHO!F58=""),"",SUM(E230:E246)/REBANHO!F58)</f>
        <v/>
      </c>
      <c r="F269" s="713" t="str">
        <f>IF(OR(REBANHO!G58=0,REBANHO!G58=""),"",SUM(F230:F246)/REBANHO!G58)</f>
        <v/>
      </c>
      <c r="G269" s="713" t="str">
        <f>IF(OR(REBANHO!H58=0,REBANHO!H58=""),"",SUM(G230:G246)/REBANHO!H58)</f>
        <v/>
      </c>
      <c r="H269" s="713" t="str">
        <f>IF(OR(REBANHO!I58=0,REBANHO!I58=""),"",SUM(H230:H246)/REBANHO!I58)</f>
        <v/>
      </c>
      <c r="I269" s="713">
        <f>IF(OR(REBANHO!J58=0,REBANHO!J58=""),"",SUM(I230:I246)/REBANHO!J58)</f>
        <v>0</v>
      </c>
      <c r="J269" s="713" t="str">
        <f>IF(OR(REBANHO!K58=0,REBANHO!K58=""),"",SUM(J230:J246)/REBANHO!K58)</f>
        <v/>
      </c>
      <c r="K269" s="713" t="str">
        <f>IF(OR(REBANHO!L58=0,REBANHO!L58=""),"",SUM(K230:K246)/REBANHO!L58)</f>
        <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c r="A270" s="670"/>
      <c r="B270" s="715" t="s">
        <v>441</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c r="A271" s="670"/>
      <c r="B271" s="719" t="s">
        <v>442</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t="str">
        <f t="shared" si="59"/>
        <v/>
      </c>
      <c r="K271" s="717" t="str">
        <f t="shared" si="59"/>
        <v/>
      </c>
      <c r="L271" s="717" t="str">
        <f t="shared" si="59"/>
        <v/>
      </c>
      <c r="M271" s="717" t="str">
        <f t="shared" si="59"/>
        <v/>
      </c>
      <c r="N271" s="717" t="str">
        <f t="shared" si="59"/>
        <v/>
      </c>
      <c r="O271" s="717" t="str">
        <f t="shared" si="59"/>
        <v/>
      </c>
      <c r="P271" s="718"/>
      <c r="Q271" s="706"/>
    </row>
    <row r="272" spans="1:17" hidden="1">
      <c r="A272" s="670"/>
      <c r="B272" s="719" t="s">
        <v>443</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c r="A273" s="670"/>
      <c r="B273" s="1005" t="s">
        <v>444</v>
      </c>
      <c r="C273" s="1006"/>
      <c r="D273" s="1024" t="str">
        <f>IF(SUM(D254,D258,D263,D268)=0,"",SUM(D254,D258,D263,D268))</f>
        <v/>
      </c>
      <c r="E273" s="1024" t="str">
        <f t="shared" ref="E273:O273" si="61">IF(SUM(E254,E258,E263,E268)=0,"",SUM(E254,E258,E263,E268))</f>
        <v/>
      </c>
      <c r="F273" s="1024" t="str">
        <f t="shared" si="61"/>
        <v/>
      </c>
      <c r="G273" s="1024" t="str">
        <f t="shared" si="61"/>
        <v/>
      </c>
      <c r="H273" s="1024" t="str">
        <f t="shared" si="61"/>
        <v/>
      </c>
      <c r="I273" s="1024" t="str">
        <f t="shared" si="61"/>
        <v/>
      </c>
      <c r="J273" s="1024" t="str">
        <f t="shared" si="61"/>
        <v/>
      </c>
      <c r="K273" s="1024" t="str">
        <f t="shared" si="61"/>
        <v/>
      </c>
      <c r="L273" s="1024" t="str">
        <f t="shared" si="61"/>
        <v/>
      </c>
      <c r="M273" s="1024" t="str">
        <f t="shared" si="61"/>
        <v/>
      </c>
      <c r="N273" s="1024" t="str">
        <f t="shared" si="61"/>
        <v/>
      </c>
      <c r="O273" s="1024" t="str">
        <f t="shared" si="61"/>
        <v/>
      </c>
      <c r="P273" s="1025"/>
      <c r="Q273" s="706"/>
    </row>
    <row r="274" spans="1:17" ht="15.75" hidden="1" thickBot="1">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c r="A275" s="670"/>
      <c r="B275" s="1020" t="s">
        <v>481</v>
      </c>
      <c r="C275" s="1012" t="s">
        <v>475</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f>IF(OR(REBANHO!J101=0,REBANHO!J101=""),"",SUM(I230,I243)/REBANHO!J101)</f>
        <v>0</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c r="A280" s="670"/>
      <c r="B280" s="711" t="s">
        <v>196</v>
      </c>
      <c r="C280" s="712"/>
      <c r="D280" s="713" t="str">
        <f>IF(OR(REBANHO!E102=0,REBANHO!E102=""),"",SUM(D231,D244)/REBANHO!E102)</f>
        <v/>
      </c>
      <c r="E280" s="713" t="str">
        <f>IF(OR(REBANHO!F102=0,REBANHO!F102=""),"",SUM(E231,E244)/REBANHO!F102)</f>
        <v/>
      </c>
      <c r="F280" s="713" t="str">
        <f>IF(OR(REBANHO!G102=0,REBANHO!G102=""),"",SUM(F231,F244)/REBANHO!G102)</f>
        <v/>
      </c>
      <c r="G280" s="713" t="str">
        <f>IF(OR(REBANHO!H102=0,REBANHO!H102=""),"",SUM(G231,G244)/REBANHO!H102)</f>
        <v/>
      </c>
      <c r="H280" s="713" t="str">
        <f>IF(OR(REBANHO!I102=0,REBANHO!I102=""),"",SUM(H231,H244)/REBANHO!I102)</f>
        <v/>
      </c>
      <c r="I280" s="713">
        <f>IF(OR(REBANHO!J102=0,REBANHO!J102=""),"",SUM(I231,I244)/REBANHO!J102)</f>
        <v>0</v>
      </c>
      <c r="J280" s="713" t="str">
        <f>IF(OR(REBANHO!K102=0,REBANHO!K102=""),"",SUM(J231,J244)/REBANHO!K102)</f>
        <v/>
      </c>
      <c r="K280" s="713" t="str">
        <f>IF(OR(REBANHO!L102=0,REBANHO!L102=""),"",SUM(K231,K244)/REBANHO!L102)</f>
        <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c r="A281" s="670"/>
      <c r="B281" s="1010" t="s">
        <v>198</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c r="A283" s="670"/>
      <c r="B283" s="1011" t="s">
        <v>209</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t="str">
        <f>IF(OR(REBANHO!H103=0,REBANHO!H103=""),"",SUM(G232,G238,G245)/REBANHO!H103)</f>
        <v/>
      </c>
      <c r="H284" s="713" t="str">
        <f>IF(OR(REBANHO!I103=0,REBANHO!I103=""),"",SUM(H232,H238,H245)/REBANHO!I103)</f>
        <v/>
      </c>
      <c r="I284" s="713" t="str">
        <f>IF(OR(REBANHO!J103=0,REBANHO!J103=""),"",SUM(I232,I238,I245)/REBANHO!J103)</f>
        <v/>
      </c>
      <c r="J284" s="713" t="str">
        <f>IF(OR(REBANHO!K103=0,REBANHO!K103=""),"",SUM(J232,J238,J245)/REBANHO!K103)</f>
        <v/>
      </c>
      <c r="K284" s="713" t="str">
        <f>IF(OR(REBANHO!L103=0,REBANHO!L103=""),"",SUM(K232,K238,K245)/REBANHO!L103)</f>
        <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t="str">
        <f t="shared" si="69"/>
        <v/>
      </c>
      <c r="K286" s="1017" t="str">
        <f t="shared" si="69"/>
        <v/>
      </c>
      <c r="L286" s="1017" t="str">
        <f t="shared" si="69"/>
        <v/>
      </c>
      <c r="M286" s="1017" t="str">
        <f t="shared" si="69"/>
        <v/>
      </c>
      <c r="N286" s="1017" t="str">
        <f t="shared" si="69"/>
        <v/>
      </c>
      <c r="O286" s="1017" t="str">
        <f t="shared" si="69"/>
        <v/>
      </c>
      <c r="P286" s="1032"/>
      <c r="Q286" s="706"/>
    </row>
    <row r="287" spans="1:17" hidden="1">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t="str">
        <f t="shared" si="71"/>
        <v/>
      </c>
      <c r="K288" s="1017" t="str">
        <f t="shared" si="71"/>
        <v/>
      </c>
      <c r="L288" s="1017" t="str">
        <f t="shared" si="71"/>
        <v/>
      </c>
      <c r="M288" s="1017" t="str">
        <f t="shared" si="71"/>
        <v/>
      </c>
      <c r="N288" s="1017" t="str">
        <f t="shared" si="71"/>
        <v/>
      </c>
      <c r="O288" s="1017" t="str">
        <f t="shared" si="71"/>
        <v/>
      </c>
      <c r="P288" s="1032"/>
      <c r="Q288" s="706"/>
    </row>
    <row r="289" spans="1:17" hidden="1">
      <c r="A289" s="670"/>
      <c r="B289" s="711" t="s">
        <v>210</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f>IF(OR(REBANHO!J104=0,REBANHO!J104=""),"",SUM(I233,I234,I239,I240,I246)/REBANHO!J104)</f>
        <v>0</v>
      </c>
      <c r="J289" s="713" t="str">
        <f>IF(OR(REBANHO!K104=0,REBANHO!K104=""),"",SUM(J233,J234,J239,J240,J246)/REBANHO!K104)</f>
        <v/>
      </c>
      <c r="K289" s="713" t="str">
        <f>IF(OR(REBANHO!L104=0,REBANHO!L104=""),"",SUM(K233,K234,K239,K240,K246)/REBANHO!L104)</f>
        <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c r="A294" s="670"/>
      <c r="B294" s="711" t="s">
        <v>440</v>
      </c>
      <c r="C294" s="712"/>
      <c r="D294" s="713" t="str">
        <f>IF(OR(REBANHO!E58=0,REBANHO!E58=""),"",SUM(D230:D246)/REBANHO!E105)</f>
        <v/>
      </c>
      <c r="E294" s="713" t="str">
        <f>IF(OR(REBANHO!F58=0,REBANHO!F58=""),"",SUM(E230:E246)/REBANHO!F105)</f>
        <v/>
      </c>
      <c r="F294" s="713" t="str">
        <f>IF(OR(REBANHO!G58=0,REBANHO!G58=""),"",SUM(F230:F246)/REBANHO!G105)</f>
        <v/>
      </c>
      <c r="G294" s="713" t="str">
        <f>IF(OR(REBANHO!H58=0,REBANHO!H58=""),"",SUM(G230:G246)/REBANHO!H105)</f>
        <v/>
      </c>
      <c r="H294" s="713" t="str">
        <f>IF(OR(REBANHO!I58=0,REBANHO!I58=""),"",SUM(H230:H246)/REBANHO!I105)</f>
        <v/>
      </c>
      <c r="I294" s="713">
        <f>IF(OR(REBANHO!J58=0,REBANHO!J58=""),"",SUM(I230:I246)/REBANHO!J105)</f>
        <v>0</v>
      </c>
      <c r="J294" s="713" t="str">
        <f>IF(OR(REBANHO!K58=0,REBANHO!K58=""),"",SUM(J230:J246)/REBANHO!K105)</f>
        <v/>
      </c>
      <c r="K294" s="713" t="str">
        <f>IF(OR(REBANHO!L58=0,REBANHO!L58=""),"",SUM(K230:K246)/REBANHO!L105)</f>
        <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c r="A295" s="670"/>
      <c r="B295" s="1010" t="s">
        <v>441</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c r="A296" s="670"/>
      <c r="B296" s="1011" t="s">
        <v>442</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t="str">
        <f t="shared" si="77"/>
        <v/>
      </c>
      <c r="K296" s="1015" t="str">
        <f t="shared" si="77"/>
        <v/>
      </c>
      <c r="L296" s="1015" t="str">
        <f t="shared" si="77"/>
        <v/>
      </c>
      <c r="M296" s="1015" t="str">
        <f t="shared" si="77"/>
        <v/>
      </c>
      <c r="N296" s="1015" t="str">
        <f t="shared" si="77"/>
        <v/>
      </c>
      <c r="O296" s="1015" t="str">
        <f t="shared" si="77"/>
        <v/>
      </c>
      <c r="P296" s="1034"/>
      <c r="Q296" s="706"/>
    </row>
    <row r="297" spans="1:17" hidden="1">
      <c r="A297" s="670"/>
      <c r="B297" s="1011" t="s">
        <v>443</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c r="A298" s="670"/>
      <c r="B298" s="1021" t="s">
        <v>444</v>
      </c>
      <c r="C298" s="1022"/>
      <c r="D298" s="1023" t="str">
        <f>IF(SUM(D295:D297)=0,"",SUM(D295:D297))</f>
        <v/>
      </c>
      <c r="E298" s="1023" t="str">
        <f t="shared" ref="E298:O298" si="79">IF(SUM(E295:E297)=0,"",SUM(E295:E297))</f>
        <v/>
      </c>
      <c r="F298" s="1023" t="str">
        <f t="shared" si="79"/>
        <v/>
      </c>
      <c r="G298" s="1023" t="str">
        <f t="shared" si="79"/>
        <v/>
      </c>
      <c r="H298" s="1023" t="str">
        <f t="shared" si="79"/>
        <v/>
      </c>
      <c r="I298" s="1023" t="str">
        <f t="shared" si="79"/>
        <v/>
      </c>
      <c r="J298" s="1023" t="str">
        <f t="shared" si="79"/>
        <v/>
      </c>
      <c r="K298" s="1023" t="str">
        <f t="shared" si="79"/>
        <v/>
      </c>
      <c r="L298" s="1023" t="str">
        <f t="shared" si="79"/>
        <v/>
      </c>
      <c r="M298" s="1023" t="str">
        <f t="shared" si="79"/>
        <v/>
      </c>
      <c r="N298" s="1023" t="str">
        <f t="shared" si="79"/>
        <v/>
      </c>
      <c r="O298" s="1023" t="str">
        <f t="shared" si="79"/>
        <v/>
      </c>
      <c r="P298" s="1035"/>
      <c r="Q298" s="706"/>
    </row>
    <row r="299" spans="1:17" hidden="1">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c r="A300" s="701"/>
      <c r="B300" s="702"/>
      <c r="C300" s="702"/>
      <c r="D300" s="702"/>
      <c r="E300" s="702"/>
      <c r="F300" s="702"/>
      <c r="G300" s="702"/>
      <c r="H300" s="702"/>
      <c r="I300" s="702"/>
      <c r="J300" s="702"/>
      <c r="K300" s="702"/>
      <c r="L300" s="702"/>
      <c r="M300" s="702"/>
      <c r="N300" s="702"/>
      <c r="O300" s="702"/>
      <c r="P300" s="702"/>
      <c r="Q300" s="723"/>
    </row>
    <row r="301" spans="1:17" ht="15.75" hidden="1" thickTop="1"/>
    <row r="302" spans="1:17" ht="15.75" hidden="1" thickBot="1"/>
    <row r="303" spans="1:17" ht="15.75" hidden="1" thickTop="1">
      <c r="A303" s="665"/>
      <c r="B303" s="666"/>
      <c r="C303" s="666"/>
      <c r="D303" s="666"/>
      <c r="E303" s="666"/>
      <c r="F303" s="666"/>
      <c r="G303" s="666"/>
      <c r="H303" s="666"/>
      <c r="I303" s="666"/>
      <c r="J303" s="666"/>
      <c r="K303" s="666"/>
      <c r="L303" s="666"/>
      <c r="M303" s="666"/>
      <c r="N303" s="666"/>
      <c r="O303" s="666"/>
      <c r="P303" s="666"/>
      <c r="Q303" s="705"/>
    </row>
    <row r="304" spans="1:17" ht="15.75" hidden="1" thickBot="1">
      <c r="A304" s="670"/>
      <c r="B304" s="224"/>
      <c r="C304" s="224"/>
      <c r="D304" s="224"/>
      <c r="E304" s="224"/>
      <c r="F304" s="224"/>
      <c r="G304" s="224"/>
      <c r="H304" s="224"/>
      <c r="I304" s="224"/>
      <c r="J304" s="224"/>
      <c r="K304" s="224"/>
      <c r="L304" s="224"/>
      <c r="M304" s="224"/>
      <c r="N304" s="224"/>
      <c r="O304" s="224"/>
      <c r="P304" s="224"/>
      <c r="Q304" s="706"/>
    </row>
    <row r="305" spans="1:29" ht="15.75" hidden="1" thickBot="1">
      <c r="A305" s="670"/>
      <c r="B305" s="708" t="s">
        <v>177</v>
      </c>
      <c r="C305" s="709"/>
      <c r="D305" s="709"/>
      <c r="E305" s="709"/>
      <c r="F305" s="709"/>
      <c r="G305" s="709"/>
      <c r="H305" s="709"/>
      <c r="I305" s="709"/>
      <c r="J305" s="709"/>
      <c r="K305" s="709"/>
      <c r="L305" s="709"/>
      <c r="M305" s="709"/>
      <c r="N305" s="709"/>
      <c r="O305" s="709"/>
      <c r="P305" s="710"/>
      <c r="Q305" s="672"/>
      <c r="R305" s="783" t="s">
        <v>251</v>
      </c>
      <c r="S305" s="783" t="s">
        <v>252</v>
      </c>
      <c r="T305" s="783" t="s">
        <v>253</v>
      </c>
      <c r="U305" s="783"/>
      <c r="V305" s="783"/>
      <c r="W305" s="783"/>
      <c r="X305" s="783"/>
      <c r="Y305" s="783"/>
    </row>
    <row r="306" spans="1:29" hidden="1">
      <c r="A306" s="670"/>
      <c r="B306" s="711" t="s">
        <v>12</v>
      </c>
      <c r="C306" s="712"/>
      <c r="D306" s="712">
        <f t="shared" ref="D306:O306" si="80">D478</f>
        <v>0</v>
      </c>
      <c r="E306" s="712">
        <f t="shared" si="80"/>
        <v>0</v>
      </c>
      <c r="F306" s="712">
        <f t="shared" si="80"/>
        <v>0</v>
      </c>
      <c r="G306" s="712">
        <f t="shared" si="80"/>
        <v>0</v>
      </c>
      <c r="H306" s="712">
        <f t="shared" si="80"/>
        <v>0</v>
      </c>
      <c r="I306" s="712">
        <f t="shared" si="80"/>
        <v>6</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f t="shared" si="81"/>
        <v>1.8704318936877076</v>
      </c>
      <c r="J307" s="716" t="str">
        <f t="shared" si="81"/>
        <v/>
      </c>
      <c r="K307" s="716" t="str">
        <f t="shared" si="81"/>
        <v/>
      </c>
      <c r="L307" s="716" t="str">
        <f t="shared" si="81"/>
        <v/>
      </c>
      <c r="M307" s="716" t="str">
        <f t="shared" si="81"/>
        <v/>
      </c>
      <c r="N307" s="716" t="str">
        <f t="shared" si="81"/>
        <v/>
      </c>
      <c r="O307" s="716" t="str">
        <f t="shared" si="81"/>
        <v/>
      </c>
      <c r="P307" s="726">
        <f t="shared" ref="P307:P313" si="82">SUM(D307:O307)</f>
        <v>1.8704318936877076</v>
      </c>
      <c r="Q307" s="727">
        <f>(P307/12)</f>
        <v>0.15586932447397564</v>
      </c>
      <c r="R307" s="787">
        <f>SUM(D$474:O$474)</f>
        <v>545</v>
      </c>
      <c r="S307" s="787">
        <f>R307/12</f>
        <v>45.416666666666664</v>
      </c>
      <c r="T307" s="787">
        <f>S307/Q307</f>
        <v>291.37655417406745</v>
      </c>
      <c r="X307" s="787"/>
      <c r="Y307" s="787"/>
      <c r="Z307" s="787"/>
      <c r="AA307" s="787"/>
      <c r="AB307" s="787"/>
      <c r="AC307" s="787"/>
    </row>
    <row r="308" spans="1:29" hidden="1">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f t="shared" si="83"/>
        <v>2.5348837209302326</v>
      </c>
      <c r="J308" s="728" t="str">
        <f t="shared" si="83"/>
        <v/>
      </c>
      <c r="K308" s="728" t="str">
        <f t="shared" si="83"/>
        <v/>
      </c>
      <c r="L308" s="728" t="str">
        <f t="shared" si="83"/>
        <v/>
      </c>
      <c r="M308" s="728" t="str">
        <f t="shared" si="83"/>
        <v/>
      </c>
      <c r="N308" s="728" t="str">
        <f t="shared" si="83"/>
        <v/>
      </c>
      <c r="O308" s="728" t="str">
        <f t="shared" si="83"/>
        <v/>
      </c>
      <c r="P308" s="729">
        <f t="shared" si="82"/>
        <v>2.5348837209302326</v>
      </c>
      <c r="Q308" s="727">
        <f>(P308/12)</f>
        <v>0.21124031007751939</v>
      </c>
      <c r="R308" s="787">
        <f>SUM(D$474:O$474)</f>
        <v>545</v>
      </c>
      <c r="S308" s="787">
        <f>R308/12</f>
        <v>45.416666666666664</v>
      </c>
      <c r="T308" s="787">
        <f>IF(Q308=0,0,ROUNDUP(S308/Q308,0))</f>
        <v>215</v>
      </c>
      <c r="X308" s="787"/>
      <c r="Y308" s="787"/>
      <c r="Z308" s="787"/>
      <c r="AA308" s="787"/>
      <c r="AB308" s="787"/>
      <c r="AC308" s="787"/>
    </row>
    <row r="309" spans="1:29" ht="15.75" hidden="1" thickBot="1">
      <c r="A309" s="670"/>
      <c r="B309" s="730" t="s">
        <v>192</v>
      </c>
      <c r="C309" s="731" t="s">
        <v>218</v>
      </c>
      <c r="D309" s="731">
        <f>D474/$P$156</f>
        <v>0</v>
      </c>
      <c r="E309" s="731">
        <f t="shared" ref="E309:O309" si="84">E474/$P$156</f>
        <v>0</v>
      </c>
      <c r="F309" s="731">
        <f t="shared" si="84"/>
        <v>0</v>
      </c>
      <c r="G309" s="731">
        <f t="shared" si="84"/>
        <v>0</v>
      </c>
      <c r="H309" s="731">
        <f t="shared" si="84"/>
        <v>0</v>
      </c>
      <c r="I309" s="731">
        <f t="shared" si="84"/>
        <v>1.8704318936877076</v>
      </c>
      <c r="J309" s="731">
        <f t="shared" si="84"/>
        <v>0.66445182724252494</v>
      </c>
      <c r="K309" s="731">
        <f t="shared" si="84"/>
        <v>0</v>
      </c>
      <c r="L309" s="731">
        <f t="shared" si="84"/>
        <v>0</v>
      </c>
      <c r="M309" s="731">
        <f t="shared" si="84"/>
        <v>0</v>
      </c>
      <c r="N309" s="731">
        <f t="shared" si="84"/>
        <v>0</v>
      </c>
      <c r="O309" s="731">
        <f t="shared" si="84"/>
        <v>0</v>
      </c>
      <c r="P309" s="732">
        <f t="shared" si="82"/>
        <v>2.5348837209302326</v>
      </c>
      <c r="Q309" s="727">
        <f>(P309/12)</f>
        <v>0.21124031007751939</v>
      </c>
      <c r="R309" s="787">
        <f>SUM(D$474:O$474)</f>
        <v>545</v>
      </c>
      <c r="S309" s="787">
        <f>R309/12</f>
        <v>45.416666666666664</v>
      </c>
      <c r="T309" s="787">
        <f>S309/Q309</f>
        <v>214.99999999999997</v>
      </c>
      <c r="X309" s="787"/>
      <c r="Y309" s="787"/>
      <c r="Z309" s="787"/>
      <c r="AA309" s="787"/>
      <c r="AB309" s="787"/>
      <c r="AC309" s="787"/>
    </row>
    <row r="310" spans="1:29" hidden="1">
      <c r="A310" s="670"/>
      <c r="B310" s="1001" t="s">
        <v>233</v>
      </c>
      <c r="C310" s="688"/>
      <c r="D310" s="688">
        <f t="shared" ref="D310:O310" si="85">IF(D$308="",0,D156*D$308)</f>
        <v>0</v>
      </c>
      <c r="E310" s="688">
        <f t="shared" si="85"/>
        <v>0</v>
      </c>
      <c r="F310" s="688">
        <f t="shared" si="85"/>
        <v>0</v>
      </c>
      <c r="G310" s="688">
        <f t="shared" si="85"/>
        <v>0</v>
      </c>
      <c r="H310" s="688">
        <f t="shared" si="85"/>
        <v>0</v>
      </c>
      <c r="I310" s="688">
        <f t="shared" si="85"/>
        <v>545</v>
      </c>
      <c r="J310" s="688">
        <f t="shared" si="85"/>
        <v>0</v>
      </c>
      <c r="K310" s="688">
        <f t="shared" si="85"/>
        <v>0</v>
      </c>
      <c r="L310" s="688">
        <f t="shared" si="85"/>
        <v>0</v>
      </c>
      <c r="M310" s="688">
        <f t="shared" si="85"/>
        <v>0</v>
      </c>
      <c r="N310" s="688">
        <f t="shared" si="85"/>
        <v>0</v>
      </c>
      <c r="O310" s="688">
        <f t="shared" si="85"/>
        <v>0</v>
      </c>
      <c r="P310" s="1002">
        <f t="shared" si="82"/>
        <v>545</v>
      </c>
      <c r="Q310" s="727"/>
      <c r="R310" s="787"/>
      <c r="S310" s="787"/>
      <c r="T310" s="787"/>
      <c r="X310" s="787"/>
      <c r="Y310" s="787"/>
      <c r="Z310" s="787"/>
      <c r="AA310" s="787"/>
      <c r="AB310" s="787"/>
      <c r="AC310" s="787"/>
    </row>
    <row r="311" spans="1:29" hidden="1">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c r="A314" s="670"/>
      <c r="B314" s="711" t="s">
        <v>13</v>
      </c>
      <c r="C314" s="712"/>
      <c r="D314" s="712">
        <f t="shared" ref="D314:O314" si="89">D553</f>
        <v>0</v>
      </c>
      <c r="E314" s="712">
        <f t="shared" si="89"/>
        <v>0</v>
      </c>
      <c r="F314" s="712">
        <f t="shared" si="89"/>
        <v>0</v>
      </c>
      <c r="G314" s="712">
        <f t="shared" si="89"/>
        <v>0</v>
      </c>
      <c r="H314" s="712">
        <f t="shared" si="89"/>
        <v>0</v>
      </c>
      <c r="I314" s="712">
        <f t="shared" si="89"/>
        <v>6</v>
      </c>
      <c r="J314" s="712">
        <f t="shared" si="89"/>
        <v>0</v>
      </c>
      <c r="K314" s="712">
        <f t="shared" si="89"/>
        <v>0</v>
      </c>
      <c r="L314" s="712">
        <f t="shared" si="89"/>
        <v>0</v>
      </c>
      <c r="M314" s="712">
        <f t="shared" si="89"/>
        <v>0</v>
      </c>
      <c r="N314" s="712">
        <f t="shared" si="89"/>
        <v>0</v>
      </c>
      <c r="O314" s="712">
        <f t="shared" si="89"/>
        <v>0</v>
      </c>
      <c r="P314" s="725" t="s">
        <v>206</v>
      </c>
      <c r="Q314" s="672"/>
      <c r="R314" s="783"/>
      <c r="S314" s="783"/>
      <c r="T314" s="783"/>
      <c r="X314" s="783"/>
      <c r="Y314" s="783"/>
    </row>
    <row r="315" spans="1:29" hidden="1">
      <c r="A315" s="670"/>
      <c r="B315" s="715" t="s">
        <v>13</v>
      </c>
      <c r="C315" s="716"/>
      <c r="D315" s="716" t="str">
        <f t="shared" ref="D315:O315" si="90">IF(D159="","",D549/D159)</f>
        <v/>
      </c>
      <c r="E315" s="716" t="str">
        <f t="shared" si="90"/>
        <v/>
      </c>
      <c r="F315" s="716" t="str">
        <f t="shared" si="90"/>
        <v/>
      </c>
      <c r="G315" s="716" t="str">
        <f t="shared" si="90"/>
        <v/>
      </c>
      <c r="H315" s="716" t="str">
        <f t="shared" si="90"/>
        <v/>
      </c>
      <c r="I315" s="716">
        <f t="shared" si="90"/>
        <v>2.3361344537815123</v>
      </c>
      <c r="J315" s="716" t="str">
        <f t="shared" si="90"/>
        <v/>
      </c>
      <c r="K315" s="716" t="str">
        <f t="shared" si="90"/>
        <v/>
      </c>
      <c r="L315" s="716" t="str">
        <f t="shared" si="90"/>
        <v/>
      </c>
      <c r="M315" s="716" t="str">
        <f t="shared" si="90"/>
        <v/>
      </c>
      <c r="N315" s="716" t="str">
        <f t="shared" si="90"/>
        <v/>
      </c>
      <c r="O315" s="716" t="str">
        <f t="shared" si="90"/>
        <v/>
      </c>
      <c r="P315" s="726">
        <f t="shared" ref="P315:P321" si="91">SUM(D315:O315)</f>
        <v>2.3361344537815123</v>
      </c>
      <c r="Q315" s="672"/>
      <c r="R315" s="783"/>
      <c r="S315" s="783"/>
      <c r="T315" s="783"/>
      <c r="X315" s="783"/>
      <c r="Y315" s="783"/>
    </row>
    <row r="316" spans="1:29" hidden="1">
      <c r="A316" s="670"/>
      <c r="B316" s="733" t="s">
        <v>188</v>
      </c>
      <c r="C316" s="728"/>
      <c r="D316" s="728" t="str">
        <f t="shared" ref="D316:O316" si="92">IF(D159="","",D557/D159)</f>
        <v/>
      </c>
      <c r="E316" s="728" t="str">
        <f t="shared" si="92"/>
        <v/>
      </c>
      <c r="F316" s="728" t="str">
        <f t="shared" si="92"/>
        <v/>
      </c>
      <c r="G316" s="728" t="str">
        <f t="shared" si="92"/>
        <v/>
      </c>
      <c r="H316" s="728" t="str">
        <f t="shared" si="92"/>
        <v/>
      </c>
      <c r="I316" s="728">
        <f t="shared" si="92"/>
        <v>3.1764705882352939</v>
      </c>
      <c r="J316" s="728" t="str">
        <f t="shared" si="92"/>
        <v/>
      </c>
      <c r="K316" s="728" t="str">
        <f t="shared" si="92"/>
        <v/>
      </c>
      <c r="L316" s="728" t="str">
        <f t="shared" si="92"/>
        <v/>
      </c>
      <c r="M316" s="728" t="str">
        <f t="shared" si="92"/>
        <v/>
      </c>
      <c r="N316" s="728" t="str">
        <f t="shared" si="92"/>
        <v/>
      </c>
      <c r="O316" s="728" t="str">
        <f t="shared" si="92"/>
        <v/>
      </c>
      <c r="P316" s="729">
        <f t="shared" si="91"/>
        <v>3.1764705882352939</v>
      </c>
      <c r="Q316" s="727">
        <f>(P316/12)</f>
        <v>0.26470588235294118</v>
      </c>
      <c r="R316" s="787">
        <f>SUM(D$549:O$549)</f>
        <v>1080</v>
      </c>
      <c r="S316" s="787">
        <f>R316/12</f>
        <v>90</v>
      </c>
      <c r="T316" s="787">
        <f>IF(Q316=0,0,ROUNDUP(S316/Q316,0))</f>
        <v>340</v>
      </c>
      <c r="X316" s="783"/>
      <c r="Y316" s="783"/>
    </row>
    <row r="317" spans="1:29" ht="15.75" hidden="1" thickBot="1">
      <c r="A317" s="670"/>
      <c r="B317" s="730" t="s">
        <v>192</v>
      </c>
      <c r="C317" s="731"/>
      <c r="D317" s="731">
        <f t="shared" ref="D317:O317" si="93">D549/$P$159</f>
        <v>0</v>
      </c>
      <c r="E317" s="731">
        <f t="shared" si="93"/>
        <v>0</v>
      </c>
      <c r="F317" s="731">
        <f t="shared" si="93"/>
        <v>0</v>
      </c>
      <c r="G317" s="731">
        <f t="shared" si="93"/>
        <v>0</v>
      </c>
      <c r="H317" s="731">
        <f t="shared" si="93"/>
        <v>0</v>
      </c>
      <c r="I317" s="731">
        <f t="shared" si="93"/>
        <v>2.3361344537815123</v>
      </c>
      <c r="J317" s="731">
        <f t="shared" si="93"/>
        <v>0.84033613445378152</v>
      </c>
      <c r="K317" s="731">
        <f t="shared" si="93"/>
        <v>0</v>
      </c>
      <c r="L317" s="731">
        <f t="shared" si="93"/>
        <v>0</v>
      </c>
      <c r="M317" s="731">
        <f t="shared" si="93"/>
        <v>0</v>
      </c>
      <c r="N317" s="731">
        <f t="shared" si="93"/>
        <v>0</v>
      </c>
      <c r="O317" s="731">
        <f t="shared" si="93"/>
        <v>0</v>
      </c>
      <c r="P317" s="732">
        <f t="shared" si="91"/>
        <v>3.1764705882352939</v>
      </c>
      <c r="Q317" s="672"/>
      <c r="R317" s="787"/>
      <c r="S317" s="787"/>
      <c r="T317" s="787"/>
      <c r="X317" s="787"/>
      <c r="Y317" s="787"/>
      <c r="Z317" s="787"/>
      <c r="AA317" s="787"/>
      <c r="AB317" s="787"/>
      <c r="AC317" s="787"/>
    </row>
    <row r="318" spans="1:29" hidden="1">
      <c r="A318" s="670"/>
      <c r="B318" s="1001" t="s">
        <v>233</v>
      </c>
      <c r="C318" s="688"/>
      <c r="D318" s="688">
        <f t="shared" ref="D318:O318" si="94">IF(D$316="",0,D159*D$316)</f>
        <v>0</v>
      </c>
      <c r="E318" s="688">
        <f t="shared" si="94"/>
        <v>0</v>
      </c>
      <c r="F318" s="688">
        <f t="shared" si="94"/>
        <v>0</v>
      </c>
      <c r="G318" s="688">
        <f t="shared" si="94"/>
        <v>0</v>
      </c>
      <c r="H318" s="688">
        <f t="shared" si="94"/>
        <v>0</v>
      </c>
      <c r="I318" s="688">
        <f t="shared" si="94"/>
        <v>1080</v>
      </c>
      <c r="J318" s="688">
        <f t="shared" si="94"/>
        <v>0</v>
      </c>
      <c r="K318" s="688">
        <f t="shared" si="94"/>
        <v>0</v>
      </c>
      <c r="L318" s="688">
        <f t="shared" si="94"/>
        <v>0</v>
      </c>
      <c r="M318" s="688">
        <f t="shared" si="94"/>
        <v>0</v>
      </c>
      <c r="N318" s="688">
        <f t="shared" si="94"/>
        <v>0</v>
      </c>
      <c r="O318" s="688">
        <f t="shared" si="94"/>
        <v>0</v>
      </c>
      <c r="P318" s="1002">
        <f t="shared" si="91"/>
        <v>1080</v>
      </c>
      <c r="Q318" s="727"/>
      <c r="R318" s="787"/>
      <c r="S318" s="787"/>
      <c r="T318" s="787"/>
      <c r="X318" s="787"/>
      <c r="Y318" s="787"/>
      <c r="Z318" s="787"/>
      <c r="AA318" s="787"/>
      <c r="AB318" s="787"/>
      <c r="AC318" s="787"/>
    </row>
    <row r="319" spans="1:29" hidden="1">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c r="A322" s="670"/>
      <c r="B322" s="711" t="s">
        <v>14</v>
      </c>
      <c r="C322" s="712"/>
      <c r="D322" s="712">
        <f>D628</f>
        <v>0</v>
      </c>
      <c r="E322" s="712">
        <f t="shared" ref="E322:O322" si="98">E628</f>
        <v>0</v>
      </c>
      <c r="F322" s="712">
        <f t="shared" si="98"/>
        <v>0</v>
      </c>
      <c r="G322" s="712">
        <f t="shared" si="98"/>
        <v>0</v>
      </c>
      <c r="H322" s="712">
        <f t="shared" si="98"/>
        <v>0</v>
      </c>
      <c r="I322" s="712">
        <f t="shared" si="98"/>
        <v>0</v>
      </c>
      <c r="J322" s="712">
        <f t="shared" si="98"/>
        <v>0</v>
      </c>
      <c r="K322" s="712">
        <f t="shared" si="98"/>
        <v>0</v>
      </c>
      <c r="L322" s="712">
        <f t="shared" si="98"/>
        <v>0</v>
      </c>
      <c r="M322" s="712">
        <f t="shared" si="98"/>
        <v>0</v>
      </c>
      <c r="N322" s="712">
        <f t="shared" si="98"/>
        <v>0</v>
      </c>
      <c r="O322" s="712">
        <f t="shared" si="98"/>
        <v>0</v>
      </c>
      <c r="P322" s="725" t="s">
        <v>206</v>
      </c>
      <c r="Q322" s="672"/>
      <c r="R322" s="783"/>
      <c r="S322" s="783"/>
      <c r="T322" s="783"/>
      <c r="X322" s="783"/>
      <c r="Y322" s="783"/>
    </row>
    <row r="323" spans="1:29" hidden="1">
      <c r="A323" s="670"/>
      <c r="B323" s="715" t="s">
        <v>14</v>
      </c>
      <c r="C323" s="716"/>
      <c r="D323" s="716" t="str">
        <f t="shared" ref="D323:O323" si="99">IF(D162="","",D624/D162)</f>
        <v/>
      </c>
      <c r="E323" s="716" t="str">
        <f>IF(E162="","",E624/E162)</f>
        <v/>
      </c>
      <c r="F323" s="716" t="str">
        <f t="shared" si="99"/>
        <v/>
      </c>
      <c r="G323" s="716" t="str">
        <f t="shared" si="99"/>
        <v/>
      </c>
      <c r="H323" s="716" t="str">
        <f t="shared" si="99"/>
        <v/>
      </c>
      <c r="I323" s="716" t="str">
        <f t="shared" si="99"/>
        <v/>
      </c>
      <c r="J323" s="716" t="str">
        <f t="shared" si="99"/>
        <v/>
      </c>
      <c r="K323" s="716" t="str">
        <f t="shared" si="99"/>
        <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c r="A324" s="670"/>
      <c r="B324" s="733" t="s">
        <v>188</v>
      </c>
      <c r="C324" s="728"/>
      <c r="D324" s="728" t="str">
        <f t="shared" ref="D324:O324" si="101">IF(D162="","",D632/D162)</f>
        <v/>
      </c>
      <c r="E324" s="728" t="str">
        <f t="shared" si="101"/>
        <v/>
      </c>
      <c r="F324" s="728" t="str">
        <f t="shared" si="101"/>
        <v/>
      </c>
      <c r="G324" s="728" t="str">
        <f t="shared" si="101"/>
        <v/>
      </c>
      <c r="H324" s="728" t="str">
        <f t="shared" si="101"/>
        <v/>
      </c>
      <c r="I324" s="728" t="str">
        <f t="shared" si="101"/>
        <v/>
      </c>
      <c r="J324" s="728" t="str">
        <f t="shared" si="101"/>
        <v/>
      </c>
      <c r="K324" s="728" t="str">
        <f t="shared" si="101"/>
        <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c r="A325" s="670"/>
      <c r="B325" s="730" t="s">
        <v>192</v>
      </c>
      <c r="C325" s="731"/>
      <c r="D325" s="731" t="e">
        <f t="shared" ref="D325:O325" si="102">D624/$P$162</f>
        <v>#DIV/0!</v>
      </c>
      <c r="E325" s="731" t="e">
        <f t="shared" si="102"/>
        <v>#DIV/0!</v>
      </c>
      <c r="F325" s="731" t="e">
        <f t="shared" si="102"/>
        <v>#DIV/0!</v>
      </c>
      <c r="G325" s="731" t="e">
        <f t="shared" si="102"/>
        <v>#DIV/0!</v>
      </c>
      <c r="H325" s="731" t="e">
        <f t="shared" si="102"/>
        <v>#DIV/0!</v>
      </c>
      <c r="I325" s="731" t="e">
        <f t="shared" si="102"/>
        <v>#DIV/0!</v>
      </c>
      <c r="J325" s="731" t="e">
        <f t="shared" si="102"/>
        <v>#DIV/0!</v>
      </c>
      <c r="K325" s="731" t="e">
        <f t="shared" si="102"/>
        <v>#DIV/0!</v>
      </c>
      <c r="L325" s="731" t="e">
        <f t="shared" si="102"/>
        <v>#DIV/0!</v>
      </c>
      <c r="M325" s="731" t="e">
        <f t="shared" si="102"/>
        <v>#DIV/0!</v>
      </c>
      <c r="N325" s="731" t="e">
        <f t="shared" si="102"/>
        <v>#DIV/0!</v>
      </c>
      <c r="O325" s="731" t="e">
        <f t="shared" si="102"/>
        <v>#DIV/0!</v>
      </c>
      <c r="P325" s="732" t="e">
        <f t="shared" si="100"/>
        <v>#DIV/0!</v>
      </c>
      <c r="Q325" s="672"/>
      <c r="R325" s="787"/>
      <c r="S325" s="787"/>
      <c r="T325" s="787"/>
      <c r="X325" s="787"/>
      <c r="Y325" s="787"/>
      <c r="Z325" s="787"/>
      <c r="AA325" s="787"/>
      <c r="AB325" s="787"/>
      <c r="AC325" s="787"/>
    </row>
    <row r="326" spans="1:29" hidden="1">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c r="A331" s="670"/>
      <c r="B331" s="711" t="s">
        <v>174</v>
      </c>
      <c r="C331" s="712"/>
      <c r="D331" s="712">
        <f t="shared" ref="D331:O331" si="108">D703</f>
        <v>0</v>
      </c>
      <c r="E331" s="712">
        <f t="shared" si="108"/>
        <v>0</v>
      </c>
      <c r="F331" s="712">
        <f t="shared" si="108"/>
        <v>0</v>
      </c>
      <c r="G331" s="712">
        <f t="shared" si="108"/>
        <v>0</v>
      </c>
      <c r="H331" s="712">
        <f t="shared" si="108"/>
        <v>0</v>
      </c>
      <c r="I331" s="712">
        <f t="shared" si="108"/>
        <v>6</v>
      </c>
      <c r="J331" s="712">
        <f t="shared" si="108"/>
        <v>0</v>
      </c>
      <c r="K331" s="712">
        <f t="shared" si="108"/>
        <v>0</v>
      </c>
      <c r="L331" s="712">
        <f t="shared" si="108"/>
        <v>0</v>
      </c>
      <c r="M331" s="712">
        <f t="shared" si="108"/>
        <v>0</v>
      </c>
      <c r="N331" s="712">
        <f t="shared" si="108"/>
        <v>0</v>
      </c>
      <c r="O331" s="712">
        <f t="shared" si="108"/>
        <v>0</v>
      </c>
      <c r="P331" s="725" t="s">
        <v>206</v>
      </c>
      <c r="Q331" s="672"/>
      <c r="R331" s="783"/>
      <c r="S331" s="783"/>
      <c r="T331" s="783"/>
      <c r="X331" s="783"/>
      <c r="Y331" s="783"/>
    </row>
    <row r="332" spans="1:29" hidden="1">
      <c r="A332" s="670"/>
      <c r="B332" s="715" t="s">
        <v>174</v>
      </c>
      <c r="C332" s="716"/>
      <c r="D332" s="716" t="str">
        <f t="shared" ref="D332:O332" si="109">IF(D165="","",D699/D165)</f>
        <v/>
      </c>
      <c r="E332" s="716" t="str">
        <f t="shared" si="109"/>
        <v/>
      </c>
      <c r="F332" s="716" t="str">
        <f t="shared" si="109"/>
        <v/>
      </c>
      <c r="G332" s="716" t="str">
        <f t="shared" si="109"/>
        <v/>
      </c>
      <c r="H332" s="716" t="str">
        <f t="shared" si="109"/>
        <v/>
      </c>
      <c r="I332" s="716">
        <f t="shared" si="109"/>
        <v>14.449195171026156</v>
      </c>
      <c r="J332" s="716" t="str">
        <f t="shared" si="109"/>
        <v/>
      </c>
      <c r="K332" s="716" t="str">
        <f t="shared" si="109"/>
        <v/>
      </c>
      <c r="L332" s="716" t="str">
        <f t="shared" si="109"/>
        <v/>
      </c>
      <c r="M332" s="716" t="str">
        <f t="shared" si="109"/>
        <v/>
      </c>
      <c r="N332" s="716" t="str">
        <f t="shared" si="109"/>
        <v/>
      </c>
      <c r="O332" s="716" t="str">
        <f t="shared" si="109"/>
        <v/>
      </c>
      <c r="P332" s="726">
        <f t="shared" ref="P332:P339" si="110">SUM(D332:O332)</f>
        <v>14.449195171026156</v>
      </c>
      <c r="Q332" s="672"/>
      <c r="R332" s="783"/>
      <c r="S332" s="783"/>
      <c r="T332" s="783"/>
      <c r="X332" s="783"/>
      <c r="Y332" s="783"/>
    </row>
    <row r="333" spans="1:29" hidden="1">
      <c r="A333" s="670"/>
      <c r="B333" s="733" t="s">
        <v>188</v>
      </c>
      <c r="C333" s="728"/>
      <c r="D333" s="728" t="str">
        <f t="shared" ref="D333:O333" si="111">IF(D165="","",D707/D165)</f>
        <v/>
      </c>
      <c r="E333" s="728" t="str">
        <f t="shared" si="111"/>
        <v/>
      </c>
      <c r="F333" s="728" t="str">
        <f t="shared" si="111"/>
        <v/>
      </c>
      <c r="G333" s="728" t="str">
        <f t="shared" si="111"/>
        <v/>
      </c>
      <c r="H333" s="728" t="str">
        <f t="shared" si="111"/>
        <v/>
      </c>
      <c r="I333" s="728">
        <f t="shared" si="111"/>
        <v>19.982394366197184</v>
      </c>
      <c r="J333" s="728" t="str">
        <f t="shared" si="111"/>
        <v/>
      </c>
      <c r="K333" s="728" t="str">
        <f t="shared" si="111"/>
        <v/>
      </c>
      <c r="L333" s="728" t="str">
        <f t="shared" si="111"/>
        <v/>
      </c>
      <c r="M333" s="728" t="str">
        <f t="shared" si="111"/>
        <v/>
      </c>
      <c r="N333" s="728" t="str">
        <f t="shared" si="111"/>
        <v/>
      </c>
      <c r="O333" s="728" t="str">
        <f t="shared" si="111"/>
        <v/>
      </c>
      <c r="P333" s="729">
        <f t="shared" si="110"/>
        <v>19.982394366197184</v>
      </c>
      <c r="Q333" s="727">
        <f>(P333/12)</f>
        <v>1.665199530516432</v>
      </c>
      <c r="R333" s="787">
        <f>SUM(D$699:O$699)</f>
        <v>5675</v>
      </c>
      <c r="S333" s="787">
        <f>R333/12</f>
        <v>472.91666666666669</v>
      </c>
      <c r="T333" s="787">
        <f>IF(Q333=0,0,ROUNDUP(S333/Q333,0))</f>
        <v>284</v>
      </c>
      <c r="X333" s="783"/>
      <c r="Y333" s="783"/>
    </row>
    <row r="334" spans="1:29" ht="15.75" hidden="1" thickBot="1">
      <c r="A334" s="670"/>
      <c r="B334" s="730" t="s">
        <v>192</v>
      </c>
      <c r="C334" s="731"/>
      <c r="D334" s="731">
        <f t="shared" ref="D334:O334" si="112">D699/$P$165</f>
        <v>0</v>
      </c>
      <c r="E334" s="731">
        <f t="shared" si="112"/>
        <v>0</v>
      </c>
      <c r="F334" s="731">
        <f t="shared" si="112"/>
        <v>0</v>
      </c>
      <c r="G334" s="731">
        <f t="shared" si="112"/>
        <v>0</v>
      </c>
      <c r="H334" s="731">
        <f t="shared" si="112"/>
        <v>0</v>
      </c>
      <c r="I334" s="731">
        <f t="shared" si="112"/>
        <v>14.449195171026156</v>
      </c>
      <c r="J334" s="731">
        <f t="shared" si="112"/>
        <v>5.5331991951710258</v>
      </c>
      <c r="K334" s="731">
        <f t="shared" si="112"/>
        <v>0</v>
      </c>
      <c r="L334" s="731">
        <f t="shared" si="112"/>
        <v>0</v>
      </c>
      <c r="M334" s="731">
        <f t="shared" si="112"/>
        <v>0</v>
      </c>
      <c r="N334" s="731">
        <f t="shared" si="112"/>
        <v>0</v>
      </c>
      <c r="O334" s="731">
        <f t="shared" si="112"/>
        <v>0</v>
      </c>
      <c r="P334" s="732">
        <f t="shared" si="110"/>
        <v>19.982394366197184</v>
      </c>
      <c r="Q334" s="672"/>
      <c r="R334" s="787"/>
      <c r="S334" s="787"/>
      <c r="T334" s="787"/>
      <c r="U334" s="787"/>
      <c r="V334" s="787"/>
      <c r="W334" s="787"/>
      <c r="X334" s="787"/>
      <c r="Y334" s="787"/>
      <c r="Z334" s="787"/>
      <c r="AA334" s="787"/>
      <c r="AB334" s="787"/>
      <c r="AC334" s="787"/>
    </row>
    <row r="335" spans="1:29" hidden="1">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5675</v>
      </c>
      <c r="J335" s="693">
        <f t="shared" si="113"/>
        <v>0</v>
      </c>
      <c r="K335" s="693">
        <f t="shared" si="113"/>
        <v>0</v>
      </c>
      <c r="L335" s="693">
        <f t="shared" si="113"/>
        <v>0</v>
      </c>
      <c r="M335" s="693">
        <f t="shared" si="113"/>
        <v>0</v>
      </c>
      <c r="N335" s="693">
        <f t="shared" si="113"/>
        <v>0</v>
      </c>
      <c r="O335" s="693">
        <f t="shared" si="113"/>
        <v>0</v>
      </c>
      <c r="P335" s="1004">
        <f t="shared" si="110"/>
        <v>5675</v>
      </c>
      <c r="Q335" s="727"/>
      <c r="R335" s="788"/>
      <c r="S335" s="787"/>
      <c r="T335" s="787"/>
      <c r="U335" s="787"/>
      <c r="V335" s="787"/>
      <c r="W335" s="787"/>
      <c r="X335" s="787"/>
      <c r="Y335" s="787"/>
      <c r="Z335" s="787"/>
      <c r="AA335" s="787"/>
      <c r="AB335" s="787"/>
      <c r="AC335" s="787"/>
    </row>
    <row r="336" spans="1:29" hidden="1">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c r="A340" s="670"/>
      <c r="B340" s="711" t="s">
        <v>439</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c r="A341" s="670"/>
      <c r="B341" s="715" t="s">
        <v>439</v>
      </c>
      <c r="C341" s="716"/>
      <c r="D341" s="716" t="e">
        <f t="shared" ref="D341:O341" si="119">IF(D166="","",D776/D166)</f>
        <v>#DIV/0!</v>
      </c>
      <c r="E341" s="716" t="e">
        <f t="shared" si="119"/>
        <v>#DIV/0!</v>
      </c>
      <c r="F341" s="716" t="e">
        <f t="shared" si="119"/>
        <v>#DIV/0!</v>
      </c>
      <c r="G341" s="716" t="e">
        <f t="shared" si="119"/>
        <v>#DIV/0!</v>
      </c>
      <c r="H341" s="716" t="e">
        <f t="shared" si="119"/>
        <v>#DIV/0!</v>
      </c>
      <c r="I341" s="716">
        <f t="shared" si="119"/>
        <v>6.3170441001191895</v>
      </c>
      <c r="J341" s="716" t="e">
        <f t="shared" si="119"/>
        <v>#DIV/0!</v>
      </c>
      <c r="K341" s="716" t="e">
        <f t="shared" si="119"/>
        <v>#DIV/0!</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7300</v>
      </c>
      <c r="S341" s="787">
        <f>R341/12</f>
        <v>608.33333333333337</v>
      </c>
      <c r="T341" s="787" t="e">
        <f>S341/Q341</f>
        <v>#DIV/0!</v>
      </c>
      <c r="V341" s="787"/>
      <c r="W341" s="787"/>
      <c r="X341" s="787"/>
      <c r="Y341" s="787"/>
      <c r="Z341" s="787"/>
      <c r="AA341" s="787"/>
      <c r="AB341" s="787"/>
      <c r="AC341" s="787"/>
    </row>
    <row r="342" spans="1:29" hidden="1">
      <c r="A342" s="670"/>
      <c r="B342" s="733" t="s">
        <v>188</v>
      </c>
      <c r="C342" s="728"/>
      <c r="D342" s="728" t="e">
        <f t="shared" ref="D342:O342" si="121">IF(D166="","",D784/D166)</f>
        <v>#DIV/0!</v>
      </c>
      <c r="E342" s="728" t="e">
        <f t="shared" si="121"/>
        <v>#DIV/0!</v>
      </c>
      <c r="F342" s="728" t="e">
        <f t="shared" si="121"/>
        <v>#DIV/0!</v>
      </c>
      <c r="G342" s="728" t="e">
        <f t="shared" si="121"/>
        <v>#DIV/0!</v>
      </c>
      <c r="H342" s="728" t="e">
        <f t="shared" si="121"/>
        <v>#DIV/0!</v>
      </c>
      <c r="I342" s="728">
        <f t="shared" si="121"/>
        <v>6.3170441001191895</v>
      </c>
      <c r="J342" s="728" t="e">
        <f t="shared" si="121"/>
        <v>#DIV/0!</v>
      </c>
      <c r="K342" s="728" t="e">
        <f t="shared" si="121"/>
        <v>#DIV/0!</v>
      </c>
      <c r="L342" s="728" t="e">
        <f t="shared" si="121"/>
        <v>#DIV/0!</v>
      </c>
      <c r="M342" s="728" t="e">
        <f t="shared" si="121"/>
        <v>#DIV/0!</v>
      </c>
      <c r="N342" s="728" t="e">
        <f t="shared" si="121"/>
        <v>#DIV/0!</v>
      </c>
      <c r="O342" s="728" t="e">
        <f t="shared" si="121"/>
        <v>#DIV/0!</v>
      </c>
      <c r="P342" s="729" t="e">
        <f>SUM(D342:O342)</f>
        <v>#DIV/0!</v>
      </c>
      <c r="Q342" s="727" t="e">
        <f>(P342/12)</f>
        <v>#DIV/0!</v>
      </c>
      <c r="R342" s="787">
        <f>SUM(D$776:O$776)</f>
        <v>7300</v>
      </c>
      <c r="S342" s="787">
        <f>R342/12</f>
        <v>608.33333333333337</v>
      </c>
      <c r="T342" s="787" t="e">
        <f>IF(Q342=0,0,ROUNDUP(S342/Q342,0))</f>
        <v>#DIV/0!</v>
      </c>
      <c r="V342" s="787"/>
      <c r="W342" s="787"/>
      <c r="X342" s="787"/>
      <c r="Y342" s="787"/>
      <c r="Z342" s="787"/>
      <c r="AA342" s="787"/>
      <c r="AB342" s="787"/>
      <c r="AC342" s="787"/>
    </row>
    <row r="343" spans="1:29" ht="15.75" hidden="1" thickBot="1">
      <c r="A343" s="670"/>
      <c r="B343" s="730" t="s">
        <v>192</v>
      </c>
      <c r="C343" s="731"/>
      <c r="D343" s="731">
        <f t="shared" ref="D343:O343" si="122">D776/$P$166</f>
        <v>0</v>
      </c>
      <c r="E343" s="731">
        <f t="shared" si="122"/>
        <v>0</v>
      </c>
      <c r="F343" s="731">
        <f t="shared" si="122"/>
        <v>0</v>
      </c>
      <c r="G343" s="731">
        <f t="shared" si="122"/>
        <v>0</v>
      </c>
      <c r="H343" s="731">
        <f t="shared" si="122"/>
        <v>0</v>
      </c>
      <c r="I343" s="731">
        <f t="shared" si="122"/>
        <v>75.80452920143027</v>
      </c>
      <c r="J343" s="731">
        <f t="shared" si="122"/>
        <v>28.605482717520857</v>
      </c>
      <c r="K343" s="731">
        <f t="shared" si="122"/>
        <v>0</v>
      </c>
      <c r="L343" s="731">
        <f t="shared" si="122"/>
        <v>0</v>
      </c>
      <c r="M343" s="731">
        <f t="shared" si="122"/>
        <v>0</v>
      </c>
      <c r="N343" s="731">
        <f t="shared" si="122"/>
        <v>0</v>
      </c>
      <c r="O343" s="731">
        <f t="shared" si="122"/>
        <v>0</v>
      </c>
      <c r="P343" s="732">
        <f t="shared" si="120"/>
        <v>104.41001191895113</v>
      </c>
      <c r="Q343" s="727">
        <f>(P343/12)</f>
        <v>8.70083432657926</v>
      </c>
      <c r="R343" s="787">
        <f t="shared" ref="R343" si="123">SUM(D$776:O$776)</f>
        <v>7300</v>
      </c>
      <c r="S343" s="787">
        <f>R343/12</f>
        <v>608.33333333333337</v>
      </c>
      <c r="T343" s="787">
        <f>S343/Q343</f>
        <v>69.916666666666686</v>
      </c>
      <c r="V343" s="787"/>
      <c r="W343" s="787"/>
      <c r="X343" s="787"/>
      <c r="Y343" s="787"/>
      <c r="Z343" s="787"/>
      <c r="AA343" s="787"/>
      <c r="AB343" s="787"/>
      <c r="AC343" s="787"/>
    </row>
    <row r="344" spans="1:29" hidden="1">
      <c r="A344" s="670"/>
      <c r="B344" s="1003" t="s">
        <v>233</v>
      </c>
      <c r="C344" s="693"/>
      <c r="D344" s="693" t="e">
        <f t="shared" ref="D344:O344" si="124">IF(D$342="",0,D166*D$342)</f>
        <v>#DIV/0!</v>
      </c>
      <c r="E344" s="693" t="e">
        <f t="shared" si="124"/>
        <v>#DIV/0!</v>
      </c>
      <c r="F344" s="693" t="e">
        <f t="shared" si="124"/>
        <v>#DIV/0!</v>
      </c>
      <c r="G344" s="693" t="e">
        <f t="shared" si="124"/>
        <v>#DIV/0!</v>
      </c>
      <c r="H344" s="693" t="e">
        <f t="shared" si="124"/>
        <v>#DIV/0!</v>
      </c>
      <c r="I344" s="693">
        <f t="shared" si="124"/>
        <v>5300</v>
      </c>
      <c r="J344" s="693" t="e">
        <f t="shared" si="124"/>
        <v>#DIV/0!</v>
      </c>
      <c r="K344" s="693" t="e">
        <f t="shared" si="124"/>
        <v>#DIV/0!</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c r="A345" s="670"/>
      <c r="B345" s="1001" t="s">
        <v>230</v>
      </c>
      <c r="C345" s="688"/>
      <c r="D345" s="688" t="e">
        <f t="shared" ref="D345:O345" si="125">IF(D$342="",0,SUM(D189:D193)*D$342)</f>
        <v>#DIV/0!</v>
      </c>
      <c r="E345" s="688" t="e">
        <f t="shared" si="125"/>
        <v>#DIV/0!</v>
      </c>
      <c r="F345" s="688" t="e">
        <f t="shared" si="125"/>
        <v>#DIV/0!</v>
      </c>
      <c r="G345" s="688" t="e">
        <f t="shared" si="125"/>
        <v>#DIV/0!</v>
      </c>
      <c r="H345" s="688" t="e">
        <f t="shared" si="125"/>
        <v>#DIV/0!</v>
      </c>
      <c r="I345" s="688">
        <f t="shared" si="125"/>
        <v>0</v>
      </c>
      <c r="J345" s="688" t="e">
        <f t="shared" si="125"/>
        <v>#DIV/0!</v>
      </c>
      <c r="K345" s="688" t="e">
        <f t="shared" si="125"/>
        <v>#DIV/0!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c r="A346" s="670"/>
      <c r="B346" s="1001" t="s">
        <v>234</v>
      </c>
      <c r="C346" s="688"/>
      <c r="D346" s="688" t="e">
        <f t="shared" ref="D346:O346" si="126">IF(D$342="",0,SUM(D197,D199)*D$342)</f>
        <v>#DIV/0!</v>
      </c>
      <c r="E346" s="688" t="e">
        <f t="shared" si="126"/>
        <v>#DIV/0!</v>
      </c>
      <c r="F346" s="688" t="e">
        <f t="shared" si="126"/>
        <v>#DIV/0!</v>
      </c>
      <c r="G346" s="688" t="e">
        <f t="shared" si="126"/>
        <v>#DIV/0!</v>
      </c>
      <c r="H346" s="688" t="e">
        <f t="shared" si="126"/>
        <v>#DIV/0!</v>
      </c>
      <c r="I346" s="688">
        <f t="shared" si="126"/>
        <v>0</v>
      </c>
      <c r="J346" s="688" t="e">
        <f t="shared" si="126"/>
        <v>#DIV/0!</v>
      </c>
      <c r="K346" s="688" t="e">
        <f t="shared" si="126"/>
        <v>#DIV/0!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c r="A347" s="670"/>
      <c r="B347" s="1001" t="s">
        <v>231</v>
      </c>
      <c r="C347" s="688"/>
      <c r="D347" s="688" t="e">
        <f t="shared" ref="D347:O347" si="127">IF(D$342="",0,SUM(D202:D205)*D$342)</f>
        <v>#DIV/0!</v>
      </c>
      <c r="E347" s="688" t="e">
        <f t="shared" si="127"/>
        <v>#DIV/0!</v>
      </c>
      <c r="F347" s="688" t="e">
        <f t="shared" si="127"/>
        <v>#DIV/0!</v>
      </c>
      <c r="G347" s="688" t="e">
        <f t="shared" si="127"/>
        <v>#DIV/0!</v>
      </c>
      <c r="H347" s="688" t="e">
        <f t="shared" si="127"/>
        <v>#DIV/0!</v>
      </c>
      <c r="I347" s="688">
        <f t="shared" si="127"/>
        <v>0</v>
      </c>
      <c r="J347" s="688" t="e">
        <f t="shared" si="127"/>
        <v>#DIV/0!</v>
      </c>
      <c r="K347" s="688" t="e">
        <f t="shared" si="127"/>
        <v>#DIV/0!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c r="A348" s="670"/>
      <c r="B348" s="1005" t="s">
        <v>232</v>
      </c>
      <c r="C348" s="1006"/>
      <c r="D348" s="1006" t="e">
        <f>SUM(D345:D347)</f>
        <v>#DIV/0!</v>
      </c>
      <c r="E348" s="1006" t="e">
        <f t="shared" ref="E348:O348" si="128">SUM(E345:E347)</f>
        <v>#DIV/0!</v>
      </c>
      <c r="F348" s="1006" t="e">
        <f t="shared" si="128"/>
        <v>#DIV/0!</v>
      </c>
      <c r="G348" s="1006" t="e">
        <f t="shared" si="128"/>
        <v>#DIV/0!</v>
      </c>
      <c r="H348" s="1006" t="e">
        <f t="shared" si="128"/>
        <v>#DIV/0!</v>
      </c>
      <c r="I348" s="1006">
        <f t="shared" si="128"/>
        <v>0</v>
      </c>
      <c r="J348" s="1006" t="e">
        <f t="shared" si="128"/>
        <v>#DIV/0!</v>
      </c>
      <c r="K348" s="1006" t="e">
        <f t="shared" si="128"/>
        <v>#DIV/0!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c r="A350" s="670"/>
      <c r="B350" s="724"/>
      <c r="C350" s="300" t="s">
        <v>304</v>
      </c>
      <c r="D350" s="653" t="str">
        <f t="shared" ref="D350:O350" si="129">D156</f>
        <v/>
      </c>
      <c r="E350" s="653" t="str">
        <f t="shared" si="129"/>
        <v/>
      </c>
      <c r="F350" s="653" t="str">
        <f t="shared" si="129"/>
        <v/>
      </c>
      <c r="G350" s="653" t="str">
        <f t="shared" si="129"/>
        <v/>
      </c>
      <c r="H350" s="653" t="str">
        <f t="shared" si="129"/>
        <v/>
      </c>
      <c r="I350" s="653">
        <f t="shared" si="129"/>
        <v>215</v>
      </c>
      <c r="J350" s="653" t="str">
        <f t="shared" si="129"/>
        <v/>
      </c>
      <c r="K350" s="653" t="str">
        <f t="shared" si="129"/>
        <v/>
      </c>
      <c r="L350" s="653" t="str">
        <f t="shared" si="129"/>
        <v/>
      </c>
      <c r="M350" s="653" t="str">
        <f t="shared" si="129"/>
        <v/>
      </c>
      <c r="N350" s="653" t="str">
        <f t="shared" si="129"/>
        <v/>
      </c>
      <c r="O350" s="653" t="str">
        <f t="shared" si="129"/>
        <v/>
      </c>
      <c r="P350" s="798">
        <f>IF(SUM(D350:O350)=0,0,AVERAGE(D350:O350))</f>
        <v>215</v>
      </c>
      <c r="Q350" s="727"/>
      <c r="R350" s="788"/>
      <c r="S350" s="787"/>
      <c r="T350" s="787"/>
      <c r="U350" s="787"/>
      <c r="V350" s="787"/>
      <c r="W350" s="787"/>
      <c r="X350" s="787"/>
      <c r="Y350" s="787"/>
      <c r="Z350" s="787"/>
      <c r="AA350" s="787"/>
      <c r="AB350" s="787"/>
      <c r="AC350" s="787"/>
    </row>
    <row r="351" spans="1:29" hidden="1">
      <c r="A351" s="670"/>
      <c r="B351" s="724"/>
      <c r="C351" s="300" t="s">
        <v>305</v>
      </c>
      <c r="D351" s="653" t="str">
        <f t="shared" ref="D351:O351" si="130">D159</f>
        <v/>
      </c>
      <c r="E351" s="653" t="str">
        <f t="shared" si="130"/>
        <v/>
      </c>
      <c r="F351" s="653" t="str">
        <f t="shared" si="130"/>
        <v/>
      </c>
      <c r="G351" s="653" t="str">
        <f t="shared" si="130"/>
        <v/>
      </c>
      <c r="H351" s="653" t="str">
        <f t="shared" si="130"/>
        <v/>
      </c>
      <c r="I351" s="653">
        <f t="shared" si="130"/>
        <v>340</v>
      </c>
      <c r="J351" s="653" t="str">
        <f t="shared" si="130"/>
        <v/>
      </c>
      <c r="K351" s="653" t="str">
        <f t="shared" si="130"/>
        <v/>
      </c>
      <c r="L351" s="653" t="str">
        <f t="shared" si="130"/>
        <v/>
      </c>
      <c r="M351" s="653" t="str">
        <f t="shared" si="130"/>
        <v/>
      </c>
      <c r="N351" s="653" t="str">
        <f t="shared" si="130"/>
        <v/>
      </c>
      <c r="O351" s="653" t="str">
        <f t="shared" si="130"/>
        <v/>
      </c>
      <c r="P351" s="798">
        <f t="shared" ref="P351:P353" si="131">IF(SUM(D351:O351)=0,0,AVERAGE(D351:O351))</f>
        <v>340</v>
      </c>
      <c r="Q351" s="727"/>
      <c r="R351" s="788"/>
      <c r="S351" s="787"/>
      <c r="T351" s="787"/>
      <c r="U351" s="787"/>
      <c r="V351" s="787"/>
      <c r="W351" s="787"/>
      <c r="X351" s="787"/>
      <c r="Y351" s="787"/>
      <c r="Z351" s="787"/>
      <c r="AA351" s="787"/>
      <c r="AB351" s="787"/>
      <c r="AC351" s="787"/>
    </row>
    <row r="352" spans="1:29" hidden="1">
      <c r="A352" s="670"/>
      <c r="B352" s="724"/>
      <c r="C352" s="300" t="s">
        <v>447</v>
      </c>
      <c r="D352" s="653" t="str">
        <f t="shared" ref="D352:O352" si="132">D162</f>
        <v/>
      </c>
      <c r="E352" s="653" t="str">
        <f t="shared" si="132"/>
        <v/>
      </c>
      <c r="F352" s="653" t="str">
        <f t="shared" si="132"/>
        <v/>
      </c>
      <c r="G352" s="653" t="str">
        <f t="shared" si="132"/>
        <v/>
      </c>
      <c r="H352" s="653" t="str">
        <f t="shared" si="132"/>
        <v/>
      </c>
      <c r="I352" s="653" t="str">
        <f t="shared" si="132"/>
        <v/>
      </c>
      <c r="J352" s="653" t="str">
        <f t="shared" si="132"/>
        <v/>
      </c>
      <c r="K352" s="653" t="str">
        <f t="shared" si="132"/>
        <v/>
      </c>
      <c r="L352" s="653" t="str">
        <f t="shared" si="132"/>
        <v/>
      </c>
      <c r="M352" s="653" t="str">
        <f t="shared" si="132"/>
        <v/>
      </c>
      <c r="N352" s="653" t="str">
        <f t="shared" si="132"/>
        <v/>
      </c>
      <c r="O352" s="653" t="str">
        <f t="shared" si="132"/>
        <v/>
      </c>
      <c r="P352" s="798">
        <f t="shared" si="131"/>
        <v>0</v>
      </c>
      <c r="Q352" s="727"/>
      <c r="R352" s="788"/>
      <c r="S352" s="787"/>
      <c r="T352" s="787"/>
      <c r="U352" s="787"/>
      <c r="V352" s="787"/>
      <c r="W352" s="787"/>
      <c r="X352" s="787"/>
      <c r="Y352" s="787"/>
      <c r="Z352" s="787"/>
      <c r="AA352" s="787"/>
      <c r="AB352" s="787"/>
      <c r="AC352" s="787"/>
    </row>
    <row r="353" spans="1:29" hidden="1">
      <c r="A353" s="670"/>
      <c r="B353" s="724"/>
      <c r="C353" s="300" t="s">
        <v>309</v>
      </c>
      <c r="D353" s="653" t="str">
        <f t="shared" ref="D353:O353" si="133">D165</f>
        <v/>
      </c>
      <c r="E353" s="653" t="str">
        <f t="shared" si="133"/>
        <v/>
      </c>
      <c r="F353" s="653" t="str">
        <f t="shared" si="133"/>
        <v/>
      </c>
      <c r="G353" s="653" t="str">
        <f t="shared" si="133"/>
        <v/>
      </c>
      <c r="H353" s="653" t="str">
        <f t="shared" si="133"/>
        <v/>
      </c>
      <c r="I353" s="653">
        <f t="shared" si="133"/>
        <v>284</v>
      </c>
      <c r="J353" s="653" t="str">
        <f t="shared" si="133"/>
        <v/>
      </c>
      <c r="K353" s="653" t="str">
        <f t="shared" si="133"/>
        <v/>
      </c>
      <c r="L353" s="653" t="str">
        <f t="shared" si="133"/>
        <v/>
      </c>
      <c r="M353" s="653" t="str">
        <f t="shared" si="133"/>
        <v/>
      </c>
      <c r="N353" s="653" t="str">
        <f t="shared" si="133"/>
        <v/>
      </c>
      <c r="O353" s="653" t="str">
        <f t="shared" si="133"/>
        <v/>
      </c>
      <c r="P353" s="798">
        <f t="shared" si="131"/>
        <v>284</v>
      </c>
      <c r="Q353" s="727"/>
      <c r="R353" s="788"/>
      <c r="S353" s="787"/>
      <c r="T353" s="787"/>
      <c r="U353" s="787"/>
      <c r="V353" s="787"/>
      <c r="W353" s="787"/>
      <c r="X353" s="787"/>
      <c r="Y353" s="787"/>
      <c r="Z353" s="787"/>
      <c r="AA353" s="787"/>
      <c r="AB353" s="787"/>
      <c r="AC353" s="787"/>
    </row>
    <row r="354" spans="1:29" hidden="1">
      <c r="A354" s="670"/>
      <c r="B354" s="724"/>
      <c r="C354" s="300"/>
      <c r="D354" s="653">
        <f>SUM(D350:D353)</f>
        <v>0</v>
      </c>
      <c r="E354" s="653">
        <f t="shared" ref="E354:N354" si="134">SUM(E350:E353)</f>
        <v>0</v>
      </c>
      <c r="F354" s="653">
        <f t="shared" si="134"/>
        <v>0</v>
      </c>
      <c r="G354" s="653">
        <f t="shared" si="134"/>
        <v>0</v>
      </c>
      <c r="H354" s="653">
        <f t="shared" si="134"/>
        <v>0</v>
      </c>
      <c r="I354" s="653">
        <f t="shared" si="134"/>
        <v>839</v>
      </c>
      <c r="J354" s="653">
        <f t="shared" si="134"/>
        <v>0</v>
      </c>
      <c r="K354" s="653">
        <f t="shared" si="134"/>
        <v>0</v>
      </c>
      <c r="L354" s="653">
        <f t="shared" si="134"/>
        <v>0</v>
      </c>
      <c r="M354" s="653">
        <f t="shared" si="134"/>
        <v>0</v>
      </c>
      <c r="N354" s="653">
        <f t="shared" si="134"/>
        <v>0</v>
      </c>
      <c r="O354" s="653">
        <f>SUM(O350:O353)</f>
        <v>0</v>
      </c>
      <c r="P354" s="798">
        <f t="shared" ref="P354" si="135">AVERAGE(D354:O354)</f>
        <v>69.916666666666671</v>
      </c>
      <c r="Q354" s="727"/>
      <c r="R354" s="788"/>
      <c r="S354" s="787"/>
      <c r="T354" s="787"/>
      <c r="U354" s="787"/>
      <c r="V354" s="787"/>
      <c r="W354" s="787"/>
      <c r="X354" s="787"/>
      <c r="Y354" s="787"/>
      <c r="Z354" s="787"/>
      <c r="AA354" s="787"/>
      <c r="AB354" s="787"/>
      <c r="AC354" s="787"/>
    </row>
    <row r="355" spans="1:29" ht="15.75" hidden="1" thickBot="1">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c r="A356" s="670"/>
      <c r="B356" s="1027" t="s">
        <v>482</v>
      </c>
      <c r="C356" s="1042"/>
      <c r="D356" s="1043"/>
      <c r="E356" s="1043"/>
      <c r="F356" s="1043"/>
      <c r="G356" s="1043"/>
      <c r="H356" s="1043"/>
      <c r="I356" s="1043"/>
      <c r="J356" s="1043"/>
      <c r="K356" s="1043"/>
      <c r="L356" s="1043"/>
      <c r="M356" s="1043"/>
      <c r="N356" s="1043"/>
      <c r="O356" s="1043"/>
      <c r="P356" s="1044"/>
      <c r="Q356" s="672"/>
      <c r="R356" s="783" t="s">
        <v>251</v>
      </c>
      <c r="S356" s="783" t="s">
        <v>252</v>
      </c>
      <c r="T356" s="783" t="s">
        <v>483</v>
      </c>
      <c r="U356" s="787"/>
      <c r="V356" s="787"/>
      <c r="W356" s="787"/>
      <c r="X356" s="787"/>
      <c r="Y356" s="787"/>
      <c r="Z356" s="787"/>
      <c r="AA356" s="787"/>
      <c r="AB356" s="787"/>
      <c r="AC356" s="787"/>
    </row>
    <row r="357" spans="1:29" hidden="1">
      <c r="A357" s="670"/>
      <c r="B357" s="711" t="s">
        <v>12</v>
      </c>
      <c r="C357" s="711"/>
      <c r="D357" s="712">
        <f>D478</f>
        <v>0</v>
      </c>
      <c r="E357" s="712">
        <f t="shared" ref="E357:O357" si="136">E478</f>
        <v>0</v>
      </c>
      <c r="F357" s="712">
        <f t="shared" si="136"/>
        <v>0</v>
      </c>
      <c r="G357" s="712">
        <f t="shared" si="136"/>
        <v>0</v>
      </c>
      <c r="H357" s="712">
        <f t="shared" si="136"/>
        <v>0</v>
      </c>
      <c r="I357" s="712">
        <f t="shared" si="136"/>
        <v>6</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f t="shared" si="137"/>
        <v>0.24026125450180075</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0.24026125450180075</v>
      </c>
      <c r="Q359" s="727">
        <f>(P359/12)</f>
        <v>2.0021771208483394E-2</v>
      </c>
      <c r="R359" s="787">
        <f>SUM(D$474:O$474)</f>
        <v>545</v>
      </c>
      <c r="S359" s="787">
        <f>R359/12</f>
        <v>45.416666666666664</v>
      </c>
      <c r="T359" s="787">
        <f>IF(Q359=0,0,S359/Q359)</f>
        <v>2268.3640819660968</v>
      </c>
      <c r="U359" s="787"/>
      <c r="V359" s="787"/>
      <c r="W359" s="787"/>
      <c r="X359" s="787"/>
      <c r="Y359" s="787"/>
      <c r="Z359" s="787"/>
      <c r="AA359" s="787"/>
      <c r="AB359" s="787"/>
      <c r="AC359" s="787"/>
    </row>
    <row r="360" spans="1:29" ht="15.75" hidden="1" thickBot="1">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c r="A367" s="670"/>
      <c r="B367" s="733" t="s">
        <v>188</v>
      </c>
      <c r="C367" s="733"/>
      <c r="D367" s="728" t="str">
        <f>IF(D175="","",D557/D175)</f>
        <v/>
      </c>
      <c r="E367" s="728" t="str">
        <f t="shared" ref="E367:O367" si="139">IF(E175="","",E557/E175)</f>
        <v/>
      </c>
      <c r="F367" s="728" t="str">
        <f t="shared" si="139"/>
        <v/>
      </c>
      <c r="G367" s="728" t="str">
        <f t="shared" si="139"/>
        <v/>
      </c>
      <c r="H367" s="728" t="str">
        <f t="shared" si="139"/>
        <v/>
      </c>
      <c r="I367" s="728">
        <f t="shared" si="139"/>
        <v>0.22176414672332814</v>
      </c>
      <c r="J367" s="728" t="str">
        <f t="shared" si="139"/>
        <v/>
      </c>
      <c r="K367" s="728" t="str">
        <f t="shared" si="139"/>
        <v/>
      </c>
      <c r="L367" s="728" t="str">
        <f t="shared" si="139"/>
        <v/>
      </c>
      <c r="M367" s="728" t="str">
        <f t="shared" si="139"/>
        <v/>
      </c>
      <c r="N367" s="728" t="str">
        <f t="shared" si="139"/>
        <v/>
      </c>
      <c r="O367" s="728" t="str">
        <f t="shared" si="139"/>
        <v/>
      </c>
      <c r="P367" s="729">
        <f t="shared" ref="P367" si="140">SUM(D367:O367)</f>
        <v>0.22176414672332814</v>
      </c>
      <c r="Q367" s="727">
        <f>(P367/12)</f>
        <v>1.8480345560277344E-2</v>
      </c>
      <c r="R367" s="787">
        <f>SUM(D$549:O$549)</f>
        <v>1080</v>
      </c>
      <c r="S367" s="787">
        <f>R367/12</f>
        <v>90</v>
      </c>
      <c r="T367" s="787">
        <f>IF(Q367=0,0,S367/Q367)</f>
        <v>4870.0388045476202</v>
      </c>
      <c r="U367" s="787"/>
      <c r="V367" s="787"/>
      <c r="W367" s="787"/>
      <c r="X367" s="787"/>
      <c r="Y367" s="787"/>
      <c r="Z367" s="787"/>
      <c r="AA367" s="787"/>
      <c r="AB367" s="787"/>
      <c r="AC367" s="787"/>
    </row>
    <row r="368" spans="1:29" ht="15.75" hidden="1" thickBot="1">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c r="A375" s="670"/>
      <c r="B375" s="733" t="s">
        <v>188</v>
      </c>
      <c r="C375" s="733"/>
      <c r="D375" s="728" t="str">
        <f>IF(D178="","",D632/D178)</f>
        <v/>
      </c>
      <c r="E375" s="728" t="str">
        <f t="shared" ref="E375:O375" si="141">IF(E178="","",E632/E178)</f>
        <v/>
      </c>
      <c r="F375" s="728" t="str">
        <f t="shared" si="141"/>
        <v/>
      </c>
      <c r="G375" s="728" t="str">
        <f t="shared" si="141"/>
        <v/>
      </c>
      <c r="H375" s="728" t="str">
        <f t="shared" si="141"/>
        <v/>
      </c>
      <c r="I375" s="728" t="str">
        <f t="shared" si="141"/>
        <v/>
      </c>
      <c r="J375" s="728" t="str">
        <f t="shared" si="141"/>
        <v/>
      </c>
      <c r="K375" s="728" t="str">
        <f t="shared" si="141"/>
        <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c r="A384" s="670"/>
      <c r="B384" s="733" t="s">
        <v>188</v>
      </c>
      <c r="C384" s="733"/>
      <c r="D384" s="728" t="str">
        <f>IF(D181="","",D707/D181)</f>
        <v/>
      </c>
      <c r="E384" s="728" t="str">
        <f t="shared" ref="E384:O384" si="143">IF(E181="","",E707/E181)</f>
        <v/>
      </c>
      <c r="F384" s="728" t="str">
        <f t="shared" si="143"/>
        <v/>
      </c>
      <c r="G384" s="728" t="str">
        <f t="shared" si="143"/>
        <v/>
      </c>
      <c r="H384" s="728" t="str">
        <f t="shared" si="143"/>
        <v/>
      </c>
      <c r="I384" s="728">
        <f t="shared" si="143"/>
        <v>0.79846815134099614</v>
      </c>
      <c r="J384" s="728" t="str">
        <f t="shared" si="143"/>
        <v/>
      </c>
      <c r="K384" s="728" t="str">
        <f t="shared" si="143"/>
        <v/>
      </c>
      <c r="L384" s="728" t="str">
        <f t="shared" si="143"/>
        <v/>
      </c>
      <c r="M384" s="728" t="str">
        <f t="shared" si="143"/>
        <v/>
      </c>
      <c r="N384" s="728" t="str">
        <f t="shared" si="143"/>
        <v/>
      </c>
      <c r="O384" s="728" t="str">
        <f t="shared" si="143"/>
        <v/>
      </c>
      <c r="P384" s="729">
        <f t="shared" ref="P384" si="144">SUM(D384:O384)</f>
        <v>0.79846815134099614</v>
      </c>
      <c r="Q384" s="727">
        <f>(P384/12)</f>
        <v>6.6539012611749673E-2</v>
      </c>
      <c r="R384" s="787">
        <f>SUM(D$699:O$699)</f>
        <v>5675</v>
      </c>
      <c r="S384" s="787">
        <f>R384/12</f>
        <v>472.91666666666669</v>
      </c>
      <c r="T384" s="787">
        <f>IF(Q384=0,0,S384/Q384)</f>
        <v>7107.3592484171841</v>
      </c>
      <c r="U384" s="787"/>
      <c r="V384" s="787"/>
      <c r="W384" s="787"/>
      <c r="X384" s="787"/>
      <c r="Y384" s="787"/>
      <c r="Z384" s="787"/>
      <c r="AA384" s="787"/>
      <c r="AB384" s="787"/>
      <c r="AC384" s="787"/>
    </row>
    <row r="385" spans="1:29" ht="15.75" hidden="1" thickBot="1">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c r="A391" s="670"/>
      <c r="B391" s="711" t="s">
        <v>439</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c r="A392" s="670"/>
      <c r="B392" s="1010" t="s">
        <v>439</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c r="A393" s="670"/>
      <c r="B393" s="733" t="s">
        <v>188</v>
      </c>
      <c r="C393" s="733"/>
      <c r="D393" s="728" t="e">
        <f>IF(D182="","",D784/D182)</f>
        <v>#DIV/0!</v>
      </c>
      <c r="E393" s="728" t="e">
        <f t="shared" ref="E393:O393" si="145">IF(E182="","",E784/E182)</f>
        <v>#DIV/0!</v>
      </c>
      <c r="F393" s="728" t="e">
        <f t="shared" si="145"/>
        <v>#DIV/0!</v>
      </c>
      <c r="G393" s="728" t="e">
        <f t="shared" si="145"/>
        <v>#DIV/0!</v>
      </c>
      <c r="H393" s="728" t="e">
        <f t="shared" si="145"/>
        <v>#DIV/0!</v>
      </c>
      <c r="I393" s="728">
        <f t="shared" si="145"/>
        <v>0.37204046717895783</v>
      </c>
      <c r="J393" s="728" t="e">
        <f t="shared" si="145"/>
        <v>#DIV/0!</v>
      </c>
      <c r="K393" s="728" t="e">
        <f t="shared" si="145"/>
        <v>#DIV/0!</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7300</v>
      </c>
      <c r="S393" s="787">
        <f>R393/12</f>
        <v>608.33333333333337</v>
      </c>
      <c r="T393" s="787" t="e">
        <f>IF(Q393=0,0,S393/Q393)</f>
        <v>#DIV/0!</v>
      </c>
      <c r="U393" s="787"/>
      <c r="V393" s="787"/>
      <c r="W393" s="787"/>
      <c r="X393" s="787"/>
      <c r="Y393" s="787"/>
      <c r="Z393" s="787"/>
      <c r="AA393" s="787"/>
      <c r="AB393" s="787"/>
      <c r="AC393" s="787"/>
    </row>
    <row r="394" spans="1:29" ht="15.75" hidden="1" thickBot="1">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c r="A401" s="670"/>
      <c r="B401" s="724"/>
      <c r="C401" s="300" t="s">
        <v>304</v>
      </c>
      <c r="D401" s="300" t="str">
        <f>D172</f>
        <v/>
      </c>
      <c r="E401" s="300" t="str">
        <f t="shared" ref="E401:O401" si="147">E172</f>
        <v/>
      </c>
      <c r="F401" s="300" t="str">
        <f t="shared" si="147"/>
        <v/>
      </c>
      <c r="G401" s="300" t="str">
        <f t="shared" si="147"/>
        <v/>
      </c>
      <c r="H401" s="300" t="str">
        <f t="shared" si="147"/>
        <v/>
      </c>
      <c r="I401" s="300">
        <f t="shared" si="147"/>
        <v>2268.3640819660968</v>
      </c>
      <c r="J401" s="300" t="str">
        <f t="shared" si="147"/>
        <v/>
      </c>
      <c r="K401" s="300" t="str">
        <f t="shared" si="147"/>
        <v/>
      </c>
      <c r="L401" s="300" t="str">
        <f t="shared" si="147"/>
        <v/>
      </c>
      <c r="M401" s="300" t="str">
        <f t="shared" si="147"/>
        <v/>
      </c>
      <c r="N401" s="300" t="str">
        <f t="shared" si="147"/>
        <v/>
      </c>
      <c r="O401" s="300" t="str">
        <f t="shared" si="147"/>
        <v/>
      </c>
      <c r="P401" s="798">
        <f>IF(SUM(D401:O401)=0,0,AVERAGE(D401:O401))</f>
        <v>2268.3640819660968</v>
      </c>
      <c r="Q401" s="727"/>
      <c r="R401" s="788"/>
      <c r="S401" s="787"/>
      <c r="T401" s="787"/>
      <c r="U401" s="787"/>
      <c r="V401" s="787"/>
      <c r="W401" s="787"/>
      <c r="X401" s="787"/>
      <c r="Y401" s="787"/>
      <c r="Z401" s="787"/>
      <c r="AA401" s="787"/>
      <c r="AB401" s="787"/>
      <c r="AC401" s="787"/>
    </row>
    <row r="402" spans="1:29" hidden="1">
      <c r="A402" s="670"/>
      <c r="B402" s="724"/>
      <c r="C402" s="300" t="s">
        <v>305</v>
      </c>
      <c r="D402" s="300" t="str">
        <f>D175</f>
        <v/>
      </c>
      <c r="E402" s="300" t="str">
        <f t="shared" ref="E402:O402" si="148">E175</f>
        <v/>
      </c>
      <c r="F402" s="300" t="str">
        <f t="shared" si="148"/>
        <v/>
      </c>
      <c r="G402" s="300" t="str">
        <f t="shared" si="148"/>
        <v/>
      </c>
      <c r="H402" s="300" t="str">
        <f t="shared" si="148"/>
        <v/>
      </c>
      <c r="I402" s="300">
        <f t="shared" si="148"/>
        <v>4870.0388045476202</v>
      </c>
      <c r="J402" s="300" t="str">
        <f t="shared" si="148"/>
        <v/>
      </c>
      <c r="K402" s="300" t="str">
        <f t="shared" si="148"/>
        <v/>
      </c>
      <c r="L402" s="300" t="str">
        <f t="shared" si="148"/>
        <v/>
      </c>
      <c r="M402" s="300" t="str">
        <f t="shared" si="148"/>
        <v/>
      </c>
      <c r="N402" s="300" t="str">
        <f t="shared" si="148"/>
        <v/>
      </c>
      <c r="O402" s="300" t="str">
        <f t="shared" si="148"/>
        <v/>
      </c>
      <c r="P402" s="798">
        <f t="shared" ref="P402:P404" si="149">IF(SUM(D402:O402)=0,0,AVERAGE(D402:O402))</f>
        <v>4870.0388045476202</v>
      </c>
      <c r="Q402" s="727"/>
      <c r="R402" s="788"/>
      <c r="S402" s="787"/>
      <c r="T402" s="787"/>
      <c r="U402" s="787"/>
      <c r="V402" s="787"/>
      <c r="W402" s="787"/>
      <c r="X402" s="787"/>
      <c r="Y402" s="787"/>
      <c r="Z402" s="787"/>
      <c r="AA402" s="787"/>
      <c r="AB402" s="787"/>
      <c r="AC402" s="787"/>
    </row>
    <row r="403" spans="1:29" hidden="1">
      <c r="A403" s="670"/>
      <c r="B403" s="724"/>
      <c r="C403" s="300" t="s">
        <v>447</v>
      </c>
      <c r="D403" s="300" t="str">
        <f>D178</f>
        <v/>
      </c>
      <c r="E403" s="300" t="str">
        <f t="shared" ref="E403:O403" si="150">E178</f>
        <v/>
      </c>
      <c r="F403" s="300" t="str">
        <f t="shared" si="150"/>
        <v/>
      </c>
      <c r="G403" s="300" t="str">
        <f t="shared" si="150"/>
        <v/>
      </c>
      <c r="H403" s="300" t="str">
        <f t="shared" si="150"/>
        <v/>
      </c>
      <c r="I403" s="300" t="str">
        <f t="shared" si="150"/>
        <v/>
      </c>
      <c r="J403" s="300" t="str">
        <f t="shared" si="150"/>
        <v/>
      </c>
      <c r="K403" s="300" t="str">
        <f t="shared" si="150"/>
        <v/>
      </c>
      <c r="L403" s="300" t="str">
        <f t="shared" si="150"/>
        <v/>
      </c>
      <c r="M403" s="300" t="str">
        <f t="shared" si="150"/>
        <v/>
      </c>
      <c r="N403" s="300" t="str">
        <f t="shared" si="150"/>
        <v/>
      </c>
      <c r="O403" s="300" t="str">
        <f t="shared" si="150"/>
        <v/>
      </c>
      <c r="P403" s="798">
        <f t="shared" si="149"/>
        <v>0</v>
      </c>
      <c r="Q403" s="727"/>
      <c r="R403" s="788"/>
      <c r="S403" s="787"/>
      <c r="T403" s="787"/>
      <c r="U403" s="787"/>
      <c r="V403" s="787"/>
      <c r="W403" s="787"/>
      <c r="X403" s="787"/>
      <c r="Y403" s="787"/>
      <c r="Z403" s="787"/>
      <c r="AA403" s="787"/>
      <c r="AB403" s="787"/>
      <c r="AC403" s="787"/>
    </row>
    <row r="404" spans="1:29" hidden="1">
      <c r="A404" s="670"/>
      <c r="B404" s="724"/>
      <c r="C404" s="300" t="s">
        <v>309</v>
      </c>
      <c r="D404" s="300" t="str">
        <f>D181</f>
        <v/>
      </c>
      <c r="E404" s="300" t="str">
        <f t="shared" ref="E404:O404" si="151">E181</f>
        <v/>
      </c>
      <c r="F404" s="300" t="str">
        <f t="shared" si="151"/>
        <v/>
      </c>
      <c r="G404" s="300" t="str">
        <f t="shared" si="151"/>
        <v/>
      </c>
      <c r="H404" s="300" t="str">
        <f t="shared" si="151"/>
        <v/>
      </c>
      <c r="I404" s="300">
        <f t="shared" si="151"/>
        <v>7107.3592484171832</v>
      </c>
      <c r="J404" s="300" t="str">
        <f t="shared" si="151"/>
        <v/>
      </c>
      <c r="K404" s="300" t="str">
        <f t="shared" si="151"/>
        <v/>
      </c>
      <c r="L404" s="300" t="str">
        <f t="shared" si="151"/>
        <v/>
      </c>
      <c r="M404" s="300" t="str">
        <f t="shared" si="151"/>
        <v/>
      </c>
      <c r="N404" s="300" t="str">
        <f t="shared" si="151"/>
        <v/>
      </c>
      <c r="O404" s="300" t="str">
        <f t="shared" si="151"/>
        <v/>
      </c>
      <c r="P404" s="798">
        <f t="shared" si="149"/>
        <v>7107.3592484171832</v>
      </c>
      <c r="Q404" s="727"/>
      <c r="R404" s="788"/>
      <c r="S404" s="787"/>
      <c r="T404" s="787"/>
      <c r="U404" s="787"/>
      <c r="V404" s="787"/>
      <c r="W404" s="787"/>
      <c r="X404" s="787"/>
      <c r="Y404" s="787"/>
      <c r="Z404" s="787"/>
      <c r="AA404" s="787"/>
      <c r="AB404" s="787"/>
      <c r="AC404" s="787"/>
    </row>
    <row r="405" spans="1:29" hidden="1">
      <c r="A405" s="670"/>
      <c r="B405" s="724"/>
      <c r="C405" s="300"/>
      <c r="D405" s="300">
        <f>SUM(D401:D404)</f>
        <v>0</v>
      </c>
      <c r="E405" s="300">
        <f t="shared" ref="E405:O405" si="152">SUM(E401:E404)</f>
        <v>0</v>
      </c>
      <c r="F405" s="300">
        <f t="shared" si="152"/>
        <v>0</v>
      </c>
      <c r="G405" s="300">
        <f t="shared" si="152"/>
        <v>0</v>
      </c>
      <c r="H405" s="300">
        <f t="shared" si="152"/>
        <v>0</v>
      </c>
      <c r="I405" s="300">
        <f t="shared" si="152"/>
        <v>14245.762134930901</v>
      </c>
      <c r="J405" s="300">
        <f t="shared" si="152"/>
        <v>0</v>
      </c>
      <c r="K405" s="300">
        <f t="shared" si="152"/>
        <v>0</v>
      </c>
      <c r="L405" s="300">
        <f t="shared" si="152"/>
        <v>0</v>
      </c>
      <c r="M405" s="300">
        <f t="shared" si="152"/>
        <v>0</v>
      </c>
      <c r="N405" s="300">
        <f t="shared" si="152"/>
        <v>0</v>
      </c>
      <c r="O405" s="300">
        <f t="shared" si="152"/>
        <v>0</v>
      </c>
      <c r="P405" s="792">
        <f t="shared" ref="P405" si="153">AVERAGE(D405:O405)</f>
        <v>1187.1468445775752</v>
      </c>
      <c r="Q405" s="727"/>
      <c r="R405" s="788"/>
      <c r="S405" s="787"/>
      <c r="T405" s="787"/>
      <c r="U405" s="787"/>
      <c r="V405" s="787"/>
      <c r="W405" s="787"/>
      <c r="X405" s="787"/>
      <c r="Y405" s="787"/>
      <c r="Z405" s="787"/>
      <c r="AA405" s="787"/>
      <c r="AB405" s="787"/>
      <c r="AC405" s="787"/>
    </row>
    <row r="406" spans="1:29" ht="15.75" hidden="1" thickBot="1">
      <c r="A406" s="701"/>
      <c r="B406" s="702"/>
      <c r="C406" s="702"/>
      <c r="D406" s="702"/>
      <c r="E406" s="702"/>
      <c r="F406" s="702"/>
      <c r="G406" s="702"/>
      <c r="H406" s="702"/>
      <c r="I406" s="702"/>
      <c r="J406" s="702"/>
      <c r="K406" s="702"/>
      <c r="L406" s="702"/>
      <c r="M406" s="702"/>
      <c r="N406" s="702"/>
      <c r="O406" s="702"/>
      <c r="P406" s="702"/>
      <c r="Q406" s="723"/>
    </row>
    <row r="407" spans="1:29" ht="15.75" hidden="1" thickTop="1"/>
    <row r="408" spans="1:29" ht="15.75" hidden="1" thickBot="1"/>
    <row r="409" spans="1:29" ht="16.5" hidden="1" thickTop="1" thickBot="1">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c r="A425" s="670">
        <v>15</v>
      </c>
      <c r="B425" s="739" t="str">
        <f>SAÍDAS!C45</f>
        <v>Alimentação</v>
      </c>
      <c r="C425" s="300">
        <f t="shared" si="154"/>
        <v>500</v>
      </c>
      <c r="D425" s="300">
        <f>SAÍDAS!E45*(SAÍDAS!$U45/100)</f>
        <v>0</v>
      </c>
      <c r="E425" s="300">
        <f>SAÍDAS!F45*(SAÍDAS!$U45/100)</f>
        <v>0</v>
      </c>
      <c r="F425" s="300">
        <f>SAÍDAS!G45*(SAÍDAS!$U45/100)</f>
        <v>0</v>
      </c>
      <c r="G425" s="300">
        <f>SAÍDAS!H45*(SAÍDAS!$U45/100)</f>
        <v>0</v>
      </c>
      <c r="H425" s="300">
        <f>SAÍDAS!I45*(SAÍDAS!$U45/100)</f>
        <v>0</v>
      </c>
      <c r="I425" s="300">
        <f>SAÍDAS!J45*(SAÍDAS!$U45/100)</f>
        <v>357.14285714285711</v>
      </c>
      <c r="J425" s="300">
        <f>SAÍDAS!K45*(SAÍDAS!$U45/100)</f>
        <v>142.85714285714286</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c r="A436" s="670">
        <v>26</v>
      </c>
      <c r="B436" s="739" t="str">
        <f>SAÍDAS!C56</f>
        <v>Combustível e Energia</v>
      </c>
      <c r="C436" s="300">
        <f t="shared" si="154"/>
        <v>45</v>
      </c>
      <c r="D436" s="300">
        <f>SAÍDAS!E56*(SAÍDAS!$U56/100)</f>
        <v>0</v>
      </c>
      <c r="E436" s="300">
        <f>SAÍDAS!F56*(SAÍDAS!$U56/100)</f>
        <v>0</v>
      </c>
      <c r="F436" s="300">
        <f>SAÍDAS!G56*(SAÍDAS!$U56/100)</f>
        <v>0</v>
      </c>
      <c r="G436" s="300">
        <f>SAÍDAS!H56*(SAÍDAS!$U56/100)</f>
        <v>0</v>
      </c>
      <c r="H436" s="300">
        <f>SAÍDAS!I56*(SAÍDAS!$U56/100)</f>
        <v>0</v>
      </c>
      <c r="I436" s="300">
        <f>SAÍDAS!J56*(SAÍDAS!$U56/100)</f>
        <v>45</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c r="A446" s="670">
        <v>36</v>
      </c>
      <c r="B446" s="739" t="str">
        <f>SAÍDAS!C66</f>
        <v>Outros</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c r="A450" s="670">
        <v>40</v>
      </c>
      <c r="B450" s="740" t="s">
        <v>179</v>
      </c>
      <c r="C450" s="300">
        <f t="shared" si="154"/>
        <v>545</v>
      </c>
      <c r="D450" s="300">
        <f t="shared" ref="D450:O450" si="155">SUM(D411:D449)</f>
        <v>0</v>
      </c>
      <c r="E450" s="300">
        <f>SUM(E411:E449)</f>
        <v>0</v>
      </c>
      <c r="F450" s="300">
        <f t="shared" si="155"/>
        <v>0</v>
      </c>
      <c r="G450" s="300">
        <f t="shared" si="155"/>
        <v>0</v>
      </c>
      <c r="H450" s="300">
        <f t="shared" si="155"/>
        <v>0</v>
      </c>
      <c r="I450" s="300">
        <f t="shared" si="155"/>
        <v>402.14285714285711</v>
      </c>
      <c r="J450" s="300">
        <f t="shared" si="155"/>
        <v>142.85714285714286</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402.14285714285711</v>
      </c>
      <c r="J474" s="744">
        <f t="shared" si="158"/>
        <v>142.85714285714286</v>
      </c>
      <c r="K474" s="744">
        <f t="shared" si="158"/>
        <v>0</v>
      </c>
      <c r="L474" s="744">
        <f t="shared" si="158"/>
        <v>0</v>
      </c>
      <c r="M474" s="744">
        <f t="shared" si="158"/>
        <v>0</v>
      </c>
      <c r="N474" s="744">
        <f t="shared" si="158"/>
        <v>0</v>
      </c>
      <c r="O474" s="744">
        <f t="shared" si="158"/>
        <v>0</v>
      </c>
      <c r="P474" s="744">
        <f>SUM(D474:O474)</f>
        <v>545</v>
      </c>
      <c r="Q474" s="672"/>
      <c r="R474" s="783"/>
      <c r="S474" s="783"/>
      <c r="T474" s="783"/>
      <c r="U474" s="783"/>
      <c r="V474" s="783"/>
      <c r="W474" s="783"/>
      <c r="X474" s="783"/>
      <c r="Y474" s="783"/>
    </row>
    <row r="475" spans="1:25" hidden="1">
      <c r="A475" s="670">
        <v>64</v>
      </c>
      <c r="B475" s="745" t="s">
        <v>178</v>
      </c>
      <c r="C475" s="680"/>
      <c r="D475" s="746">
        <f>D474</f>
        <v>0</v>
      </c>
      <c r="E475" s="746">
        <f t="shared" ref="E475:O475" si="159">D475+E474</f>
        <v>0</v>
      </c>
      <c r="F475" s="746">
        <f t="shared" si="159"/>
        <v>0</v>
      </c>
      <c r="G475" s="746">
        <f>F475+G474</f>
        <v>0</v>
      </c>
      <c r="H475" s="746">
        <f>G475+H474</f>
        <v>0</v>
      </c>
      <c r="I475" s="746">
        <f>H475+I474</f>
        <v>402.14285714285711</v>
      </c>
      <c r="J475" s="746">
        <f>I475+J474</f>
        <v>545</v>
      </c>
      <c r="K475" s="746">
        <f t="shared" si="159"/>
        <v>545</v>
      </c>
      <c r="L475" s="746">
        <f t="shared" si="159"/>
        <v>545</v>
      </c>
      <c r="M475" s="746">
        <f t="shared" si="159"/>
        <v>545</v>
      </c>
      <c r="N475" s="746">
        <f t="shared" si="159"/>
        <v>545</v>
      </c>
      <c r="O475" s="747">
        <f t="shared" si="159"/>
        <v>545</v>
      </c>
      <c r="P475" s="748"/>
      <c r="Q475" s="672"/>
      <c r="R475" s="783"/>
      <c r="S475" s="783"/>
      <c r="T475" s="783"/>
      <c r="U475" s="783"/>
      <c r="V475" s="783"/>
      <c r="W475" s="783"/>
      <c r="X475" s="783"/>
      <c r="Y475" s="783"/>
    </row>
    <row r="476" spans="1:25" hidden="1">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402.14285714285711</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c r="A477" s="670">
        <v>66</v>
      </c>
      <c r="B477" s="745" t="s">
        <v>182</v>
      </c>
      <c r="C477" s="680"/>
      <c r="D477" s="680">
        <f>D476</f>
        <v>0</v>
      </c>
      <c r="E477" s="680">
        <f t="shared" ref="E477:O477" si="161">(D477+E476)</f>
        <v>0</v>
      </c>
      <c r="F477" s="680">
        <f t="shared" si="161"/>
        <v>0</v>
      </c>
      <c r="G477" s="680">
        <f>(F477+G476)</f>
        <v>0</v>
      </c>
      <c r="H477" s="680">
        <f>(G477+H476)</f>
        <v>0</v>
      </c>
      <c r="I477" s="680">
        <f>(H477+I476)</f>
        <v>402.14285714285711</v>
      </c>
      <c r="J477" s="680">
        <f>(I477+J476)</f>
        <v>402.14285714285711</v>
      </c>
      <c r="K477" s="680">
        <f t="shared" si="161"/>
        <v>402.14285714285711</v>
      </c>
      <c r="L477" s="680">
        <f t="shared" si="161"/>
        <v>402.14285714285711</v>
      </c>
      <c r="M477" s="680">
        <f t="shared" si="161"/>
        <v>402.14285714285711</v>
      </c>
      <c r="N477" s="680">
        <f t="shared" si="161"/>
        <v>402.14285714285711</v>
      </c>
      <c r="O477" s="751">
        <f t="shared" si="161"/>
        <v>402.14285714285711</v>
      </c>
      <c r="P477" s="748"/>
      <c r="Q477" s="672"/>
      <c r="R477" s="783"/>
      <c r="S477" s="783"/>
      <c r="T477" s="783"/>
      <c r="U477" s="783"/>
      <c r="V477" s="783"/>
      <c r="W477" s="783"/>
      <c r="X477" s="783"/>
      <c r="Y477" s="783"/>
    </row>
    <row r="478" spans="1:25" hidden="1">
      <c r="A478" s="670">
        <v>67</v>
      </c>
      <c r="B478" s="752" t="s">
        <v>184</v>
      </c>
      <c r="C478" s="680"/>
      <c r="D478" s="749">
        <f>IF(D156="",0,1)</f>
        <v>0</v>
      </c>
      <c r="E478" s="749">
        <f>IF(E156="",0,2)</f>
        <v>0</v>
      </c>
      <c r="F478" s="749">
        <f>IF(F156="",0,3)</f>
        <v>0</v>
      </c>
      <c r="G478" s="749">
        <f>IF(G156="",0,4)</f>
        <v>0</v>
      </c>
      <c r="H478" s="749">
        <f>IF(H156="",0,5)</f>
        <v>0</v>
      </c>
      <c r="I478" s="749">
        <f>IF(I156="",0,6)</f>
        <v>6</v>
      </c>
      <c r="J478" s="749">
        <f>IF(J156="",0,7)</f>
        <v>0</v>
      </c>
      <c r="K478" s="749">
        <f>IF(K156="",0,8)</f>
        <v>0</v>
      </c>
      <c r="L478" s="749">
        <f>IF(L156="",0,9)</f>
        <v>0</v>
      </c>
      <c r="M478" s="749">
        <f>IF(M156="",0,10)</f>
        <v>0</v>
      </c>
      <c r="N478" s="749">
        <f>IF(N156="",0,11)</f>
        <v>0</v>
      </c>
      <c r="O478" s="750">
        <f>IF(O156="",0,12)</f>
        <v>0</v>
      </c>
      <c r="P478" s="680">
        <f>LARGE(D478:O478,1)</f>
        <v>6</v>
      </c>
      <c r="Q478" s="672"/>
      <c r="R478" s="783"/>
      <c r="S478" s="783"/>
      <c r="T478" s="783"/>
      <c r="U478" s="783"/>
      <c r="V478" s="783"/>
      <c r="W478" s="783"/>
      <c r="X478" s="783"/>
      <c r="Y478" s="783"/>
    </row>
    <row r="479" spans="1:25" hidden="1">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6</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142.85714285714289</v>
      </c>
      <c r="Q480" s="753" t="s">
        <v>221</v>
      </c>
      <c r="R480" s="783"/>
      <c r="S480" s="783"/>
      <c r="T480" s="783"/>
      <c r="U480" s="783"/>
      <c r="V480" s="783"/>
      <c r="W480" s="783"/>
      <c r="X480" s="783"/>
      <c r="Y480" s="783"/>
    </row>
    <row r="481" spans="1:25" hidden="1">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402.14285714285711</v>
      </c>
      <c r="J481" s="746">
        <f t="shared" si="164"/>
        <v>0</v>
      </c>
      <c r="K481" s="746">
        <f t="shared" si="164"/>
        <v>0</v>
      </c>
      <c r="L481" s="746">
        <f t="shared" si="164"/>
        <v>0</v>
      </c>
      <c r="M481" s="746">
        <f t="shared" si="164"/>
        <v>0</v>
      </c>
      <c r="N481" s="746">
        <f t="shared" si="164"/>
        <v>0</v>
      </c>
      <c r="O481" s="746">
        <f t="shared" si="164"/>
        <v>0</v>
      </c>
      <c r="P481" s="746">
        <f>SUM(D481:O481)</f>
        <v>402.14285714285711</v>
      </c>
      <c r="Q481" s="678"/>
      <c r="R481" s="783"/>
      <c r="S481" s="783"/>
      <c r="T481" s="783"/>
      <c r="U481" s="783"/>
      <c r="V481" s="783"/>
      <c r="W481" s="783"/>
      <c r="X481" s="783"/>
      <c r="Y481" s="783"/>
    </row>
    <row r="482" spans="1:25" ht="15.75" hidden="1" thickBot="1">
      <c r="A482" s="670">
        <v>71</v>
      </c>
      <c r="B482" s="746" t="s">
        <v>183</v>
      </c>
      <c r="C482" s="754">
        <f>COUNTIF(D478:O478,0)</f>
        <v>11</v>
      </c>
      <c r="D482" s="746">
        <f t="shared" ref="D482:O482" si="165">IF(D478=$P478,$P480,0)+D481</f>
        <v>0</v>
      </c>
      <c r="E482" s="746">
        <f t="shared" si="165"/>
        <v>0</v>
      </c>
      <c r="F482" s="746">
        <f t="shared" si="165"/>
        <v>0</v>
      </c>
      <c r="G482" s="746">
        <f t="shared" si="165"/>
        <v>0</v>
      </c>
      <c r="H482" s="746">
        <f t="shared" si="165"/>
        <v>0</v>
      </c>
      <c r="I482" s="746">
        <f t="shared" si="165"/>
        <v>545</v>
      </c>
      <c r="J482" s="746">
        <f t="shared" si="165"/>
        <v>0</v>
      </c>
      <c r="K482" s="746">
        <f t="shared" si="165"/>
        <v>0</v>
      </c>
      <c r="L482" s="746">
        <f t="shared" si="165"/>
        <v>0</v>
      </c>
      <c r="M482" s="746">
        <f t="shared" si="165"/>
        <v>0</v>
      </c>
      <c r="N482" s="746">
        <f t="shared" si="165"/>
        <v>0</v>
      </c>
      <c r="O482" s="746">
        <f t="shared" si="165"/>
        <v>0</v>
      </c>
      <c r="P482" s="746">
        <f>SUM(D482:O482)</f>
        <v>545</v>
      </c>
      <c r="Q482" s="753" t="s">
        <v>189</v>
      </c>
      <c r="R482" s="783"/>
      <c r="S482" s="783"/>
      <c r="T482" s="783"/>
      <c r="U482" s="783"/>
      <c r="V482" s="783"/>
      <c r="W482" s="783"/>
      <c r="X482" s="783"/>
      <c r="Y482" s="783"/>
    </row>
    <row r="483" spans="1:25" ht="15.75" hidden="1" thickBot="1">
      <c r="A483" s="670">
        <v>72</v>
      </c>
      <c r="B483" s="751" t="s">
        <v>190</v>
      </c>
      <c r="C483" s="755">
        <f>HLOOKUP(P478,D306:O333,3,FALSE)</f>
        <v>2.5348837209302326</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c r="A484" s="670"/>
      <c r="B484" s="751" t="s">
        <v>191</v>
      </c>
      <c r="C484" s="756">
        <f>P308</f>
        <v>2.5348837209302326</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c r="A501" s="670"/>
      <c r="B501" s="739" t="str">
        <f>SAÍDAS!C45</f>
        <v>Alimentação</v>
      </c>
      <c r="C501" s="300">
        <f t="shared" si="166"/>
        <v>1000</v>
      </c>
      <c r="D501" s="300">
        <f>SAÍDAS!E45*(SAÍDAS!$W45/100)</f>
        <v>0</v>
      </c>
      <c r="E501" s="300">
        <f>SAÍDAS!F45*(SAÍDAS!$W45/100)</f>
        <v>0</v>
      </c>
      <c r="F501" s="300">
        <f>SAÍDAS!G45*(SAÍDAS!$W45/100)</f>
        <v>0</v>
      </c>
      <c r="G501" s="300">
        <f>SAÍDAS!H45*(SAÍDAS!$W45/100)</f>
        <v>0</v>
      </c>
      <c r="H501" s="300">
        <f>SAÍDAS!I45*(SAÍDAS!$W45/100)</f>
        <v>0</v>
      </c>
      <c r="I501" s="300">
        <f>SAÍDAS!J45*(SAÍDAS!$W45/100)</f>
        <v>714.28571428571422</v>
      </c>
      <c r="J501" s="300">
        <f>SAÍDAS!K45*(SAÍDAS!$W45/100)</f>
        <v>285.71428571428572</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c r="A512" s="670"/>
      <c r="B512" s="739" t="str">
        <f>SAÍDAS!C56</f>
        <v>Combustível e Energia</v>
      </c>
      <c r="C512" s="300">
        <f t="shared" si="166"/>
        <v>80</v>
      </c>
      <c r="D512" s="300">
        <f>SAÍDAS!E56*(SAÍDAS!$W56/100)</f>
        <v>0</v>
      </c>
      <c r="E512" s="300">
        <f>SAÍDAS!F56*(SAÍDAS!$W56/100)</f>
        <v>0</v>
      </c>
      <c r="F512" s="300">
        <f>SAÍDAS!G56*(SAÍDAS!$W56/100)</f>
        <v>0</v>
      </c>
      <c r="G512" s="300">
        <f>SAÍDAS!H56*(SAÍDAS!$W56/100)</f>
        <v>0</v>
      </c>
      <c r="H512" s="300">
        <f>SAÍDAS!I56*(SAÍDAS!$W56/100)</f>
        <v>0</v>
      </c>
      <c r="I512" s="300">
        <f>SAÍDAS!J56*(SAÍDAS!$W56/100)</f>
        <v>80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c r="A522" s="670"/>
      <c r="B522" s="739" t="str">
        <f>SAÍDAS!C66</f>
        <v>Outros</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c r="A525" s="670"/>
      <c r="B525" s="739" t="str">
        <f>SAÍDAS!C69</f>
        <v>Animais</v>
      </c>
      <c r="C525" s="300">
        <f t="shared" si="166"/>
        <v>0</v>
      </c>
      <c r="D525" s="300">
        <f>SAÍDAS!E69*(SAÍDAS!$W69/100)</f>
        <v>0</v>
      </c>
      <c r="E525" s="300">
        <f>SAÍDAS!F69*(SAÍDAS!$W69/100)</f>
        <v>0</v>
      </c>
      <c r="F525" s="300">
        <f>SAÍDAS!G69*(SAÍDAS!$W69/100)</f>
        <v>0</v>
      </c>
      <c r="G525" s="300">
        <f>SAÍDAS!H69*(SAÍDAS!$W69/100)</f>
        <v>0</v>
      </c>
      <c r="H525" s="300">
        <f>SAÍDAS!I69*(SAÍDAS!$W69/100)</f>
        <v>0</v>
      </c>
      <c r="I525" s="300">
        <f>SAÍDAS!J69*(SAÍDAS!$W69/100)</f>
        <v>0</v>
      </c>
      <c r="J525" s="300">
        <f>SAÍDAS!K69*(SAÍDAS!$W69/100)</f>
        <v>0</v>
      </c>
      <c r="K525" s="300">
        <f>SAÍDAS!L69*(SAÍDAS!$W69/100)</f>
        <v>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c r="A526" s="670"/>
      <c r="B526" s="740" t="s">
        <v>179</v>
      </c>
      <c r="C526" s="300">
        <f t="shared" si="166"/>
        <v>1080</v>
      </c>
      <c r="D526" s="300">
        <f t="shared" ref="D526:O526" si="167">SUM(D487:D525)</f>
        <v>0</v>
      </c>
      <c r="E526" s="300">
        <f t="shared" si="167"/>
        <v>0</v>
      </c>
      <c r="F526" s="300">
        <f t="shared" si="167"/>
        <v>0</v>
      </c>
      <c r="G526" s="300">
        <f t="shared" si="167"/>
        <v>0</v>
      </c>
      <c r="H526" s="300">
        <f t="shared" si="167"/>
        <v>0</v>
      </c>
      <c r="I526" s="300">
        <f t="shared" si="167"/>
        <v>794.28571428571422</v>
      </c>
      <c r="J526" s="300">
        <f t="shared" si="167"/>
        <v>285.71428571428572</v>
      </c>
      <c r="K526" s="300">
        <f t="shared" si="167"/>
        <v>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c r="A549" s="670"/>
      <c r="B549" s="742" t="s">
        <v>17</v>
      </c>
      <c r="C549" s="743"/>
      <c r="D549" s="744">
        <f t="shared" ref="D549:O549" si="170">D547+D526</f>
        <v>0</v>
      </c>
      <c r="E549" s="744">
        <f t="shared" si="170"/>
        <v>0</v>
      </c>
      <c r="F549" s="744">
        <f t="shared" si="170"/>
        <v>0</v>
      </c>
      <c r="G549" s="744">
        <f t="shared" si="170"/>
        <v>0</v>
      </c>
      <c r="H549" s="744">
        <f t="shared" si="170"/>
        <v>0</v>
      </c>
      <c r="I549" s="744">
        <f t="shared" si="170"/>
        <v>794.28571428571422</v>
      </c>
      <c r="J549" s="744">
        <f t="shared" si="170"/>
        <v>285.71428571428572</v>
      </c>
      <c r="K549" s="744">
        <f t="shared" si="170"/>
        <v>0</v>
      </c>
      <c r="L549" s="744">
        <f t="shared" si="170"/>
        <v>0</v>
      </c>
      <c r="M549" s="744">
        <f t="shared" si="170"/>
        <v>0</v>
      </c>
      <c r="N549" s="744">
        <f t="shared" si="170"/>
        <v>0</v>
      </c>
      <c r="O549" s="744">
        <f t="shared" si="170"/>
        <v>0</v>
      </c>
      <c r="P549" s="744">
        <f>SUM(D549:O549)</f>
        <v>1080</v>
      </c>
      <c r="Q549" s="672"/>
      <c r="R549" s="783"/>
      <c r="S549" s="783"/>
      <c r="T549" s="783"/>
      <c r="U549" s="783"/>
      <c r="V549" s="783"/>
      <c r="W549" s="783"/>
      <c r="X549" s="783"/>
      <c r="Y549" s="783"/>
    </row>
    <row r="550" spans="1:25" hidden="1">
      <c r="A550" s="670"/>
      <c r="B550" s="745" t="s">
        <v>178</v>
      </c>
      <c r="C550" s="680"/>
      <c r="D550" s="746">
        <f>D549</f>
        <v>0</v>
      </c>
      <c r="E550" s="746">
        <f t="shared" ref="E550:O550" si="171">D550+E549</f>
        <v>0</v>
      </c>
      <c r="F550" s="746">
        <f t="shared" si="171"/>
        <v>0</v>
      </c>
      <c r="G550" s="746">
        <f>F550+G549</f>
        <v>0</v>
      </c>
      <c r="H550" s="746">
        <f>G550+H549</f>
        <v>0</v>
      </c>
      <c r="I550" s="746">
        <f>H550+I549</f>
        <v>794.28571428571422</v>
      </c>
      <c r="J550" s="746">
        <f>I550+J549</f>
        <v>1080</v>
      </c>
      <c r="K550" s="746">
        <f t="shared" si="171"/>
        <v>1080</v>
      </c>
      <c r="L550" s="746">
        <f t="shared" si="171"/>
        <v>1080</v>
      </c>
      <c r="M550" s="746">
        <f t="shared" si="171"/>
        <v>1080</v>
      </c>
      <c r="N550" s="746">
        <f t="shared" si="171"/>
        <v>1080</v>
      </c>
      <c r="O550" s="747">
        <f t="shared" si="171"/>
        <v>1080</v>
      </c>
      <c r="P550" s="748"/>
      <c r="Q550" s="672"/>
      <c r="R550" s="783"/>
      <c r="S550" s="783"/>
      <c r="T550" s="783"/>
      <c r="U550" s="783"/>
      <c r="V550" s="783"/>
      <c r="W550" s="783"/>
      <c r="X550" s="783"/>
      <c r="Y550" s="783"/>
    </row>
    <row r="551" spans="1:25" hidden="1">
      <c r="A551" s="670"/>
      <c r="B551" s="745" t="s">
        <v>181</v>
      </c>
      <c r="C551" s="680"/>
      <c r="D551" s="749">
        <f t="shared" ref="D551:O551" si="172">IF(D159="",0,D549)</f>
        <v>0</v>
      </c>
      <c r="E551" s="749">
        <f t="shared" si="172"/>
        <v>0</v>
      </c>
      <c r="F551" s="749">
        <f t="shared" si="172"/>
        <v>0</v>
      </c>
      <c r="G551" s="749">
        <f t="shared" si="172"/>
        <v>0</v>
      </c>
      <c r="H551" s="749">
        <f t="shared" si="172"/>
        <v>0</v>
      </c>
      <c r="I551" s="749">
        <f t="shared" si="172"/>
        <v>794.28571428571422</v>
      </c>
      <c r="J551" s="749">
        <f t="shared" si="172"/>
        <v>0</v>
      </c>
      <c r="K551" s="749">
        <f t="shared" si="172"/>
        <v>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c r="A552" s="670"/>
      <c r="B552" s="745" t="s">
        <v>182</v>
      </c>
      <c r="C552" s="680"/>
      <c r="D552" s="680">
        <f>D551</f>
        <v>0</v>
      </c>
      <c r="E552" s="680">
        <f t="shared" ref="E552:O552" si="173">(D552+E551)</f>
        <v>0</v>
      </c>
      <c r="F552" s="680">
        <f t="shared" si="173"/>
        <v>0</v>
      </c>
      <c r="G552" s="680">
        <f>(F552+G551)</f>
        <v>0</v>
      </c>
      <c r="H552" s="680">
        <f>(G552+H551)</f>
        <v>0</v>
      </c>
      <c r="I552" s="680">
        <f>(H552+I551)</f>
        <v>794.28571428571422</v>
      </c>
      <c r="J552" s="680">
        <f>(I552+J551)</f>
        <v>794.28571428571422</v>
      </c>
      <c r="K552" s="680">
        <f t="shared" si="173"/>
        <v>794.28571428571422</v>
      </c>
      <c r="L552" s="680">
        <f t="shared" si="173"/>
        <v>794.28571428571422</v>
      </c>
      <c r="M552" s="680">
        <f t="shared" si="173"/>
        <v>794.28571428571422</v>
      </c>
      <c r="N552" s="680">
        <f t="shared" si="173"/>
        <v>794.28571428571422</v>
      </c>
      <c r="O552" s="751">
        <f t="shared" si="173"/>
        <v>794.28571428571422</v>
      </c>
      <c r="P552" s="748"/>
      <c r="Q552" s="672"/>
      <c r="R552" s="783"/>
      <c r="S552" s="783"/>
      <c r="T552" s="783"/>
      <c r="U552" s="783"/>
      <c r="V552" s="783"/>
      <c r="W552" s="783"/>
      <c r="X552" s="783"/>
      <c r="Y552" s="783"/>
    </row>
    <row r="553" spans="1:25" hidden="1">
      <c r="A553" s="670"/>
      <c r="B553" s="752" t="s">
        <v>184</v>
      </c>
      <c r="C553" s="680"/>
      <c r="D553" s="749">
        <f>IF(D159="",0,1)</f>
        <v>0</v>
      </c>
      <c r="E553" s="749">
        <f>IF(E159="",0,2)</f>
        <v>0</v>
      </c>
      <c r="F553" s="749">
        <f>IF(F159="",0,3)</f>
        <v>0</v>
      </c>
      <c r="G553" s="749">
        <f>IF(G159="",0,4)</f>
        <v>0</v>
      </c>
      <c r="H553" s="749">
        <f>IF(H159="",0,5)</f>
        <v>0</v>
      </c>
      <c r="I553" s="749">
        <f>IF(I159="",0,6)</f>
        <v>6</v>
      </c>
      <c r="J553" s="749">
        <f>IF(J159="",0,7)</f>
        <v>0</v>
      </c>
      <c r="K553" s="749">
        <f>IF(K159="",0,8)</f>
        <v>0</v>
      </c>
      <c r="L553" s="749">
        <f>IF(L159="",0,9)</f>
        <v>0</v>
      </c>
      <c r="M553" s="749">
        <f>IF(M159="",0,10)</f>
        <v>0</v>
      </c>
      <c r="N553" s="749">
        <f>IF(N159="",0,11)</f>
        <v>0</v>
      </c>
      <c r="O553" s="749">
        <f>IF(O159="",0,12)</f>
        <v>0</v>
      </c>
      <c r="P553" s="680">
        <f>LARGE(D553:O553,1)</f>
        <v>6</v>
      </c>
      <c r="Q553" s="672"/>
      <c r="R553" s="783"/>
      <c r="S553" s="783"/>
      <c r="T553" s="783"/>
      <c r="U553" s="783"/>
      <c r="V553" s="783"/>
      <c r="W553" s="783"/>
      <c r="X553" s="783"/>
      <c r="Y553" s="783"/>
    </row>
    <row r="554" spans="1:25" hidden="1">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6</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285.71428571428578</v>
      </c>
      <c r="Q555" s="678"/>
      <c r="R555" s="783"/>
      <c r="S555" s="783"/>
      <c r="T555" s="783"/>
      <c r="U555" s="783"/>
      <c r="V555" s="783"/>
      <c r="W555" s="783"/>
      <c r="X555" s="783"/>
      <c r="Y555" s="783"/>
    </row>
    <row r="556" spans="1:25" hidden="1">
      <c r="A556" s="670"/>
      <c r="B556" s="746" t="s">
        <v>187</v>
      </c>
      <c r="C556" s="680"/>
      <c r="D556" s="746">
        <f t="shared" ref="D556:O556" si="176">D551+D555</f>
        <v>0</v>
      </c>
      <c r="E556" s="746">
        <f t="shared" si="176"/>
        <v>0</v>
      </c>
      <c r="F556" s="746">
        <f t="shared" si="176"/>
        <v>0</v>
      </c>
      <c r="G556" s="746">
        <f t="shared" si="176"/>
        <v>0</v>
      </c>
      <c r="H556" s="746">
        <f t="shared" si="176"/>
        <v>0</v>
      </c>
      <c r="I556" s="746">
        <f t="shared" si="176"/>
        <v>794.28571428571422</v>
      </c>
      <c r="J556" s="746">
        <f t="shared" si="176"/>
        <v>0</v>
      </c>
      <c r="K556" s="746">
        <f t="shared" si="176"/>
        <v>0</v>
      </c>
      <c r="L556" s="746">
        <f t="shared" si="176"/>
        <v>0</v>
      </c>
      <c r="M556" s="746">
        <f t="shared" si="176"/>
        <v>0</v>
      </c>
      <c r="N556" s="746">
        <f t="shared" si="176"/>
        <v>0</v>
      </c>
      <c r="O556" s="746">
        <f t="shared" si="176"/>
        <v>0</v>
      </c>
      <c r="P556" s="746">
        <f>SUM(D556:O556)</f>
        <v>794.28571428571422</v>
      </c>
      <c r="Q556" s="678"/>
      <c r="R556" s="783"/>
      <c r="S556" s="783"/>
      <c r="T556" s="783"/>
      <c r="U556" s="783"/>
      <c r="V556" s="783"/>
      <c r="W556" s="783"/>
      <c r="X556" s="783"/>
      <c r="Y556" s="783"/>
    </row>
    <row r="557" spans="1:25" ht="15.75" hidden="1" thickBot="1">
      <c r="A557" s="670"/>
      <c r="B557" s="746" t="s">
        <v>183</v>
      </c>
      <c r="C557" s="754">
        <f>COUNTIF(D553:O553,0)</f>
        <v>11</v>
      </c>
      <c r="D557" s="746">
        <f t="shared" ref="D557:O557" si="177">IF(D553=$P553,$P555,0)+D556</f>
        <v>0</v>
      </c>
      <c r="E557" s="746">
        <f t="shared" si="177"/>
        <v>0</v>
      </c>
      <c r="F557" s="746">
        <f t="shared" si="177"/>
        <v>0</v>
      </c>
      <c r="G557" s="746">
        <f t="shared" si="177"/>
        <v>0</v>
      </c>
      <c r="H557" s="746">
        <f t="shared" si="177"/>
        <v>0</v>
      </c>
      <c r="I557" s="746">
        <f t="shared" si="177"/>
        <v>1080</v>
      </c>
      <c r="J557" s="746">
        <f t="shared" si="177"/>
        <v>0</v>
      </c>
      <c r="K557" s="746">
        <f t="shared" si="177"/>
        <v>0</v>
      </c>
      <c r="L557" s="746">
        <f t="shared" si="177"/>
        <v>0</v>
      </c>
      <c r="M557" s="746">
        <f t="shared" si="177"/>
        <v>0</v>
      </c>
      <c r="N557" s="746">
        <f t="shared" si="177"/>
        <v>0</v>
      </c>
      <c r="O557" s="746">
        <f t="shared" si="177"/>
        <v>0</v>
      </c>
      <c r="P557" s="746">
        <f>SUM(D557:O557)</f>
        <v>1080</v>
      </c>
      <c r="Q557" s="753"/>
      <c r="R557" s="783"/>
      <c r="S557" s="783"/>
      <c r="T557" s="783"/>
      <c r="U557" s="783"/>
      <c r="V557" s="783"/>
      <c r="W557" s="783"/>
      <c r="X557" s="783"/>
      <c r="Y557" s="783"/>
    </row>
    <row r="558" spans="1:25" ht="15.75" hidden="1" thickBot="1">
      <c r="A558" s="670"/>
      <c r="B558" s="751" t="s">
        <v>190</v>
      </c>
      <c r="C558" s="757">
        <f>HLOOKUP(P553,D314:O316,3,FALSE)</f>
        <v>3.1764705882352939</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c r="A559" s="670"/>
      <c r="B559" s="751" t="s">
        <v>191</v>
      </c>
      <c r="C559" s="758">
        <f>P316</f>
        <v>3.1764705882352939</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c r="A597" s="670"/>
      <c r="B597" s="739" t="str">
        <f>SAÍDAS!C66</f>
        <v>Outros</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c r="A628" s="670"/>
      <c r="B628" s="752" t="s">
        <v>184</v>
      </c>
      <c r="C628" s="680"/>
      <c r="D628" s="749">
        <f>IF(D162="",0,1)</f>
        <v>0</v>
      </c>
      <c r="E628" s="749">
        <f>IF(E162="",0,2)</f>
        <v>0</v>
      </c>
      <c r="F628" s="749">
        <f>IF(F162="",0,3)</f>
        <v>0</v>
      </c>
      <c r="G628" s="749">
        <f>IF(G162="",0,4)</f>
        <v>0</v>
      </c>
      <c r="H628" s="749">
        <f>IF(H162="",0,5)</f>
        <v>0</v>
      </c>
      <c r="I628" s="749">
        <f>IF(I162="",0,6)</f>
        <v>0</v>
      </c>
      <c r="J628" s="749">
        <f>IF(J162="",0,7)</f>
        <v>0</v>
      </c>
      <c r="K628" s="749">
        <f>IF(K162="",0,8)</f>
        <v>0</v>
      </c>
      <c r="L628" s="749">
        <f>IF(L162="",0,9)</f>
        <v>0</v>
      </c>
      <c r="M628" s="749">
        <f>IF(M162="",0,10)</f>
        <v>0</v>
      </c>
      <c r="N628" s="749">
        <f>IF(N162="",0,11)</f>
        <v>0</v>
      </c>
      <c r="O628" s="749">
        <f>IF(O162="",0,12)</f>
        <v>0</v>
      </c>
      <c r="P628" s="680">
        <f>LARGE(D628:O628,1)</f>
        <v>0</v>
      </c>
      <c r="Q628" s="678"/>
      <c r="R628" s="783"/>
      <c r="S628" s="783"/>
      <c r="T628" s="783"/>
      <c r="U628" s="783"/>
      <c r="V628" s="783"/>
      <c r="W628" s="783"/>
      <c r="X628" s="783"/>
      <c r="Y628" s="783"/>
    </row>
    <row r="629" spans="1:25" hidden="1">
      <c r="A629" s="670"/>
      <c r="B629" s="752" t="s">
        <v>185</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c r="A632" s="670"/>
      <c r="B632" s="746" t="s">
        <v>183</v>
      </c>
      <c r="C632" s="754">
        <f>COUNTIF(D628:O628,0)</f>
        <v>12</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c r="A633" s="670"/>
      <c r="B633" s="751" t="s">
        <v>190</v>
      </c>
      <c r="C633" s="757" t="str">
        <f>HLOOKUP(P628,D322:O324,3,FALSE)</f>
        <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c r="A651" s="670"/>
      <c r="B651" s="739" t="str">
        <f>SAÍDAS!C45</f>
        <v>Alimentação</v>
      </c>
      <c r="C651" s="300">
        <f t="shared" si="190"/>
        <v>5500</v>
      </c>
      <c r="D651" s="300">
        <f>SAÍDAS!E45*(SAÍDAS!$S45/100)</f>
        <v>0</v>
      </c>
      <c r="E651" s="300">
        <f>SAÍDAS!F45*(SAÍDAS!$S45/100)</f>
        <v>0</v>
      </c>
      <c r="F651" s="300">
        <f>SAÍDAS!G45*(SAÍDAS!$S45/100)</f>
        <v>0</v>
      </c>
      <c r="G651" s="300">
        <f>SAÍDAS!H45*(SAÍDAS!$S45/100)</f>
        <v>0</v>
      </c>
      <c r="H651" s="300">
        <f>SAÍDAS!I45*(SAÍDAS!$S45/100)</f>
        <v>0</v>
      </c>
      <c r="I651" s="300">
        <f>SAÍDAS!J45*(SAÍDAS!$S45/100)</f>
        <v>3928.5714285714284</v>
      </c>
      <c r="J651" s="300">
        <f>SAÍDAS!K45*(SAÍDAS!$S45/100)</f>
        <v>1571.4285714285713</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c r="A662" s="670"/>
      <c r="B662" s="739" t="str">
        <f>SAÍDAS!C56</f>
        <v>Combustível e Energia</v>
      </c>
      <c r="C662" s="300">
        <f t="shared" si="190"/>
        <v>175</v>
      </c>
      <c r="D662" s="300">
        <f>SAÍDAS!E56*(SAÍDAS!$S56/100)</f>
        <v>0</v>
      </c>
      <c r="E662" s="300">
        <f>SAÍDAS!F56*(SAÍDAS!$S56/100)</f>
        <v>0</v>
      </c>
      <c r="F662" s="300">
        <f>SAÍDAS!G56*(SAÍDAS!$S56/100)</f>
        <v>0</v>
      </c>
      <c r="G662" s="300">
        <f>SAÍDAS!H56*(SAÍDAS!$S56/100)</f>
        <v>0</v>
      </c>
      <c r="H662" s="300">
        <f>SAÍDAS!I56*(SAÍDAS!$S56/100)</f>
        <v>0</v>
      </c>
      <c r="I662" s="300">
        <f>SAÍDAS!J56*(SAÍDAS!$S56/100)</f>
        <v>175</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c r="A672" s="670"/>
      <c r="B672" s="739" t="str">
        <f>SAÍDAS!C66</f>
        <v>Outros</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c r="A676" s="670"/>
      <c r="B676" s="796" t="s">
        <v>445</v>
      </c>
      <c r="C676" s="300">
        <f t="shared" si="190"/>
        <v>5675</v>
      </c>
      <c r="D676" s="300">
        <f t="shared" ref="D676:O676" si="191">SUM(D637:D675)</f>
        <v>0</v>
      </c>
      <c r="E676" s="300">
        <f t="shared" si="191"/>
        <v>0</v>
      </c>
      <c r="F676" s="300">
        <f t="shared" si="191"/>
        <v>0</v>
      </c>
      <c r="G676" s="300">
        <f t="shared" si="191"/>
        <v>0</v>
      </c>
      <c r="H676" s="300">
        <f t="shared" si="191"/>
        <v>0</v>
      </c>
      <c r="I676" s="300">
        <f t="shared" si="191"/>
        <v>4103.5714285714284</v>
      </c>
      <c r="J676" s="300">
        <f t="shared" si="191"/>
        <v>1571.4285714285713</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c r="A699" s="670"/>
      <c r="B699" s="742" t="s">
        <v>17</v>
      </c>
      <c r="C699" s="743"/>
      <c r="D699" s="744">
        <f t="shared" ref="D699:O699" si="194">D697+D676</f>
        <v>0</v>
      </c>
      <c r="E699" s="744">
        <f t="shared" si="194"/>
        <v>0</v>
      </c>
      <c r="F699" s="744">
        <f t="shared" si="194"/>
        <v>0</v>
      </c>
      <c r="G699" s="744">
        <f t="shared" si="194"/>
        <v>0</v>
      </c>
      <c r="H699" s="744">
        <f t="shared" si="194"/>
        <v>0</v>
      </c>
      <c r="I699" s="744">
        <f t="shared" si="194"/>
        <v>4103.5714285714284</v>
      </c>
      <c r="J699" s="744">
        <f t="shared" si="194"/>
        <v>1571.4285714285713</v>
      </c>
      <c r="K699" s="744">
        <f t="shared" si="194"/>
        <v>0</v>
      </c>
      <c r="L699" s="744">
        <f t="shared" si="194"/>
        <v>0</v>
      </c>
      <c r="M699" s="744">
        <f t="shared" si="194"/>
        <v>0</v>
      </c>
      <c r="N699" s="744">
        <f t="shared" si="194"/>
        <v>0</v>
      </c>
      <c r="O699" s="744">
        <f t="shared" si="194"/>
        <v>0</v>
      </c>
      <c r="P699" s="744">
        <f>SUM(D699:O699)</f>
        <v>5675</v>
      </c>
      <c r="Q699" s="678"/>
      <c r="R699" s="783"/>
      <c r="S699" s="783"/>
      <c r="T699" s="783"/>
      <c r="U699" s="783"/>
      <c r="V699" s="783"/>
      <c r="W699" s="783"/>
      <c r="X699" s="783"/>
      <c r="Y699" s="783"/>
    </row>
    <row r="700" spans="1:25" hidden="1">
      <c r="A700" s="670"/>
      <c r="B700" s="745" t="s">
        <v>178</v>
      </c>
      <c r="C700" s="680"/>
      <c r="D700" s="746">
        <f>D699</f>
        <v>0</v>
      </c>
      <c r="E700" s="746">
        <f t="shared" ref="E700:O700" si="195">D700+E699</f>
        <v>0</v>
      </c>
      <c r="F700" s="746">
        <f t="shared" si="195"/>
        <v>0</v>
      </c>
      <c r="G700" s="746">
        <f>F700+G699</f>
        <v>0</v>
      </c>
      <c r="H700" s="746">
        <f>G700+H699</f>
        <v>0</v>
      </c>
      <c r="I700" s="746">
        <f>H700+I699</f>
        <v>4103.5714285714284</v>
      </c>
      <c r="J700" s="746">
        <f>I700+J699</f>
        <v>5675</v>
      </c>
      <c r="K700" s="746">
        <f t="shared" si="195"/>
        <v>5675</v>
      </c>
      <c r="L700" s="746">
        <f t="shared" si="195"/>
        <v>5675</v>
      </c>
      <c r="M700" s="746">
        <f t="shared" si="195"/>
        <v>5675</v>
      </c>
      <c r="N700" s="746">
        <f t="shared" si="195"/>
        <v>5675</v>
      </c>
      <c r="O700" s="747">
        <f t="shared" si="195"/>
        <v>5675</v>
      </c>
      <c r="P700" s="748"/>
      <c r="Q700" s="678"/>
      <c r="R700" s="783"/>
      <c r="S700" s="783"/>
      <c r="T700" s="783"/>
      <c r="U700" s="783"/>
      <c r="V700" s="783"/>
      <c r="W700" s="783"/>
      <c r="X700" s="783"/>
      <c r="Y700" s="783"/>
    </row>
    <row r="701" spans="1:25" hidden="1">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4103.5714285714284</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c r="A702" s="670"/>
      <c r="B702" s="745" t="s">
        <v>182</v>
      </c>
      <c r="C702" s="680"/>
      <c r="D702" s="759">
        <f>D701</f>
        <v>0</v>
      </c>
      <c r="E702" s="759">
        <f t="shared" ref="E702:O702" si="197">(D702+E701)</f>
        <v>0</v>
      </c>
      <c r="F702" s="759">
        <f t="shared" si="197"/>
        <v>0</v>
      </c>
      <c r="G702" s="759">
        <f>(F702+G701)</f>
        <v>0</v>
      </c>
      <c r="H702" s="759">
        <f>(G702+H701)</f>
        <v>0</v>
      </c>
      <c r="I702" s="759">
        <f>(H702+I701)</f>
        <v>4103.5714285714284</v>
      </c>
      <c r="J702" s="759">
        <f>(I702+J701)</f>
        <v>4103.5714285714284</v>
      </c>
      <c r="K702" s="759">
        <f t="shared" si="197"/>
        <v>4103.5714285714284</v>
      </c>
      <c r="L702" s="759">
        <f t="shared" si="197"/>
        <v>4103.5714285714284</v>
      </c>
      <c r="M702" s="759">
        <f t="shared" si="197"/>
        <v>4103.5714285714284</v>
      </c>
      <c r="N702" s="759">
        <f t="shared" si="197"/>
        <v>4103.5714285714284</v>
      </c>
      <c r="O702" s="760">
        <f t="shared" si="197"/>
        <v>4103.5714285714284</v>
      </c>
      <c r="P702" s="748"/>
      <c r="Q702" s="678"/>
      <c r="R702" s="783"/>
      <c r="S702" s="783"/>
      <c r="T702" s="783"/>
      <c r="U702" s="783"/>
      <c r="V702" s="783"/>
      <c r="W702" s="783"/>
      <c r="X702" s="783"/>
      <c r="Y702" s="783"/>
    </row>
    <row r="703" spans="1:25" hidden="1">
      <c r="A703" s="670"/>
      <c r="B703" s="752" t="s">
        <v>184</v>
      </c>
      <c r="C703" s="680"/>
      <c r="D703" s="749">
        <f>IF(D165="",0,1)</f>
        <v>0</v>
      </c>
      <c r="E703" s="749">
        <f>IF(E165="",0,2)</f>
        <v>0</v>
      </c>
      <c r="F703" s="749">
        <f>IF(F165="",0,3)</f>
        <v>0</v>
      </c>
      <c r="G703" s="749">
        <f>IF(G165="",0,4)</f>
        <v>0</v>
      </c>
      <c r="H703" s="749">
        <f>IF(H165="",0,5)</f>
        <v>0</v>
      </c>
      <c r="I703" s="749">
        <f>IF(I165="",0,6)</f>
        <v>6</v>
      </c>
      <c r="J703" s="749">
        <f>IF(J165="",0,7)</f>
        <v>0</v>
      </c>
      <c r="K703" s="749">
        <f>IF(K165="",0,8)</f>
        <v>0</v>
      </c>
      <c r="L703" s="749">
        <f>IF(L165="",0,9)</f>
        <v>0</v>
      </c>
      <c r="M703" s="749">
        <f>IF(M165="",0,10)</f>
        <v>0</v>
      </c>
      <c r="N703" s="749">
        <f>IF(N165="",0,11)</f>
        <v>0</v>
      </c>
      <c r="O703" s="749">
        <f>IF(O165="",0,12)</f>
        <v>0</v>
      </c>
      <c r="P703" s="680">
        <f>LARGE(D703:O703,1)</f>
        <v>6</v>
      </c>
      <c r="Q703" s="678"/>
      <c r="R703" s="783"/>
      <c r="S703" s="783"/>
      <c r="T703" s="783"/>
      <c r="U703" s="783"/>
      <c r="V703" s="783"/>
      <c r="W703" s="783"/>
      <c r="X703" s="783"/>
      <c r="Y703" s="783"/>
    </row>
    <row r="704" spans="1:25" hidden="1">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6</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1571.4285714285716</v>
      </c>
      <c r="Q705" s="678"/>
      <c r="R705" s="783"/>
      <c r="S705" s="783"/>
      <c r="T705" s="783"/>
      <c r="U705" s="783"/>
      <c r="V705" s="783"/>
      <c r="W705" s="783"/>
      <c r="X705" s="783"/>
      <c r="Y705" s="783"/>
    </row>
    <row r="706" spans="1:25" hidden="1">
      <c r="A706" s="670"/>
      <c r="B706" s="746" t="s">
        <v>187</v>
      </c>
      <c r="C706" s="680"/>
      <c r="D706" s="746">
        <f t="shared" ref="D706:O706" si="200">D701+D705</f>
        <v>0</v>
      </c>
      <c r="E706" s="746">
        <f t="shared" si="200"/>
        <v>0</v>
      </c>
      <c r="F706" s="746">
        <f t="shared" si="200"/>
        <v>0</v>
      </c>
      <c r="G706" s="746">
        <f t="shared" si="200"/>
        <v>0</v>
      </c>
      <c r="H706" s="746">
        <f t="shared" si="200"/>
        <v>0</v>
      </c>
      <c r="I706" s="746">
        <f t="shared" si="200"/>
        <v>4103.5714285714284</v>
      </c>
      <c r="J706" s="746">
        <f t="shared" si="200"/>
        <v>0</v>
      </c>
      <c r="K706" s="746">
        <f t="shared" si="200"/>
        <v>0</v>
      </c>
      <c r="L706" s="746">
        <f t="shared" si="200"/>
        <v>0</v>
      </c>
      <c r="M706" s="746">
        <f t="shared" si="200"/>
        <v>0</v>
      </c>
      <c r="N706" s="746">
        <f t="shared" si="200"/>
        <v>0</v>
      </c>
      <c r="O706" s="746">
        <f t="shared" si="200"/>
        <v>0</v>
      </c>
      <c r="P706" s="746">
        <f>SUM(D706:O706)</f>
        <v>4103.5714285714284</v>
      </c>
      <c r="Q706" s="678"/>
      <c r="R706" s="783"/>
      <c r="S706" s="783"/>
      <c r="T706" s="783"/>
      <c r="U706" s="783"/>
      <c r="V706" s="783"/>
      <c r="W706" s="783"/>
      <c r="X706" s="783"/>
      <c r="Y706" s="783"/>
    </row>
    <row r="707" spans="1:25" ht="15.75" hidden="1" thickBot="1">
      <c r="A707" s="670"/>
      <c r="B707" s="746" t="s">
        <v>183</v>
      </c>
      <c r="C707" s="754">
        <f>COUNTIF(D703:O703,0)</f>
        <v>11</v>
      </c>
      <c r="D707" s="746">
        <f t="shared" ref="D707:O707" si="201">IF(D703=$P703,$P705,0)+D706</f>
        <v>0</v>
      </c>
      <c r="E707" s="746">
        <f t="shared" si="201"/>
        <v>0</v>
      </c>
      <c r="F707" s="746">
        <f t="shared" si="201"/>
        <v>0</v>
      </c>
      <c r="G707" s="746">
        <f t="shared" si="201"/>
        <v>0</v>
      </c>
      <c r="H707" s="746">
        <f t="shared" si="201"/>
        <v>0</v>
      </c>
      <c r="I707" s="746">
        <f t="shared" si="201"/>
        <v>5675</v>
      </c>
      <c r="J707" s="746">
        <f t="shared" si="201"/>
        <v>0</v>
      </c>
      <c r="K707" s="746">
        <f t="shared" si="201"/>
        <v>0</v>
      </c>
      <c r="L707" s="746">
        <f t="shared" si="201"/>
        <v>0</v>
      </c>
      <c r="M707" s="746">
        <f t="shared" si="201"/>
        <v>0</v>
      </c>
      <c r="N707" s="746">
        <f t="shared" si="201"/>
        <v>0</v>
      </c>
      <c r="O707" s="746">
        <f t="shared" si="201"/>
        <v>0</v>
      </c>
      <c r="P707" s="746">
        <f>SUM(D707:O707)</f>
        <v>5675</v>
      </c>
      <c r="Q707" s="678"/>
      <c r="R707" s="783"/>
      <c r="S707" s="783"/>
      <c r="T707" s="783"/>
      <c r="U707" s="783"/>
      <c r="V707" s="783"/>
      <c r="W707" s="783"/>
      <c r="X707" s="783"/>
      <c r="Y707" s="783"/>
    </row>
    <row r="708" spans="1:25" ht="15.75" hidden="1" thickBot="1">
      <c r="A708" s="670"/>
      <c r="B708" s="751" t="s">
        <v>190</v>
      </c>
      <c r="C708" s="757">
        <f>HLOOKUP(P703,D331:O333,3,FALSE)</f>
        <v>19.982394366197184</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c r="A709" s="670"/>
      <c r="B709" s="751" t="s">
        <v>191</v>
      </c>
      <c r="C709" s="758">
        <f>P333</f>
        <v>19.982394366197184</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c r="A713" s="670"/>
      <c r="B713" s="224" t="s">
        <v>439</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c r="A714" s="670"/>
      <c r="B714" s="739" t="str">
        <f>SAÍDAS!C31</f>
        <v>Mão de Obra</v>
      </c>
      <c r="C714" s="300">
        <f t="shared" ref="C714:C753" si="202">SUM(D714:O714)</f>
        <v>0</v>
      </c>
      <c r="D714" s="300">
        <f>SAÍDAS!E31</f>
        <v>0</v>
      </c>
      <c r="E714" s="300">
        <f>SAÍDAS!F31</f>
        <v>0</v>
      </c>
      <c r="F714" s="300">
        <f>SAÍDAS!G31</f>
        <v>0</v>
      </c>
      <c r="G714" s="300">
        <f>SAÍDAS!H31</f>
        <v>0</v>
      </c>
      <c r="H714" s="300">
        <f>SAÍDAS!I31</f>
        <v>0</v>
      </c>
      <c r="I714" s="300">
        <f>SAÍDAS!J31</f>
        <v>0</v>
      </c>
      <c r="J714" s="300">
        <f>SAÍDAS!K31</f>
        <v>0</v>
      </c>
      <c r="K714" s="300">
        <f>SAÍDAS!L31</f>
        <v>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c r="A715" s="670"/>
      <c r="B715" s="739" t="str">
        <f>SAÍDAS!C32</f>
        <v>Mão de Obra</v>
      </c>
      <c r="C715" s="300">
        <f t="shared" si="202"/>
        <v>0</v>
      </c>
      <c r="D715" s="300">
        <f>SAÍDAS!E32</f>
        <v>0</v>
      </c>
      <c r="E715" s="300">
        <f>SAÍDAS!F32</f>
        <v>0</v>
      </c>
      <c r="F715" s="300">
        <f>SAÍDAS!G32</f>
        <v>0</v>
      </c>
      <c r="G715" s="300">
        <f>SAÍDAS!H32</f>
        <v>0</v>
      </c>
      <c r="H715" s="300">
        <f>SAÍDAS!I32</f>
        <v>0</v>
      </c>
      <c r="I715" s="300">
        <f>SAÍDAS!J32</f>
        <v>0</v>
      </c>
      <c r="J715" s="300">
        <f>SAÍDAS!K32</f>
        <v>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c r="A716" s="670"/>
      <c r="B716" s="739" t="str">
        <f>SAÍDAS!C33</f>
        <v>Mão de Obra</v>
      </c>
      <c r="C716" s="300">
        <f t="shared" si="202"/>
        <v>0</v>
      </c>
      <c r="D716" s="300">
        <f>SAÍDAS!E33</f>
        <v>0</v>
      </c>
      <c r="E716" s="300">
        <f>SAÍDAS!F33</f>
        <v>0</v>
      </c>
      <c r="F716" s="300">
        <f>SAÍDAS!G33</f>
        <v>0</v>
      </c>
      <c r="G716" s="300">
        <f>SAÍDAS!H33</f>
        <v>0</v>
      </c>
      <c r="H716" s="300">
        <f>SAÍDAS!I33</f>
        <v>0</v>
      </c>
      <c r="I716" s="300">
        <f>SAÍDAS!J33</f>
        <v>0</v>
      </c>
      <c r="J716" s="300">
        <f>SAÍDAS!K33</f>
        <v>0</v>
      </c>
      <c r="K716" s="300">
        <f>SAÍDAS!L33</f>
        <v>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c r="A717" s="670"/>
      <c r="B717" s="739" t="str">
        <f>SAÍDAS!C34</f>
        <v>Serviços Terceirizados</v>
      </c>
      <c r="C717" s="300">
        <f t="shared" si="202"/>
        <v>0</v>
      </c>
      <c r="D717" s="300">
        <f>SAÍDAS!E34</f>
        <v>0</v>
      </c>
      <c r="E717" s="300">
        <f>SAÍDAS!F34</f>
        <v>0</v>
      </c>
      <c r="F717" s="300">
        <f>SAÍDAS!G34</f>
        <v>0</v>
      </c>
      <c r="G717" s="300">
        <f>SAÍDAS!H34</f>
        <v>0</v>
      </c>
      <c r="H717" s="300">
        <f>SAÍDAS!I34</f>
        <v>0</v>
      </c>
      <c r="I717" s="300">
        <f>SAÍDAS!J34</f>
        <v>0</v>
      </c>
      <c r="J717" s="300">
        <f>SAÍDAS!K34</f>
        <v>0</v>
      </c>
      <c r="K717" s="300">
        <f>SAÍDAS!L34</f>
        <v>0</v>
      </c>
      <c r="L717" s="300">
        <f>SAÍDAS!M34</f>
        <v>0</v>
      </c>
      <c r="M717" s="300">
        <f>SAÍDAS!N34</f>
        <v>0</v>
      </c>
      <c r="N717" s="300">
        <f>SAÍDAS!O34</f>
        <v>0</v>
      </c>
      <c r="O717" s="300">
        <f>SAÍDAS!P34</f>
        <v>0</v>
      </c>
      <c r="P717" s="224"/>
      <c r="Q717" s="678"/>
    </row>
    <row r="718" spans="1:25" hidden="1">
      <c r="A718" s="670"/>
      <c r="B718" s="739" t="str">
        <f>SAÍDAS!C35</f>
        <v>Alimentação</v>
      </c>
      <c r="C718" s="300">
        <f t="shared" si="202"/>
        <v>0</v>
      </c>
      <c r="D718" s="300">
        <f>SAÍDAS!E35</f>
        <v>0</v>
      </c>
      <c r="E718" s="300">
        <f>SAÍDAS!F35</f>
        <v>0</v>
      </c>
      <c r="F718" s="300">
        <f>SAÍDAS!G35</f>
        <v>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c r="A728" s="670"/>
      <c r="B728" s="739" t="str">
        <f>SAÍDAS!C45</f>
        <v>Alimentação</v>
      </c>
      <c r="C728" s="300">
        <f t="shared" si="202"/>
        <v>7000</v>
      </c>
      <c r="D728" s="300">
        <f>SAÍDAS!E45</f>
        <v>0</v>
      </c>
      <c r="E728" s="300">
        <f>SAÍDAS!F45</f>
        <v>0</v>
      </c>
      <c r="F728" s="300">
        <f>SAÍDAS!G45</f>
        <v>0</v>
      </c>
      <c r="G728" s="300">
        <f>SAÍDAS!H45</f>
        <v>0</v>
      </c>
      <c r="H728" s="300">
        <f>SAÍDAS!I45</f>
        <v>0</v>
      </c>
      <c r="I728" s="300">
        <f>SAÍDAS!J45</f>
        <v>5000</v>
      </c>
      <c r="J728" s="300">
        <f>SAÍDAS!K45</f>
        <v>2000</v>
      </c>
      <c r="K728" s="300">
        <f>SAÍDAS!L45</f>
        <v>0</v>
      </c>
      <c r="L728" s="300">
        <f>SAÍDAS!M45</f>
        <v>0</v>
      </c>
      <c r="M728" s="300">
        <f>SAÍDAS!N45</f>
        <v>0</v>
      </c>
      <c r="N728" s="300">
        <f>SAÍDAS!O45</f>
        <v>0</v>
      </c>
      <c r="O728" s="300">
        <f>SAÍDAS!P45</f>
        <v>0</v>
      </c>
      <c r="P728" s="224"/>
      <c r="Q728" s="678"/>
    </row>
    <row r="729" spans="1:17" hidden="1">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c r="A731" s="670"/>
      <c r="B731" s="739" t="str">
        <f>SAÍDAS!C48</f>
        <v>Manutenção de Forragem</v>
      </c>
      <c r="C731" s="300">
        <f t="shared" si="202"/>
        <v>0</v>
      </c>
      <c r="D731" s="300">
        <f>SAÍDAS!E48</f>
        <v>0</v>
      </c>
      <c r="E731" s="300">
        <f>SAÍDAS!F48</f>
        <v>0</v>
      </c>
      <c r="F731" s="300">
        <f>SAÍDAS!G48</f>
        <v>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c r="A735" s="670"/>
      <c r="B735" s="739" t="str">
        <f>SAÍDAS!C52</f>
        <v>Sanidade</v>
      </c>
      <c r="C735" s="300">
        <f t="shared" si="202"/>
        <v>0</v>
      </c>
      <c r="D735" s="300">
        <f>SAÍDAS!E52</f>
        <v>0</v>
      </c>
      <c r="E735" s="300">
        <f>SAÍDAS!F52</f>
        <v>0</v>
      </c>
      <c r="F735" s="300">
        <f>SAÍDAS!G52</f>
        <v>0</v>
      </c>
      <c r="G735" s="300">
        <f>SAÍDAS!H52</f>
        <v>0</v>
      </c>
      <c r="H735" s="300">
        <f>SAÍDAS!I52</f>
        <v>0</v>
      </c>
      <c r="I735" s="300">
        <f>SAÍDAS!J52</f>
        <v>0</v>
      </c>
      <c r="J735" s="300">
        <f>SAÍDAS!K52</f>
        <v>0</v>
      </c>
      <c r="K735" s="300">
        <f>SAÍDAS!L52</f>
        <v>0</v>
      </c>
      <c r="L735" s="300">
        <f>SAÍDAS!M52</f>
        <v>0</v>
      </c>
      <c r="M735" s="300">
        <f>SAÍDAS!N52</f>
        <v>0</v>
      </c>
      <c r="N735" s="300">
        <f>SAÍDAS!O52</f>
        <v>0</v>
      </c>
      <c r="O735" s="300">
        <f>SAÍDAS!P52</f>
        <v>0</v>
      </c>
      <c r="P735" s="224"/>
      <c r="Q735" s="678"/>
    </row>
    <row r="736" spans="1:17" hidden="1">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c r="A738" s="670"/>
      <c r="B738" s="739" t="str">
        <f>SAÍDAS!C55</f>
        <v>Manutenção de Máquinas e Instalações</v>
      </c>
      <c r="C738" s="300">
        <f t="shared" si="202"/>
        <v>0</v>
      </c>
      <c r="D738" s="300">
        <f>SAÍDAS!E55</f>
        <v>0</v>
      </c>
      <c r="E738" s="300">
        <f>SAÍDAS!F55</f>
        <v>0</v>
      </c>
      <c r="F738" s="300">
        <f>SAÍDAS!G55</f>
        <v>0</v>
      </c>
      <c r="G738" s="300">
        <f>SAÍDAS!H55</f>
        <v>0</v>
      </c>
      <c r="H738" s="300">
        <f>SAÍDAS!I55</f>
        <v>0</v>
      </c>
      <c r="I738" s="300">
        <f>SAÍDAS!J55</f>
        <v>0</v>
      </c>
      <c r="J738" s="300">
        <f>SAÍDAS!K55</f>
        <v>0</v>
      </c>
      <c r="K738" s="300">
        <f>SAÍDAS!L55</f>
        <v>0</v>
      </c>
      <c r="L738" s="300">
        <f>SAÍDAS!M55</f>
        <v>0</v>
      </c>
      <c r="M738" s="300">
        <f>SAÍDAS!N55</f>
        <v>0</v>
      </c>
      <c r="N738" s="300">
        <f>SAÍDAS!O55</f>
        <v>0</v>
      </c>
      <c r="O738" s="300">
        <f>SAÍDAS!P55</f>
        <v>0</v>
      </c>
      <c r="P738" s="224"/>
      <c r="Q738" s="678"/>
    </row>
    <row r="739" spans="1:17" hidden="1">
      <c r="A739" s="670"/>
      <c r="B739" s="739" t="str">
        <f>SAÍDAS!C56</f>
        <v>Combustível e Energia</v>
      </c>
      <c r="C739" s="300">
        <f t="shared" si="202"/>
        <v>300</v>
      </c>
      <c r="D739" s="300">
        <f>SAÍDAS!E56</f>
        <v>0</v>
      </c>
      <c r="E739" s="300">
        <f>SAÍDAS!F56</f>
        <v>0</v>
      </c>
      <c r="F739" s="300">
        <f>SAÍDAS!G56</f>
        <v>0</v>
      </c>
      <c r="G739" s="300">
        <f>SAÍDAS!H56</f>
        <v>0</v>
      </c>
      <c r="H739" s="300">
        <f>SAÍDAS!I56</f>
        <v>0</v>
      </c>
      <c r="I739" s="300">
        <f>SAÍDAS!J56</f>
        <v>300</v>
      </c>
      <c r="J739" s="300">
        <f>SAÍDAS!K56</f>
        <v>0</v>
      </c>
      <c r="K739" s="300">
        <f>SAÍDAS!L56</f>
        <v>0</v>
      </c>
      <c r="L739" s="300">
        <f>SAÍDAS!M56</f>
        <v>0</v>
      </c>
      <c r="M739" s="300">
        <f>SAÍDAS!N56</f>
        <v>0</v>
      </c>
      <c r="N739" s="300">
        <f>SAÍDAS!O56</f>
        <v>0</v>
      </c>
      <c r="O739" s="300">
        <f>SAÍDAS!P56</f>
        <v>0</v>
      </c>
      <c r="P739" s="224"/>
      <c r="Q739" s="678"/>
    </row>
    <row r="740" spans="1:17" hidden="1">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c r="A741" s="670"/>
      <c r="B741" s="739" t="str">
        <f>SAÍDAS!C58</f>
        <v>Manutenção de Máquinas e Instalações</v>
      </c>
      <c r="C741" s="300">
        <f t="shared" si="202"/>
        <v>0</v>
      </c>
      <c r="D741" s="300">
        <f>SAÍDAS!E58</f>
        <v>0</v>
      </c>
      <c r="E741" s="300">
        <f>SAÍDAS!F58</f>
        <v>0</v>
      </c>
      <c r="F741" s="300">
        <f>SAÍDAS!G58</f>
        <v>0</v>
      </c>
      <c r="G741" s="300">
        <f>SAÍDAS!H58</f>
        <v>0</v>
      </c>
      <c r="H741" s="300">
        <f>SAÍDAS!I58</f>
        <v>0</v>
      </c>
      <c r="I741" s="300">
        <f>SAÍDAS!J58</f>
        <v>0</v>
      </c>
      <c r="J741" s="300">
        <f>SAÍDAS!K58</f>
        <v>0</v>
      </c>
      <c r="K741" s="300">
        <f>SAÍDAS!L58</f>
        <v>0</v>
      </c>
      <c r="L741" s="300">
        <f>SAÍDAS!M58</f>
        <v>0</v>
      </c>
      <c r="M741" s="300">
        <f>SAÍDAS!N58</f>
        <v>0</v>
      </c>
      <c r="N741" s="300">
        <f>SAÍDAS!O58</f>
        <v>0</v>
      </c>
      <c r="O741" s="300">
        <f>SAÍDAS!P58</f>
        <v>0</v>
      </c>
      <c r="P741" s="224"/>
      <c r="Q741" s="678"/>
    </row>
    <row r="742" spans="1:17" hidden="1">
      <c r="A742" s="670"/>
      <c r="B742" s="739" t="str">
        <f>SAÍDAS!C59</f>
        <v>Manutenção de Máquinas e Instalações</v>
      </c>
      <c r="C742" s="300">
        <f t="shared" si="202"/>
        <v>0</v>
      </c>
      <c r="D742" s="300">
        <f>SAÍDAS!E59</f>
        <v>0</v>
      </c>
      <c r="E742" s="300">
        <f>SAÍDAS!F59</f>
        <v>0</v>
      </c>
      <c r="F742" s="300">
        <f>SAÍDAS!G59</f>
        <v>0</v>
      </c>
      <c r="G742" s="300">
        <f>SAÍDAS!H59</f>
        <v>0</v>
      </c>
      <c r="H742" s="300">
        <f>SAÍDAS!I59</f>
        <v>0</v>
      </c>
      <c r="I742" s="300">
        <f>SAÍDAS!J59</f>
        <v>0</v>
      </c>
      <c r="J742" s="300">
        <f>SAÍDAS!K59</f>
        <v>0</v>
      </c>
      <c r="K742" s="300">
        <f>SAÍDAS!L59</f>
        <v>0</v>
      </c>
      <c r="L742" s="300">
        <f>SAÍDAS!M59</f>
        <v>0</v>
      </c>
      <c r="M742" s="300">
        <f>SAÍDAS!N59</f>
        <v>0</v>
      </c>
      <c r="N742" s="300">
        <f>SAÍDAS!O59</f>
        <v>0</v>
      </c>
      <c r="O742" s="300">
        <f>SAÍDAS!P59</f>
        <v>0</v>
      </c>
      <c r="P742" s="224"/>
      <c r="Q742" s="678"/>
    </row>
    <row r="743" spans="1:17" hidden="1">
      <c r="A743" s="670"/>
      <c r="B743" s="739" t="str">
        <f>SAÍDAS!C60</f>
        <v>Combustível e Energia</v>
      </c>
      <c r="C743" s="300">
        <f t="shared" si="202"/>
        <v>0</v>
      </c>
      <c r="D743" s="300">
        <f>SAÍDAS!E60</f>
        <v>0</v>
      </c>
      <c r="E743" s="300">
        <f>SAÍDAS!F60</f>
        <v>0</v>
      </c>
      <c r="F743" s="300">
        <f>SAÍDAS!G60</f>
        <v>0</v>
      </c>
      <c r="G743" s="300">
        <f>SAÍDAS!H60</f>
        <v>0</v>
      </c>
      <c r="H743" s="300">
        <f>SAÍDAS!I60</f>
        <v>0</v>
      </c>
      <c r="I743" s="300">
        <f>SAÍDAS!J60</f>
        <v>0</v>
      </c>
      <c r="J743" s="300">
        <f>SAÍDAS!K60</f>
        <v>0</v>
      </c>
      <c r="K743" s="300">
        <f>SAÍDAS!L60</f>
        <v>0</v>
      </c>
      <c r="L743" s="300">
        <f>SAÍDAS!M60</f>
        <v>0</v>
      </c>
      <c r="M743" s="300">
        <f>SAÍDAS!N60</f>
        <v>0</v>
      </c>
      <c r="N743" s="300">
        <f>SAÍDAS!O60</f>
        <v>0</v>
      </c>
      <c r="O743" s="300">
        <f>SAÍDAS!P60</f>
        <v>0</v>
      </c>
      <c r="P743" s="224"/>
      <c r="Q743" s="678"/>
    </row>
    <row r="744" spans="1:17" hidden="1">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c r="A745" s="670"/>
      <c r="B745" s="739" t="str">
        <f>SAÍDAS!C62</f>
        <v>Tarifas e Impostos</v>
      </c>
      <c r="C745" s="300">
        <f t="shared" si="202"/>
        <v>0</v>
      </c>
      <c r="D745" s="300">
        <f>SAÍDAS!E62</f>
        <v>0</v>
      </c>
      <c r="E745" s="300">
        <f>SAÍDAS!F62</f>
        <v>0</v>
      </c>
      <c r="F745" s="300">
        <f>SAÍDAS!G62</f>
        <v>0</v>
      </c>
      <c r="G745" s="300">
        <f>SAÍDAS!H62</f>
        <v>0</v>
      </c>
      <c r="H745" s="300">
        <f>SAÍDAS!I62</f>
        <v>0</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c r="A748" s="670"/>
      <c r="B748" s="739" t="str">
        <f>SAÍDAS!C65</f>
        <v>Outros</v>
      </c>
      <c r="C748" s="300">
        <f t="shared" si="202"/>
        <v>0</v>
      </c>
      <c r="D748" s="300">
        <f>SAÍDAS!E65</f>
        <v>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c r="A749" s="670"/>
      <c r="B749" s="739" t="str">
        <f>SAÍDAS!C66</f>
        <v>Outros</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c r="A752" s="670"/>
      <c r="B752" s="739" t="str">
        <f>SAÍDAS!C69</f>
        <v>Animais</v>
      </c>
      <c r="C752" s="300">
        <f t="shared" si="202"/>
        <v>0</v>
      </c>
      <c r="D752" s="300">
        <f>SAÍDAS!E69</f>
        <v>0</v>
      </c>
      <c r="E752" s="300">
        <f>SAÍDAS!F69</f>
        <v>0</v>
      </c>
      <c r="F752" s="300">
        <f>SAÍDAS!G69</f>
        <v>0</v>
      </c>
      <c r="G752" s="300">
        <f>SAÍDAS!H69</f>
        <v>0</v>
      </c>
      <c r="H752" s="300">
        <f>SAÍDAS!I69</f>
        <v>0</v>
      </c>
      <c r="I752" s="300">
        <f>SAÍDAS!J69</f>
        <v>0</v>
      </c>
      <c r="J752" s="300">
        <f>SAÍDAS!K69</f>
        <v>0</v>
      </c>
      <c r="K752" s="300">
        <f>SAÍDAS!L69</f>
        <v>0</v>
      </c>
      <c r="L752" s="300">
        <f>SAÍDAS!M69</f>
        <v>0</v>
      </c>
      <c r="M752" s="300">
        <f>SAÍDAS!N69</f>
        <v>0</v>
      </c>
      <c r="N752" s="300">
        <f>SAÍDAS!O69</f>
        <v>0</v>
      </c>
      <c r="O752" s="300">
        <f>SAÍDAS!P69</f>
        <v>0</v>
      </c>
      <c r="P752" s="224"/>
      <c r="Q752" s="678"/>
    </row>
    <row r="753" spans="1:17" hidden="1">
      <c r="A753" s="670"/>
      <c r="B753" s="740" t="s">
        <v>179</v>
      </c>
      <c r="C753" s="300">
        <f t="shared" si="202"/>
        <v>7300</v>
      </c>
      <c r="D753" s="300">
        <f>SAÍDAS!E70</f>
        <v>0</v>
      </c>
      <c r="E753" s="300">
        <f>SAÍDAS!F70</f>
        <v>0</v>
      </c>
      <c r="F753" s="300">
        <f>SAÍDAS!G70</f>
        <v>0</v>
      </c>
      <c r="G753" s="300">
        <f>SAÍDAS!H70</f>
        <v>0</v>
      </c>
      <c r="H753" s="300">
        <f>SAÍDAS!I70</f>
        <v>0</v>
      </c>
      <c r="I753" s="300">
        <f>SAÍDAS!J70</f>
        <v>5300</v>
      </c>
      <c r="J753" s="300">
        <f>SAÍDAS!K70</f>
        <v>2000</v>
      </c>
      <c r="K753" s="300">
        <f>SAÍDAS!L70</f>
        <v>0</v>
      </c>
      <c r="L753" s="300">
        <f>SAÍDAS!M70</f>
        <v>0</v>
      </c>
      <c r="M753" s="300">
        <f>SAÍDAS!N70</f>
        <v>0</v>
      </c>
      <c r="N753" s="300">
        <f>SAÍDAS!O70</f>
        <v>0</v>
      </c>
      <c r="O753" s="300">
        <f>SAÍDAS!P70</f>
        <v>0</v>
      </c>
      <c r="P753" s="224"/>
      <c r="Q753" s="678"/>
    </row>
    <row r="754" spans="1:17" ht="15.75" hidden="1" thickBot="1">
      <c r="A754" s="670"/>
      <c r="B754" s="740"/>
      <c r="C754" s="300"/>
      <c r="D754" s="300"/>
      <c r="E754" s="300"/>
      <c r="F754" s="300"/>
      <c r="G754" s="300"/>
      <c r="H754" s="300"/>
      <c r="I754" s="300"/>
      <c r="J754" s="300"/>
      <c r="K754" s="300"/>
      <c r="L754" s="300"/>
      <c r="M754" s="300"/>
      <c r="N754" s="300"/>
      <c r="O754" s="300"/>
      <c r="P754" s="224"/>
      <c r="Q754" s="678"/>
    </row>
    <row r="755" spans="1:17" ht="15.75" hidden="1" thickTop="1">
      <c r="A755" s="670"/>
      <c r="B755" s="789"/>
      <c r="C755" s="300"/>
      <c r="D755" s="300"/>
      <c r="E755" s="300"/>
      <c r="F755" s="300"/>
      <c r="G755" s="300"/>
      <c r="H755" s="300"/>
      <c r="I755" s="300"/>
      <c r="J755" s="300"/>
      <c r="K755" s="300"/>
      <c r="L755" s="300"/>
      <c r="M755" s="300"/>
      <c r="N755" s="300"/>
      <c r="O755" s="300"/>
      <c r="P755" s="224"/>
      <c r="Q755" s="678"/>
    </row>
    <row r="756" spans="1:17" hidden="1">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c r="A759" s="670"/>
      <c r="B759" s="790" t="str">
        <f>SAÍDAS!C76</f>
        <v>Tarifas e Impostos</v>
      </c>
      <c r="C759" s="300">
        <f t="shared" si="203"/>
        <v>0</v>
      </c>
      <c r="D759" s="300">
        <f>SAÍDAS!E76</f>
        <v>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0</v>
      </c>
      <c r="N759" s="300">
        <f>SAÍDAS!O76</f>
        <v>0</v>
      </c>
      <c r="O759" s="300">
        <f>SAÍDAS!P76</f>
        <v>0</v>
      </c>
      <c r="P759" s="224"/>
      <c r="Q759" s="678"/>
    </row>
    <row r="760" spans="1:17" hidden="1">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c r="A774" s="670"/>
      <c r="B774" s="741" t="s">
        <v>180</v>
      </c>
      <c r="C774" s="300">
        <f>SUM(D774:O774)</f>
        <v>0</v>
      </c>
      <c r="D774" s="300">
        <f>SUM(D756:D772)</f>
        <v>0</v>
      </c>
      <c r="E774" s="300">
        <f t="shared" ref="E774:O774" si="204">SUM(E756:E772)</f>
        <v>0</v>
      </c>
      <c r="F774" s="300">
        <f t="shared" si="204"/>
        <v>0</v>
      </c>
      <c r="G774" s="300">
        <f t="shared" si="204"/>
        <v>0</v>
      </c>
      <c r="H774" s="300">
        <f t="shared" si="204"/>
        <v>0</v>
      </c>
      <c r="I774" s="300">
        <f t="shared" si="204"/>
        <v>0</v>
      </c>
      <c r="J774" s="300">
        <f t="shared" si="204"/>
        <v>0</v>
      </c>
      <c r="K774" s="300">
        <f t="shared" si="204"/>
        <v>0</v>
      </c>
      <c r="L774" s="300">
        <f t="shared" si="204"/>
        <v>0</v>
      </c>
      <c r="M774" s="300">
        <f t="shared" si="204"/>
        <v>0</v>
      </c>
      <c r="N774" s="300">
        <f t="shared" si="204"/>
        <v>0</v>
      </c>
      <c r="O774" s="300">
        <f t="shared" si="204"/>
        <v>0</v>
      </c>
      <c r="P774" s="300">
        <f>P699+P624+P549+P474</f>
        <v>7300</v>
      </c>
      <c r="Q774" s="678"/>
    </row>
    <row r="775" spans="1:17" hidden="1">
      <c r="A775" s="670"/>
      <c r="B775" s="1057"/>
      <c r="C775" s="228"/>
      <c r="D775" s="300"/>
      <c r="E775" s="300"/>
      <c r="F775" s="300"/>
      <c r="G775" s="300"/>
      <c r="H775" s="300"/>
      <c r="I775" s="300"/>
      <c r="J775" s="300"/>
      <c r="K775" s="300"/>
      <c r="L775" s="300"/>
      <c r="M775" s="300"/>
      <c r="N775" s="300"/>
      <c r="O775" s="300"/>
      <c r="P775" s="300"/>
      <c r="Q775" s="678"/>
    </row>
    <row r="776" spans="1:17" hidden="1">
      <c r="A776" s="670"/>
      <c r="B776" s="742" t="s">
        <v>17</v>
      </c>
      <c r="C776" s="743"/>
      <c r="D776" s="744">
        <f>D774+D753</f>
        <v>0</v>
      </c>
      <c r="E776" s="744">
        <f t="shared" ref="E776:O776" si="205">E774+E753</f>
        <v>0</v>
      </c>
      <c r="F776" s="744">
        <f t="shared" si="205"/>
        <v>0</v>
      </c>
      <c r="G776" s="744">
        <f t="shared" si="205"/>
        <v>0</v>
      </c>
      <c r="H776" s="744">
        <f t="shared" si="205"/>
        <v>0</v>
      </c>
      <c r="I776" s="744">
        <f t="shared" si="205"/>
        <v>5300</v>
      </c>
      <c r="J776" s="744">
        <f t="shared" si="205"/>
        <v>2000</v>
      </c>
      <c r="K776" s="744">
        <f t="shared" si="205"/>
        <v>0</v>
      </c>
      <c r="L776" s="744">
        <f t="shared" si="205"/>
        <v>0</v>
      </c>
      <c r="M776" s="744">
        <f t="shared" si="205"/>
        <v>0</v>
      </c>
      <c r="N776" s="744">
        <f t="shared" si="205"/>
        <v>0</v>
      </c>
      <c r="O776" s="744">
        <f t="shared" si="205"/>
        <v>0</v>
      </c>
      <c r="P776" s="744">
        <f>SUM(D776:O776)</f>
        <v>7300</v>
      </c>
      <c r="Q776" s="706"/>
    </row>
    <row r="777" spans="1:17" hidden="1">
      <c r="A777" s="670"/>
      <c r="B777" s="745" t="s">
        <v>178</v>
      </c>
      <c r="C777" s="680"/>
      <c r="D777" s="746">
        <f>D776</f>
        <v>0</v>
      </c>
      <c r="E777" s="746">
        <f t="shared" ref="E777" si="206">D777+E776</f>
        <v>0</v>
      </c>
      <c r="F777" s="746">
        <f t="shared" ref="F777" si="207">E777+F776</f>
        <v>0</v>
      </c>
      <c r="G777" s="746">
        <f>F777+G776</f>
        <v>0</v>
      </c>
      <c r="H777" s="746">
        <f>G777+H776</f>
        <v>0</v>
      </c>
      <c r="I777" s="746">
        <f>H777+I776</f>
        <v>5300</v>
      </c>
      <c r="J777" s="746">
        <f>I777+J776</f>
        <v>7300</v>
      </c>
      <c r="K777" s="746">
        <f t="shared" ref="K777" si="208">J777+K776</f>
        <v>7300</v>
      </c>
      <c r="L777" s="746">
        <f t="shared" ref="L777" si="209">K777+L776</f>
        <v>7300</v>
      </c>
      <c r="M777" s="746">
        <f t="shared" ref="M777" si="210">L777+M776</f>
        <v>7300</v>
      </c>
      <c r="N777" s="746">
        <f t="shared" ref="N777" si="211">M777+N776</f>
        <v>7300</v>
      </c>
      <c r="O777" s="747">
        <f t="shared" ref="O777" si="212">N777+O776</f>
        <v>7300</v>
      </c>
      <c r="P777" s="748"/>
      <c r="Q777" s="706"/>
    </row>
    <row r="778" spans="1:17" hidden="1">
      <c r="A778" s="670"/>
      <c r="B778" s="745" t="s">
        <v>181</v>
      </c>
      <c r="C778" s="680"/>
      <c r="D778" s="749">
        <f t="shared" ref="D778:O778" si="213">IF(D166="",0,D776)</f>
        <v>0</v>
      </c>
      <c r="E778" s="749">
        <f t="shared" si="213"/>
        <v>0</v>
      </c>
      <c r="F778" s="749">
        <f t="shared" si="213"/>
        <v>0</v>
      </c>
      <c r="G778" s="749">
        <f t="shared" si="213"/>
        <v>0</v>
      </c>
      <c r="H778" s="749">
        <f t="shared" si="213"/>
        <v>0</v>
      </c>
      <c r="I778" s="749">
        <f t="shared" si="213"/>
        <v>5300</v>
      </c>
      <c r="J778" s="749">
        <f t="shared" si="213"/>
        <v>2000</v>
      </c>
      <c r="K778" s="749">
        <f t="shared" si="213"/>
        <v>0</v>
      </c>
      <c r="L778" s="749">
        <f t="shared" si="213"/>
        <v>0</v>
      </c>
      <c r="M778" s="749">
        <f t="shared" si="213"/>
        <v>0</v>
      </c>
      <c r="N778" s="749">
        <f t="shared" si="213"/>
        <v>0</v>
      </c>
      <c r="O778" s="749">
        <f t="shared" si="213"/>
        <v>0</v>
      </c>
      <c r="P778" s="748"/>
      <c r="Q778" s="706"/>
    </row>
    <row r="779" spans="1:17" hidden="1">
      <c r="A779" s="670"/>
      <c r="B779" s="745" t="s">
        <v>182</v>
      </c>
      <c r="C779" s="680"/>
      <c r="D779" s="759">
        <f>D778</f>
        <v>0</v>
      </c>
      <c r="E779" s="759">
        <f t="shared" ref="E779" si="214">(D779+E778)</f>
        <v>0</v>
      </c>
      <c r="F779" s="759">
        <f t="shared" ref="F779" si="215">(E779+F778)</f>
        <v>0</v>
      </c>
      <c r="G779" s="759">
        <f>(F779+G778)</f>
        <v>0</v>
      </c>
      <c r="H779" s="759">
        <f>(G779+H778)</f>
        <v>0</v>
      </c>
      <c r="I779" s="759">
        <f>(H779+I778)</f>
        <v>5300</v>
      </c>
      <c r="J779" s="759">
        <f>(I779+J778)</f>
        <v>7300</v>
      </c>
      <c r="K779" s="759">
        <f t="shared" ref="K779" si="216">(J779+K778)</f>
        <v>7300</v>
      </c>
      <c r="L779" s="759">
        <f t="shared" ref="L779" si="217">(K779+L778)</f>
        <v>7300</v>
      </c>
      <c r="M779" s="759">
        <f t="shared" ref="M779" si="218">(L779+M778)</f>
        <v>7300</v>
      </c>
      <c r="N779" s="759">
        <f t="shared" ref="N779" si="219">(M779+N778)</f>
        <v>7300</v>
      </c>
      <c r="O779" s="760">
        <f t="shared" ref="O779" si="220">(N779+O778)</f>
        <v>7300</v>
      </c>
      <c r="P779" s="748"/>
      <c r="Q779" s="706"/>
    </row>
    <row r="780" spans="1:17" hidden="1">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c r="A783" s="670"/>
      <c r="B783" s="746" t="s">
        <v>187</v>
      </c>
      <c r="C783" s="680"/>
      <c r="D783" s="746">
        <f t="shared" ref="D783:O783" si="229">D778+D782</f>
        <v>0</v>
      </c>
      <c r="E783" s="746">
        <f t="shared" si="229"/>
        <v>0</v>
      </c>
      <c r="F783" s="746">
        <f t="shared" si="229"/>
        <v>0</v>
      </c>
      <c r="G783" s="746">
        <f t="shared" si="229"/>
        <v>0</v>
      </c>
      <c r="H783" s="746">
        <f t="shared" si="229"/>
        <v>0</v>
      </c>
      <c r="I783" s="746">
        <f t="shared" si="229"/>
        <v>5300</v>
      </c>
      <c r="J783" s="746">
        <f t="shared" si="229"/>
        <v>2000</v>
      </c>
      <c r="K783" s="746">
        <f t="shared" si="229"/>
        <v>0</v>
      </c>
      <c r="L783" s="746">
        <f t="shared" si="229"/>
        <v>0</v>
      </c>
      <c r="M783" s="746">
        <f t="shared" si="229"/>
        <v>0</v>
      </c>
      <c r="N783" s="746">
        <f t="shared" si="229"/>
        <v>0</v>
      </c>
      <c r="O783" s="746">
        <f t="shared" si="229"/>
        <v>0</v>
      </c>
      <c r="P783" s="746">
        <f>SUM(D783:O783)</f>
        <v>7300</v>
      </c>
      <c r="Q783" s="706"/>
    </row>
    <row r="784" spans="1:17" ht="15.75" hidden="1" thickBot="1">
      <c r="A784" s="670"/>
      <c r="B784" s="746" t="s">
        <v>183</v>
      </c>
      <c r="C784" s="754">
        <f>COUNTIF(D780:O780,0)</f>
        <v>0</v>
      </c>
      <c r="D784" s="746">
        <f t="shared" ref="D784:O784" si="230">IF(D780=$P780,$P782,0)+D783</f>
        <v>0</v>
      </c>
      <c r="E784" s="746">
        <f t="shared" si="230"/>
        <v>0</v>
      </c>
      <c r="F784" s="746">
        <f t="shared" si="230"/>
        <v>0</v>
      </c>
      <c r="G784" s="746">
        <f t="shared" si="230"/>
        <v>0</v>
      </c>
      <c r="H784" s="746">
        <f t="shared" si="230"/>
        <v>0</v>
      </c>
      <c r="I784" s="746">
        <f t="shared" si="230"/>
        <v>5300</v>
      </c>
      <c r="J784" s="746">
        <f t="shared" si="230"/>
        <v>2000</v>
      </c>
      <c r="K784" s="746">
        <f t="shared" si="230"/>
        <v>0</v>
      </c>
      <c r="L784" s="746">
        <f t="shared" si="230"/>
        <v>0</v>
      </c>
      <c r="M784" s="746">
        <f t="shared" si="230"/>
        <v>0</v>
      </c>
      <c r="N784" s="746">
        <f t="shared" si="230"/>
        <v>0</v>
      </c>
      <c r="O784" s="746">
        <f t="shared" si="230"/>
        <v>0</v>
      </c>
      <c r="P784" s="746">
        <f>SUM(D784:O784)</f>
        <v>7300</v>
      </c>
      <c r="Q784" s="706"/>
    </row>
    <row r="785" spans="1:17" ht="15.75" hidden="1" thickBot="1">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c r="A787" s="670"/>
      <c r="B787" s="224"/>
      <c r="C787" s="224"/>
      <c r="D787" s="724"/>
      <c r="E787" s="724"/>
      <c r="F787" s="724"/>
      <c r="G787" s="724"/>
      <c r="H787" s="724"/>
      <c r="I787" s="724"/>
      <c r="J787" s="724"/>
      <c r="K787" s="724"/>
      <c r="L787" s="724"/>
      <c r="M787" s="724"/>
      <c r="N787" s="724"/>
      <c r="O787" s="724"/>
      <c r="P787" s="300"/>
      <c r="Q787" s="706"/>
    </row>
    <row r="788" spans="1:17" ht="15.75" hidden="1" thickBot="1">
      <c r="A788" s="701"/>
      <c r="B788" s="702"/>
      <c r="C788" s="1058"/>
      <c r="D788" s="702"/>
      <c r="E788" s="702"/>
      <c r="F788" s="702"/>
      <c r="G788" s="702"/>
      <c r="H788" s="702"/>
      <c r="I788" s="702"/>
      <c r="J788" s="702"/>
      <c r="K788" s="702"/>
      <c r="L788" s="702"/>
      <c r="M788" s="702"/>
      <c r="N788" s="702"/>
      <c r="O788" s="702"/>
      <c r="P788" s="702"/>
      <c r="Q788" s="723"/>
    </row>
    <row r="789" spans="1:17" ht="15.75" hidden="1" thickTop="1"/>
    <row r="790" spans="1:17" hidden="1"/>
    <row r="791" spans="1:17" hidden="1"/>
    <row r="792" spans="1:17" hidden="1"/>
    <row r="793" spans="1:17" hidden="1"/>
    <row r="794" spans="1:17" hidden="1"/>
    <row r="795" spans="1:17" hidden="1"/>
    <row r="796" spans="1:17" hidden="1"/>
    <row r="797" spans="1:17" hidden="1"/>
    <row r="798" spans="1:17" hidden="1"/>
    <row r="799" spans="1:17" hidden="1"/>
    <row r="800" spans="1:17"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sheetData>
  <sheetProtection password="CA4F"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sheetPr codeName="Plan7"/>
  <dimension ref="A1:XFC158"/>
  <sheetViews>
    <sheetView showGridLines="0" topLeftCell="A8" zoomScale="80" zoomScaleNormal="80" workbookViewId="0">
      <selection activeCell="G16" sqref="G16"/>
    </sheetView>
  </sheetViews>
  <sheetFormatPr defaultColWidth="0" defaultRowHeight="15" zeroHeight="1"/>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row r="2" spans="2:12" ht="15.75" thickTop="1">
      <c r="B2" s="465" t="str">
        <f>REBANHO!B2</f>
        <v>Fazenda</v>
      </c>
      <c r="C2" s="466" t="str">
        <f>IF(REBANHO!C2="","",REBANHO!C2)</f>
        <v>RENASCER</v>
      </c>
      <c r="D2" s="466"/>
      <c r="E2" s="466"/>
      <c r="F2" s="466"/>
      <c r="G2" s="466"/>
      <c r="H2" s="466" t="str">
        <f>REBANHO!F2</f>
        <v>Ano</v>
      </c>
      <c r="I2" s="466"/>
      <c r="J2" s="466"/>
      <c r="K2" s="466"/>
      <c r="L2" s="467">
        <f>IF(REBANHO!I2="","",REBANHO!I2)</f>
        <v>2016</v>
      </c>
    </row>
    <row r="3" spans="2:12">
      <c r="B3" s="468" t="str">
        <f>REBANHO!B3</f>
        <v>Município</v>
      </c>
      <c r="C3" s="469" t="str">
        <f>IF(REBANHO!C3="","",REBANHO!C3)</f>
        <v>INDIARA</v>
      </c>
      <c r="D3" s="469"/>
      <c r="E3" s="469"/>
      <c r="F3" s="469"/>
      <c r="G3" s="469"/>
      <c r="H3" s="469" t="str">
        <f>REBANHO!F3</f>
        <v>Área total da propriedade (ha)</v>
      </c>
      <c r="I3" s="469"/>
      <c r="J3" s="469"/>
      <c r="K3" s="469"/>
      <c r="L3" s="470" t="str">
        <f>IF(REBANHO!I3="","",REBANHO!I3)</f>
        <v/>
      </c>
    </row>
    <row r="4" spans="2:12">
      <c r="B4" s="468" t="str">
        <f>REBANHO!B4</f>
        <v>Estado</v>
      </c>
      <c r="C4" s="469" t="str">
        <f>IF(REBANHO!C4="","",REBANHO!C4)</f>
        <v>GO</v>
      </c>
      <c r="D4" s="469"/>
      <c r="E4" s="469"/>
      <c r="F4" s="469"/>
      <c r="G4" s="469"/>
      <c r="H4" s="469" t="str">
        <f>REBANHO!F4</f>
        <v>Área de pasto (ha)</v>
      </c>
      <c r="I4" s="469"/>
      <c r="J4" s="469"/>
      <c r="K4" s="469"/>
      <c r="L4" s="470">
        <f>IF(REBANHO!I4="","",REBANHO!I4)</f>
        <v>363</v>
      </c>
    </row>
    <row r="5" spans="2:12">
      <c r="B5" s="468" t="str">
        <f>REBANHO!B5</f>
        <v>Proprietário</v>
      </c>
      <c r="C5" s="469" t="str">
        <f>IF(REBANHO!C5="","",REBANHO!C5)</f>
        <v>AUREA</v>
      </c>
      <c r="D5" s="469"/>
      <c r="E5" s="469"/>
      <c r="F5" s="469"/>
      <c r="G5" s="469"/>
      <c r="H5" s="469" t="str">
        <f>REBANHO!F5</f>
        <v>Área de reserva (ha)</v>
      </c>
      <c r="I5" s="469"/>
      <c r="J5" s="469"/>
      <c r="K5" s="469"/>
      <c r="L5" s="470" t="str">
        <f>IF(REBANHO!I5="","",REBANHO!I5)</f>
        <v/>
      </c>
    </row>
    <row r="6" spans="2:12">
      <c r="B6" s="468" t="str">
        <f>REBANHO!B6</f>
        <v>Sistema de produção</v>
      </c>
      <c r="C6" s="469" t="str">
        <f>IF(REBANHO!C6="","",REBANHO!C6)</f>
        <v>CICLO COMPLETO</v>
      </c>
      <c r="D6" s="469"/>
      <c r="E6" s="469"/>
      <c r="F6" s="469"/>
      <c r="G6" s="469"/>
      <c r="H6" s="469" t="str">
        <f>REBANHO!F6</f>
        <v>Outros (ha)</v>
      </c>
      <c r="I6" s="469"/>
      <c r="J6" s="469"/>
      <c r="K6" s="469"/>
      <c r="L6" s="470" t="str">
        <f>IF(REBANHO!I6="","",REBANHO!I6)</f>
        <v/>
      </c>
    </row>
    <row r="7" spans="2:12" ht="15.75" thickBot="1">
      <c r="B7" s="471" t="str">
        <f>REBANHO!B7</f>
        <v>Valor da terra (R$/ha)</v>
      </c>
      <c r="C7" s="472" t="str">
        <f>IF(REBANHO!C7="","",REBANHO!C7)</f>
        <v/>
      </c>
      <c r="D7" s="472"/>
      <c r="E7" s="472"/>
      <c r="F7" s="472"/>
      <c r="G7" s="472"/>
      <c r="H7" s="472" t="str">
        <f>REBANHO!F7</f>
        <v>Taxa de Juros Anual (%)</v>
      </c>
      <c r="I7" s="472"/>
      <c r="J7" s="472"/>
      <c r="K7" s="472"/>
      <c r="L7" s="473">
        <f>IF(REBANHO!I7="","",REBANHO!I7)</f>
        <v>6</v>
      </c>
    </row>
    <row r="8" spans="2:12" ht="15.75" thickTop="1"/>
    <row r="9" spans="2:12" ht="15.75" thickBot="1"/>
    <row r="10" spans="2:12" ht="16.5" thickTop="1" thickBot="1">
      <c r="B10" s="1268" t="s">
        <v>317</v>
      </c>
      <c r="C10" s="1269"/>
      <c r="D10" s="80"/>
    </row>
    <row r="11" spans="2:12" ht="15.75" thickTop="1"/>
    <row r="12" spans="2:12" ht="15.75" thickBot="1"/>
    <row r="13" spans="2:12" ht="15.75" thickTop="1">
      <c r="B13" s="1273" t="s">
        <v>316</v>
      </c>
      <c r="C13" s="1274"/>
      <c r="D13" s="1274"/>
      <c r="E13" s="1274"/>
      <c r="F13" s="1275"/>
      <c r="G13" s="474">
        <f>IF(REBANHO!R54=0,0,(REBANHO!Q63/REBANHO!R54)*100)</f>
        <v>0</v>
      </c>
      <c r="H13" s="461"/>
      <c r="I13" s="461"/>
      <c r="J13" s="461"/>
      <c r="K13" s="461"/>
      <c r="L13" s="461"/>
    </row>
    <row r="14" spans="2:12">
      <c r="B14" s="1270" t="s">
        <v>332</v>
      </c>
      <c r="C14" s="1271"/>
      <c r="D14" s="1271"/>
      <c r="E14" s="1271"/>
      <c r="F14" s="1272"/>
      <c r="G14" s="475">
        <f>IF(N39=0,0,IF(AND(SUM(C40:N40)=0,OR(SUM(C44:N44)=0,SUM(C44:N44)&lt;0)),0,(O43/N39)*100))</f>
        <v>0</v>
      </c>
      <c r="H14" s="461"/>
      <c r="I14" s="461"/>
      <c r="J14" s="461"/>
      <c r="K14" s="461"/>
      <c r="L14" s="461"/>
    </row>
    <row r="15" spans="2:12">
      <c r="B15" s="1270" t="s">
        <v>331</v>
      </c>
      <c r="C15" s="1271"/>
      <c r="D15" s="1271"/>
      <c r="E15" s="1271"/>
      <c r="F15" s="1272"/>
      <c r="G15" s="475">
        <f>IF(N60=0,0,IF(AND(SUM(C61:N61)=0,OR(SUM(C65:N65)=0,SUM(C65:N65)&lt;0)),0,(O64/N60)*100))</f>
        <v>0</v>
      </c>
      <c r="H15" s="461"/>
      <c r="I15" s="461"/>
      <c r="J15" s="461"/>
      <c r="K15" s="461"/>
      <c r="L15" s="461"/>
    </row>
    <row r="16" spans="2:12">
      <c r="B16" s="1270" t="s">
        <v>318</v>
      </c>
      <c r="C16" s="1271"/>
      <c r="D16" s="1271"/>
      <c r="E16" s="1271"/>
      <c r="F16" s="1272"/>
      <c r="G16" s="476">
        <f>IF(OR('RESULTADOS FINANCEIROS'!M26=0,'RESULTADOS FINANCEIROS'!M26="-"),0,(REBANHO!Q67/'RESULTADOS FINANCEIROS'!M26)*100)</f>
        <v>0</v>
      </c>
      <c r="H16" s="461"/>
      <c r="I16" s="461"/>
      <c r="J16" s="461"/>
      <c r="K16" s="461"/>
      <c r="L16" s="461"/>
    </row>
    <row r="17" spans="2:23">
      <c r="B17" s="1270" t="s">
        <v>319</v>
      </c>
      <c r="C17" s="1271"/>
      <c r="D17" s="1271"/>
      <c r="E17" s="1271"/>
      <c r="F17" s="1272"/>
      <c r="G17" s="476">
        <f>IF(OR('RESULTADOS FINANCEIROS'!M27=0,'RESULTADOS FINANCEIROS'!M27="-"),0,(REBANHO!Q69/'RESULTADOS FINANCEIROS'!M27)*100)</f>
        <v>0</v>
      </c>
      <c r="H17" s="461"/>
      <c r="I17" s="461"/>
      <c r="J17" s="461"/>
      <c r="K17" s="461"/>
      <c r="L17" s="461"/>
    </row>
    <row r="18" spans="2:23">
      <c r="B18" s="1270" t="s">
        <v>320</v>
      </c>
      <c r="C18" s="1271"/>
      <c r="D18" s="1271"/>
      <c r="E18" s="1271"/>
      <c r="F18" s="1272"/>
      <c r="G18" s="476">
        <f>IF(OR('RESULTADOS FINANCEIROS'!M28=0,'RESULTADOS FINANCEIROS'!M28="-"),0,(REBANHO!Q71/'RESULTADOS FINANCEIROS'!M28)*100)</f>
        <v>0</v>
      </c>
      <c r="H18" s="461"/>
      <c r="I18" s="461"/>
      <c r="J18" s="461"/>
      <c r="K18" s="461"/>
      <c r="L18" s="461"/>
    </row>
    <row r="19" spans="2:23">
      <c r="B19" s="1270" t="s">
        <v>321</v>
      </c>
      <c r="C19" s="1271"/>
      <c r="D19" s="1271"/>
      <c r="E19" s="1271"/>
      <c r="F19" s="1272"/>
      <c r="G19" s="476">
        <f>IF(OR('RESULTADOS FINANCEIROS'!M29=0,'RESULTADOS FINANCEIROS'!M29="-"),0,(REBANHO!Q73+REBANHO!Q75/'RESULTADOS FINANCEIROS'!M29)*100)</f>
        <v>0</v>
      </c>
      <c r="H19" s="461"/>
      <c r="I19" s="461"/>
      <c r="J19" s="461"/>
      <c r="K19" s="461"/>
      <c r="L19" s="461"/>
    </row>
    <row r="20" spans="2:23">
      <c r="B20" s="1270" t="s">
        <v>322</v>
      </c>
      <c r="C20" s="1271"/>
      <c r="D20" s="1271"/>
      <c r="E20" s="1271"/>
      <c r="F20" s="1272"/>
      <c r="G20" s="477" t="str">
        <f>IF(AND(REBANHO!R54=0,REBANHO!R55=0),0,CONCATENATE(ROUND(REBANHO!R54/REBANHO!R55,0),":","1"))</f>
        <v>23:1</v>
      </c>
      <c r="H20" s="461"/>
      <c r="I20" s="461"/>
      <c r="J20" s="461"/>
      <c r="K20" s="461"/>
      <c r="L20" s="461"/>
    </row>
    <row r="21" spans="2:23">
      <c r="B21" s="1270" t="s">
        <v>340</v>
      </c>
      <c r="C21" s="1271"/>
      <c r="D21" s="1271"/>
      <c r="E21" s="1271"/>
      <c r="F21" s="1272"/>
      <c r="G21" s="478">
        <f>O87</f>
        <v>215</v>
      </c>
      <c r="H21" s="271"/>
      <c r="I21" s="271"/>
      <c r="J21" s="271"/>
      <c r="K21" s="271"/>
      <c r="L21" s="461"/>
    </row>
    <row r="22" spans="2:23">
      <c r="B22" s="1270" t="s">
        <v>341</v>
      </c>
      <c r="C22" s="1271"/>
      <c r="D22" s="1271"/>
      <c r="E22" s="1271"/>
      <c r="F22" s="1272"/>
      <c r="G22" s="1066">
        <f>IF(N88=0,0,(G21/N88)*100)</f>
        <v>100</v>
      </c>
      <c r="H22" s="224"/>
      <c r="I22" s="224"/>
      <c r="J22" s="479"/>
      <c r="K22" s="224"/>
      <c r="L22" s="461"/>
    </row>
    <row r="23" spans="2:23">
      <c r="B23" s="1270" t="s">
        <v>344</v>
      </c>
      <c r="C23" s="1271"/>
      <c r="D23" s="1271"/>
      <c r="E23" s="1271"/>
      <c r="F23" s="1272"/>
      <c r="G23" s="476">
        <f>IF(REBANHO!R54+REBANHO!R55=0,0,O90/(REBANHO!R54+REBANHO!R55))</f>
        <v>0</v>
      </c>
      <c r="H23" s="224"/>
      <c r="I23" s="224"/>
      <c r="J23" s="479"/>
      <c r="K23" s="224"/>
      <c r="L23" s="461"/>
    </row>
    <row r="24" spans="2:23">
      <c r="B24" s="1270" t="s">
        <v>346</v>
      </c>
      <c r="C24" s="1271"/>
      <c r="D24" s="1271"/>
      <c r="E24" s="1271">
        <f>SUM(O57,O78,O100,O121,O144)</f>
        <v>216600</v>
      </c>
      <c r="F24" s="1272"/>
      <c r="G24" s="476">
        <f>IF((O57+O78+O100+O121+O144)=0,0,(O48+O49+O69+O70+O92++O113+O135+O136)/((O57+O78+O100+O121+O144)))</f>
        <v>0</v>
      </c>
      <c r="H24" s="461"/>
      <c r="I24" s="461"/>
      <c r="J24" s="461"/>
      <c r="K24" s="461"/>
      <c r="L24" s="461"/>
    </row>
    <row r="25" spans="2:23" ht="15.75" thickBot="1">
      <c r="B25" s="1265" t="s">
        <v>364</v>
      </c>
      <c r="C25" s="1266"/>
      <c r="D25" s="1266"/>
      <c r="E25" s="1266"/>
      <c r="F25" s="1267"/>
      <c r="G25" s="480">
        <f>IF(OR($L$4=0,$L$4=""),0,(O57+O78+O100+O121+O144)/L4)</f>
        <v>596.69421487603302</v>
      </c>
      <c r="H25" s="224"/>
    </row>
    <row r="26" spans="2:23" ht="16.5" thickTop="1" thickBot="1">
      <c r="B26" s="229"/>
      <c r="C26" s="225"/>
      <c r="D26" s="225"/>
      <c r="E26" s="236"/>
      <c r="F26" s="236"/>
      <c r="G26" s="236"/>
      <c r="H26" s="236"/>
      <c r="I26" s="236"/>
      <c r="J26" s="236"/>
      <c r="K26" s="236"/>
    </row>
    <row r="27" spans="2:23" s="50" customFormat="1" ht="48.75" customHeight="1" thickTop="1" thickBot="1">
      <c r="B27" s="481" t="s">
        <v>250</v>
      </c>
      <c r="C27" s="482" t="s">
        <v>0</v>
      </c>
      <c r="D27" s="482" t="s">
        <v>1</v>
      </c>
      <c r="E27" s="482" t="s">
        <v>2</v>
      </c>
      <c r="F27" s="482" t="s">
        <v>3</v>
      </c>
      <c r="G27" s="482" t="s">
        <v>4</v>
      </c>
      <c r="H27" s="482" t="s">
        <v>5</v>
      </c>
      <c r="I27" s="482" t="s">
        <v>6</v>
      </c>
      <c r="J27" s="482" t="s">
        <v>7</v>
      </c>
      <c r="K27" s="482" t="s">
        <v>8</v>
      </c>
      <c r="L27" s="482" t="s">
        <v>9</v>
      </c>
      <c r="M27" s="482" t="s">
        <v>10</v>
      </c>
      <c r="N27" s="483" t="s">
        <v>11</v>
      </c>
      <c r="O27" s="484" t="s">
        <v>312</v>
      </c>
      <c r="P27" s="230"/>
      <c r="Q27" s="235"/>
      <c r="R27" s="224"/>
      <c r="S27" s="224"/>
      <c r="T27" s="224"/>
      <c r="U27" s="224"/>
      <c r="V27" s="224"/>
      <c r="W27" s="224"/>
    </row>
    <row r="28" spans="2:23" s="50" customFormat="1" ht="15.75" thickTop="1">
      <c r="B28" s="485" t="s">
        <v>121</v>
      </c>
      <c r="C28" s="486">
        <f>REBANHO!E94</f>
        <v>0</v>
      </c>
      <c r="D28" s="486">
        <f>REBANHO!F94</f>
        <v>0</v>
      </c>
      <c r="E28" s="486">
        <f>REBANHO!G94</f>
        <v>0</v>
      </c>
      <c r="F28" s="486">
        <f>REBANHO!H94</f>
        <v>0</v>
      </c>
      <c r="G28" s="486">
        <f>REBANHO!I94</f>
        <v>0</v>
      </c>
      <c r="H28" s="486">
        <f>REBANHO!J94</f>
        <v>61.703703703703702</v>
      </c>
      <c r="I28" s="486">
        <f>REBANHO!K94</f>
        <v>0</v>
      </c>
      <c r="J28" s="486">
        <f>REBANHO!L94</f>
        <v>0</v>
      </c>
      <c r="K28" s="486">
        <f>REBANHO!M94</f>
        <v>0</v>
      </c>
      <c r="L28" s="486">
        <f>REBANHO!N94</f>
        <v>0</v>
      </c>
      <c r="M28" s="486">
        <f>REBANHO!O94</f>
        <v>0</v>
      </c>
      <c r="N28" s="828">
        <f>REBANHO!P94</f>
        <v>0</v>
      </c>
      <c r="O28" s="1064">
        <f>REBANHO!Q94</f>
        <v>5.1419753086419755</v>
      </c>
      <c r="Q28" s="487"/>
      <c r="R28" s="224"/>
      <c r="S28" s="224"/>
      <c r="T28" s="224"/>
      <c r="U28" s="224"/>
      <c r="V28" s="224"/>
      <c r="W28" s="224"/>
    </row>
    <row r="29" spans="2:23" s="50" customFormat="1">
      <c r="B29" s="488" t="s">
        <v>13</v>
      </c>
      <c r="C29" s="486">
        <f>REBANHO!E95</f>
        <v>0</v>
      </c>
      <c r="D29" s="486">
        <f>REBANHO!F95</f>
        <v>0</v>
      </c>
      <c r="E29" s="486">
        <f>REBANHO!G95</f>
        <v>0</v>
      </c>
      <c r="F29" s="486">
        <f>REBANHO!H95</f>
        <v>0</v>
      </c>
      <c r="G29" s="486">
        <f>REBANHO!I95</f>
        <v>0</v>
      </c>
      <c r="H29" s="486">
        <f>REBANHO!J95</f>
        <v>146.07407407407408</v>
      </c>
      <c r="I29" s="486">
        <f>REBANHO!K95</f>
        <v>0</v>
      </c>
      <c r="J29" s="486">
        <f>REBANHO!L95</f>
        <v>0</v>
      </c>
      <c r="K29" s="486">
        <f>REBANHO!M95</f>
        <v>0</v>
      </c>
      <c r="L29" s="486">
        <f>REBANHO!N95</f>
        <v>0</v>
      </c>
      <c r="M29" s="486">
        <f>REBANHO!O95</f>
        <v>0</v>
      </c>
      <c r="N29" s="828">
        <f>REBANHO!P95</f>
        <v>0</v>
      </c>
      <c r="O29" s="1065">
        <f>REBANHO!Q95</f>
        <v>12.17283950617284</v>
      </c>
      <c r="Q29" s="235"/>
      <c r="R29" s="224"/>
      <c r="S29" s="224"/>
      <c r="T29" s="224"/>
      <c r="U29" s="224"/>
      <c r="V29" s="224"/>
      <c r="W29" s="224"/>
    </row>
    <row r="30" spans="2:23" s="50" customFormat="1">
      <c r="B30" s="488" t="s">
        <v>14</v>
      </c>
      <c r="C30" s="486">
        <f>REBANHO!E96</f>
        <v>0</v>
      </c>
      <c r="D30" s="486">
        <f>REBANHO!F96</f>
        <v>0</v>
      </c>
      <c r="E30" s="486">
        <f>REBANHO!G96</f>
        <v>0</v>
      </c>
      <c r="F30" s="486">
        <f>REBANHO!H96</f>
        <v>0</v>
      </c>
      <c r="G30" s="486">
        <f>REBANHO!I96</f>
        <v>0</v>
      </c>
      <c r="H30" s="486">
        <f>REBANHO!J96</f>
        <v>0</v>
      </c>
      <c r="I30" s="486">
        <f>REBANHO!K96</f>
        <v>0</v>
      </c>
      <c r="J30" s="486">
        <f>REBANHO!L96</f>
        <v>0</v>
      </c>
      <c r="K30" s="486">
        <f>REBANHO!M96</f>
        <v>0</v>
      </c>
      <c r="L30" s="486">
        <f>REBANHO!N96</f>
        <v>0</v>
      </c>
      <c r="M30" s="486">
        <f>REBANHO!O96</f>
        <v>0</v>
      </c>
      <c r="N30" s="828">
        <f>REBANHO!P96</f>
        <v>0</v>
      </c>
      <c r="O30" s="1065">
        <f>REBANHO!Q96</f>
        <v>0</v>
      </c>
      <c r="Q30" s="235"/>
      <c r="R30" s="224"/>
      <c r="S30" s="224"/>
      <c r="T30" s="224"/>
      <c r="U30" s="224"/>
      <c r="V30" s="224"/>
      <c r="W30" s="224"/>
    </row>
    <row r="31" spans="2:23" s="50" customFormat="1">
      <c r="B31" s="488" t="s">
        <v>237</v>
      </c>
      <c r="C31" s="486">
        <f>REBANHO!E97</f>
        <v>0</v>
      </c>
      <c r="D31" s="486">
        <f>REBANHO!F97</f>
        <v>0</v>
      </c>
      <c r="E31" s="486">
        <f>REBANHO!G97</f>
        <v>0</v>
      </c>
      <c r="F31" s="486">
        <f>REBANHO!H97</f>
        <v>0</v>
      </c>
      <c r="G31" s="486">
        <f>REBANHO!I97</f>
        <v>0</v>
      </c>
      <c r="H31" s="486">
        <f>REBANHO!J97</f>
        <v>193.33333333333334</v>
      </c>
      <c r="I31" s="486">
        <f>REBANHO!K97</f>
        <v>0</v>
      </c>
      <c r="J31" s="486">
        <f>REBANHO!L97</f>
        <v>0</v>
      </c>
      <c r="K31" s="486">
        <f>REBANHO!M97</f>
        <v>0</v>
      </c>
      <c r="L31" s="486">
        <f>REBANHO!N97</f>
        <v>0</v>
      </c>
      <c r="M31" s="486">
        <f>REBANHO!O97</f>
        <v>0</v>
      </c>
      <c r="N31" s="828">
        <f>REBANHO!P97</f>
        <v>0</v>
      </c>
      <c r="O31" s="1065">
        <f>REBANHO!Q97</f>
        <v>16.111111111111111</v>
      </c>
      <c r="Q31" s="235"/>
      <c r="R31" s="224"/>
      <c r="S31" s="224"/>
      <c r="T31" s="224"/>
      <c r="U31" s="224"/>
      <c r="V31" s="224"/>
      <c r="W31" s="224"/>
    </row>
    <row r="32" spans="2:23" s="50" customFormat="1" ht="15.75" thickBot="1">
      <c r="B32" s="489" t="s">
        <v>17</v>
      </c>
      <c r="C32" s="490">
        <f>SUM(C28:C31)</f>
        <v>0</v>
      </c>
      <c r="D32" s="490">
        <f t="shared" ref="D32:N32" si="0">SUM(D28:D31)</f>
        <v>0</v>
      </c>
      <c r="E32" s="490">
        <f t="shared" si="0"/>
        <v>0</v>
      </c>
      <c r="F32" s="490">
        <f t="shared" si="0"/>
        <v>0</v>
      </c>
      <c r="G32" s="490">
        <f t="shared" si="0"/>
        <v>0</v>
      </c>
      <c r="H32" s="490">
        <f t="shared" si="0"/>
        <v>401.11111111111109</v>
      </c>
      <c r="I32" s="490">
        <f t="shared" si="0"/>
        <v>0</v>
      </c>
      <c r="J32" s="490">
        <f t="shared" si="0"/>
        <v>0</v>
      </c>
      <c r="K32" s="490">
        <f t="shared" si="0"/>
        <v>0</v>
      </c>
      <c r="L32" s="490">
        <f t="shared" si="0"/>
        <v>0</v>
      </c>
      <c r="M32" s="490">
        <f t="shared" si="0"/>
        <v>0</v>
      </c>
      <c r="N32" s="491">
        <f t="shared" si="0"/>
        <v>0</v>
      </c>
      <c r="O32" s="829">
        <f>SUM(O28:O31)</f>
        <v>33.425925925925924</v>
      </c>
      <c r="R32" s="224"/>
      <c r="S32" s="224"/>
      <c r="T32" s="224"/>
      <c r="U32" s="224"/>
      <c r="V32" s="224"/>
      <c r="W32" s="224"/>
    </row>
    <row r="33" spans="2:25" s="50" customFormat="1" ht="16.5" thickTop="1" thickBot="1">
      <c r="B33" s="492" t="s">
        <v>323</v>
      </c>
      <c r="C33" s="493">
        <f>IF(OR($L$4=0,$L$4=""),0,C32/$L$4)</f>
        <v>0</v>
      </c>
      <c r="D33" s="493">
        <f t="shared" ref="D33:N33" si="1">IF(OR($L$4=0,$L$4=""),0,D32/$L$4)</f>
        <v>0</v>
      </c>
      <c r="E33" s="493">
        <f t="shared" si="1"/>
        <v>0</v>
      </c>
      <c r="F33" s="493">
        <f t="shared" si="1"/>
        <v>0</v>
      </c>
      <c r="G33" s="493">
        <f t="shared" si="1"/>
        <v>0</v>
      </c>
      <c r="H33" s="493">
        <f t="shared" si="1"/>
        <v>1.1049892868074687</v>
      </c>
      <c r="I33" s="493">
        <f t="shared" si="1"/>
        <v>0</v>
      </c>
      <c r="J33" s="493">
        <f t="shared" si="1"/>
        <v>0</v>
      </c>
      <c r="K33" s="493">
        <f t="shared" si="1"/>
        <v>0</v>
      </c>
      <c r="L33" s="493">
        <f t="shared" si="1"/>
        <v>0</v>
      </c>
      <c r="M33" s="493">
        <f t="shared" si="1"/>
        <v>0</v>
      </c>
      <c r="N33" s="493">
        <f t="shared" si="1"/>
        <v>0</v>
      </c>
      <c r="O33" s="830">
        <f>IF(OR($L$4=0,$L$4=""),0,O32/$L$4)</f>
        <v>9.2082440567289051E-2</v>
      </c>
      <c r="R33" s="224"/>
      <c r="S33" s="224"/>
      <c r="T33" s="224"/>
      <c r="U33" s="224"/>
      <c r="V33" s="224"/>
      <c r="W33" s="224"/>
    </row>
    <row r="34" spans="2:25" s="50" customFormat="1" ht="15.75" thickTop="1">
      <c r="B34" s="494" t="s">
        <v>313</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row r="36" spans="2:25" hidden="1"/>
    <row r="37" spans="2:25" hidden="1"/>
    <row r="38" spans="2:25" s="799" customFormat="1" ht="11.25" hidden="1">
      <c r="B38" s="799" t="s">
        <v>325</v>
      </c>
      <c r="D38" s="800"/>
      <c r="E38" s="800"/>
      <c r="F38" s="800"/>
      <c r="G38" s="800"/>
      <c r="H38" s="800"/>
      <c r="I38" s="800"/>
      <c r="J38" s="800"/>
      <c r="K38" s="800"/>
      <c r="L38" s="800"/>
      <c r="M38" s="800"/>
      <c r="N38" s="800"/>
      <c r="O38" s="800"/>
    </row>
    <row r="39" spans="2:25" s="799" customFormat="1" ht="11.25" hidden="1">
      <c r="B39" s="799" t="s">
        <v>324</v>
      </c>
      <c r="C39" s="801">
        <f>IF(REBANHO!E53="",0,REBANHO!E53)</f>
        <v>0</v>
      </c>
      <c r="D39" s="801">
        <f>IF(REBANHO!F53="",0,REBANHO!F53)</f>
        <v>0</v>
      </c>
      <c r="E39" s="801">
        <f>IF(REBANHO!G53="",0,REBANHO!G53)</f>
        <v>0</v>
      </c>
      <c r="F39" s="801">
        <f>IF(REBANHO!H53="",0,REBANHO!H53)</f>
        <v>0</v>
      </c>
      <c r="G39" s="801">
        <f>IF(REBANHO!I53="",0,REBANHO!I53)</f>
        <v>0</v>
      </c>
      <c r="H39" s="801">
        <f>IF(REBANHO!J53="",0,REBANHO!J53)</f>
        <v>272</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c r="B40" s="799" t="s">
        <v>326</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c r="B41" s="799" t="s">
        <v>327</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c r="B42" s="799" t="s">
        <v>345</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c r="B43" s="799" t="s">
        <v>328</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-2992</v>
      </c>
      <c r="P43" s="799" t="s">
        <v>363</v>
      </c>
    </row>
    <row r="44" spans="2:25" s="799" customFormat="1" ht="11.25" hidden="1">
      <c r="B44" s="802" t="s">
        <v>329</v>
      </c>
      <c r="C44" s="803">
        <f>C39-C45</f>
        <v>-272</v>
      </c>
      <c r="D44" s="803">
        <f t="shared" ref="D44:N44" si="2">D39-D45</f>
        <v>-272</v>
      </c>
      <c r="E44" s="803">
        <f t="shared" si="2"/>
        <v>-272</v>
      </c>
      <c r="F44" s="803">
        <f t="shared" si="2"/>
        <v>-272</v>
      </c>
      <c r="G44" s="803">
        <f t="shared" si="2"/>
        <v>-272</v>
      </c>
      <c r="H44" s="803">
        <f t="shared" si="2"/>
        <v>0</v>
      </c>
      <c r="I44" s="803">
        <f t="shared" si="2"/>
        <v>-272</v>
      </c>
      <c r="J44" s="803">
        <f t="shared" si="2"/>
        <v>-272</v>
      </c>
      <c r="K44" s="803">
        <f t="shared" si="2"/>
        <v>-272</v>
      </c>
      <c r="L44" s="803">
        <f t="shared" si="2"/>
        <v>-272</v>
      </c>
      <c r="M44" s="803">
        <f t="shared" si="2"/>
        <v>-272</v>
      </c>
      <c r="N44" s="803">
        <f t="shared" si="2"/>
        <v>-272</v>
      </c>
      <c r="O44" s="801">
        <f>SUM(C44:N44)</f>
        <v>-2992</v>
      </c>
      <c r="P44" s="799" t="s">
        <v>329</v>
      </c>
    </row>
    <row r="45" spans="2:25" s="799" customFormat="1" ht="13.5" hidden="1" customHeight="1">
      <c r="B45" s="804" t="s">
        <v>330</v>
      </c>
      <c r="C45" s="805">
        <f>SAÍDAS!C19+C40-C41-C42-C43</f>
        <v>272</v>
      </c>
      <c r="D45" s="805">
        <f>C45+D40-D41-D42-D43</f>
        <v>272</v>
      </c>
      <c r="E45" s="805">
        <f t="shared" ref="E45:N45" si="3">D45+E40-E41-E42-E43</f>
        <v>272</v>
      </c>
      <c r="F45" s="805">
        <f t="shared" si="3"/>
        <v>272</v>
      </c>
      <c r="G45" s="805">
        <f t="shared" si="3"/>
        <v>272</v>
      </c>
      <c r="H45" s="805">
        <f t="shared" si="3"/>
        <v>272</v>
      </c>
      <c r="I45" s="805">
        <f t="shared" si="3"/>
        <v>272</v>
      </c>
      <c r="J45" s="805">
        <f t="shared" si="3"/>
        <v>272</v>
      </c>
      <c r="K45" s="805">
        <f t="shared" si="3"/>
        <v>272</v>
      </c>
      <c r="L45" s="805">
        <f t="shared" si="3"/>
        <v>272</v>
      </c>
      <c r="M45" s="805">
        <f t="shared" si="3"/>
        <v>272</v>
      </c>
      <c r="N45" s="805">
        <f t="shared" si="3"/>
        <v>272</v>
      </c>
      <c r="O45" s="800"/>
    </row>
    <row r="46" spans="2:25" s="799" customFormat="1" ht="13.5" hidden="1" customHeight="1">
      <c r="B46" s="799" t="s">
        <v>347</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97920</v>
      </c>
      <c r="I46" s="806">
        <f>IF(I39=0,H46,REBANHO!K53*REBANHO!K54)</f>
        <v>97920</v>
      </c>
      <c r="J46" s="806">
        <f>IF(J39=0,I46,REBANHO!L53*REBANHO!L54)</f>
        <v>97920</v>
      </c>
      <c r="K46" s="806">
        <f>IF(K39=0,J46,REBANHO!M53*REBANHO!M54)</f>
        <v>97920</v>
      </c>
      <c r="L46" s="806">
        <f>IF(L39=0,K46,REBANHO!N53*REBANHO!N54)</f>
        <v>97920</v>
      </c>
      <c r="M46" s="806">
        <f>IF(M39=0,L46,REBANHO!O53*REBANHO!O54)</f>
        <v>97920</v>
      </c>
      <c r="N46" s="806">
        <f>IF(N39=0,M46,REBANHO!P53*REBANHO!P54)</f>
        <v>97920</v>
      </c>
      <c r="O46" s="806"/>
    </row>
    <row r="47" spans="2:25" s="799" customFormat="1" ht="13.5" hidden="1" customHeight="1">
      <c r="B47" s="799" t="s">
        <v>361</v>
      </c>
      <c r="C47" s="806">
        <f>REBANHO!E53*REBANHO!E54</f>
        <v>0</v>
      </c>
      <c r="D47" s="806">
        <f>REBANHO!F53*REBANHO!F54</f>
        <v>0</v>
      </c>
      <c r="E47" s="806">
        <f>REBANHO!G53*REBANHO!G54</f>
        <v>0</v>
      </c>
      <c r="F47" s="806">
        <f>REBANHO!H53*REBANHO!H54</f>
        <v>0</v>
      </c>
      <c r="G47" s="806">
        <f>REBANHO!I53*REBANHO!I54</f>
        <v>0</v>
      </c>
      <c r="H47" s="806">
        <f>REBANHO!J53*REBANHO!J54</f>
        <v>97920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c r="B48" s="807" t="s">
        <v>351</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c r="B49" s="807" t="s">
        <v>353</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c r="B50" s="807" t="s">
        <v>354</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c r="B51" s="807" t="s">
        <v>355</v>
      </c>
      <c r="C51" s="808">
        <f>IF(C44=0,0,(C$46/C$45)*C44)</f>
        <v>0</v>
      </c>
      <c r="D51" s="808">
        <f t="shared" ref="D51:N51" si="4">IF(D44=0,0,(D$46/D$45)*D44)</f>
        <v>0</v>
      </c>
      <c r="E51" s="808">
        <f t="shared" si="4"/>
        <v>0</v>
      </c>
      <c r="F51" s="808">
        <f>IF(F44=0,0,(F$46/F$45)*F44)</f>
        <v>0</v>
      </c>
      <c r="G51" s="808">
        <f t="shared" si="4"/>
        <v>0</v>
      </c>
      <c r="H51" s="808">
        <f t="shared" si="4"/>
        <v>0</v>
      </c>
      <c r="I51" s="808">
        <f t="shared" si="4"/>
        <v>-97920</v>
      </c>
      <c r="J51" s="808">
        <f t="shared" si="4"/>
        <v>-97920</v>
      </c>
      <c r="K51" s="808">
        <f t="shared" si="4"/>
        <v>-97920</v>
      </c>
      <c r="L51" s="808">
        <f t="shared" si="4"/>
        <v>-97920</v>
      </c>
      <c r="M51" s="808">
        <f t="shared" si="4"/>
        <v>-97920</v>
      </c>
      <c r="N51" s="808">
        <f t="shared" si="4"/>
        <v>-97920</v>
      </c>
      <c r="O51" s="806"/>
    </row>
    <row r="52" spans="2:16" s="799" customFormat="1" ht="11.25" hidden="1">
      <c r="B52" s="807" t="s">
        <v>356</v>
      </c>
      <c r="C52" s="808">
        <f t="shared" ref="C52:N52" si="5">SUM(C48:C51)</f>
        <v>0</v>
      </c>
      <c r="D52" s="808">
        <f t="shared" si="5"/>
        <v>0</v>
      </c>
      <c r="E52" s="808">
        <f t="shared" si="5"/>
        <v>0</v>
      </c>
      <c r="F52" s="808">
        <f t="shared" si="5"/>
        <v>0</v>
      </c>
      <c r="G52" s="808">
        <f t="shared" si="5"/>
        <v>0</v>
      </c>
      <c r="H52" s="808">
        <f t="shared" si="5"/>
        <v>0</v>
      </c>
      <c r="I52" s="808">
        <f t="shared" si="5"/>
        <v>-97920</v>
      </c>
      <c r="J52" s="808">
        <f t="shared" si="5"/>
        <v>-97920</v>
      </c>
      <c r="K52" s="808">
        <f t="shared" si="5"/>
        <v>-97920</v>
      </c>
      <c r="L52" s="808">
        <f t="shared" si="5"/>
        <v>-97920</v>
      </c>
      <c r="M52" s="808">
        <f t="shared" si="5"/>
        <v>-97920</v>
      </c>
      <c r="N52" s="808">
        <f t="shared" si="5"/>
        <v>-97920</v>
      </c>
      <c r="O52" s="806"/>
    </row>
    <row r="53" spans="2:16" s="799" customFormat="1" ht="11.25" hidden="1">
      <c r="B53" s="807" t="s">
        <v>357</v>
      </c>
      <c r="C53" s="808">
        <f>C52</f>
        <v>0</v>
      </c>
      <c r="D53" s="808">
        <f t="shared" ref="D53:N53" si="6">C53+D52</f>
        <v>0</v>
      </c>
      <c r="E53" s="808">
        <f t="shared" si="6"/>
        <v>0</v>
      </c>
      <c r="F53" s="808">
        <f t="shared" si="6"/>
        <v>0</v>
      </c>
      <c r="G53" s="808">
        <f t="shared" si="6"/>
        <v>0</v>
      </c>
      <c r="H53" s="808">
        <f t="shared" si="6"/>
        <v>0</v>
      </c>
      <c r="I53" s="808">
        <f t="shared" si="6"/>
        <v>-97920</v>
      </c>
      <c r="J53" s="808">
        <f t="shared" si="6"/>
        <v>-195840</v>
      </c>
      <c r="K53" s="808">
        <f t="shared" si="6"/>
        <v>-293760</v>
      </c>
      <c r="L53" s="808">
        <f t="shared" si="6"/>
        <v>-391680</v>
      </c>
      <c r="M53" s="808">
        <f t="shared" si="6"/>
        <v>-489600</v>
      </c>
      <c r="N53" s="808">
        <f t="shared" si="6"/>
        <v>-587520</v>
      </c>
      <c r="O53" s="806"/>
    </row>
    <row r="54" spans="2:16" s="799" customFormat="1" ht="11.25" hidden="1">
      <c r="B54" s="809" t="s">
        <v>352</v>
      </c>
      <c r="C54" s="810">
        <f>C47+C53</f>
        <v>0</v>
      </c>
      <c r="D54" s="810">
        <f t="shared" ref="D54:N54" si="7">D47+D53</f>
        <v>0</v>
      </c>
      <c r="E54" s="810">
        <f t="shared" si="7"/>
        <v>0</v>
      </c>
      <c r="F54" s="810">
        <f t="shared" si="7"/>
        <v>0</v>
      </c>
      <c r="G54" s="810">
        <f t="shared" si="7"/>
        <v>0</v>
      </c>
      <c r="H54" s="810">
        <f t="shared" si="7"/>
        <v>97920</v>
      </c>
      <c r="I54" s="810">
        <f t="shared" si="7"/>
        <v>-97920</v>
      </c>
      <c r="J54" s="810">
        <f t="shared" si="7"/>
        <v>-195840</v>
      </c>
      <c r="K54" s="810">
        <f t="shared" si="7"/>
        <v>-293760</v>
      </c>
      <c r="L54" s="810">
        <f t="shared" si="7"/>
        <v>-391680</v>
      </c>
      <c r="M54" s="810">
        <f t="shared" si="7"/>
        <v>-489600</v>
      </c>
      <c r="N54" s="810">
        <f t="shared" si="7"/>
        <v>-587520</v>
      </c>
      <c r="O54" s="810">
        <f>LARGE(C54:N54,1)</f>
        <v>97920</v>
      </c>
    </row>
    <row r="55" spans="2:16" s="799" customFormat="1" ht="11.25" hidden="1">
      <c r="B55" s="807" t="s">
        <v>365</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c r="B56" s="807" t="s">
        <v>366</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c r="B57" s="809" t="s">
        <v>367</v>
      </c>
      <c r="C57" s="810">
        <f>C47+C56</f>
        <v>0</v>
      </c>
      <c r="D57" s="810">
        <f t="shared" ref="D57:N57" si="10">D47+D56</f>
        <v>0</v>
      </c>
      <c r="E57" s="810">
        <f t="shared" si="10"/>
        <v>0</v>
      </c>
      <c r="F57" s="810">
        <f t="shared" si="10"/>
        <v>0</v>
      </c>
      <c r="G57" s="810">
        <f t="shared" si="10"/>
        <v>0</v>
      </c>
      <c r="H57" s="810">
        <f t="shared" si="10"/>
        <v>97920</v>
      </c>
      <c r="I57" s="810">
        <f t="shared" si="10"/>
        <v>0</v>
      </c>
      <c r="J57" s="810">
        <f t="shared" si="10"/>
        <v>0</v>
      </c>
      <c r="K57" s="810">
        <f t="shared" si="10"/>
        <v>0</v>
      </c>
      <c r="L57" s="810">
        <f t="shared" si="10"/>
        <v>0</v>
      </c>
      <c r="M57" s="810">
        <f t="shared" si="10"/>
        <v>0</v>
      </c>
      <c r="N57" s="810">
        <f t="shared" si="10"/>
        <v>0</v>
      </c>
      <c r="O57" s="810">
        <f>IF(SUM(C47:N47)=0,0,LARGE(C57:N57,1))</f>
        <v>97920</v>
      </c>
    </row>
    <row r="58" spans="2:16" hidden="1">
      <c r="C58" s="227"/>
      <c r="D58" s="227"/>
      <c r="E58" s="227"/>
      <c r="F58" s="227"/>
      <c r="G58" s="227"/>
      <c r="H58" s="227"/>
      <c r="I58" s="227"/>
      <c r="J58" s="227"/>
      <c r="K58" s="227"/>
      <c r="L58" s="227"/>
      <c r="M58" s="227"/>
      <c r="N58" s="227"/>
      <c r="O58" s="227"/>
    </row>
    <row r="59" spans="2:16" hidden="1">
      <c r="B59" s="460" t="s">
        <v>333</v>
      </c>
    </row>
    <row r="60" spans="2:16" hidden="1">
      <c r="B60" s="460" t="s">
        <v>324</v>
      </c>
      <c r="C60" s="499">
        <f>IF(REBANHO!E55="",0,REBANHO!E55)</f>
        <v>0</v>
      </c>
      <c r="D60" s="499">
        <f>IF(REBANHO!F55="",0,REBANHO!F55)</f>
        <v>0</v>
      </c>
      <c r="E60" s="499">
        <f>IF(REBANHO!G55="",0,REBANHO!G55)</f>
        <v>0</v>
      </c>
      <c r="F60" s="499">
        <f>IF(REBANHO!H55="",0,REBANHO!H55)</f>
        <v>0</v>
      </c>
      <c r="G60" s="499">
        <f>IF(REBANHO!I55="",0,REBANHO!I55)</f>
        <v>0</v>
      </c>
      <c r="H60" s="499">
        <f>IF(REBANHO!J55="",0,REBANHO!J55)</f>
        <v>12</v>
      </c>
      <c r="I60" s="499">
        <f>IF(REBANHO!K55="",0,REBANHO!K55)</f>
        <v>0</v>
      </c>
      <c r="J60" s="499">
        <f>IF(REBANHO!L55="",0,REBANHO!L55)</f>
        <v>0</v>
      </c>
      <c r="K60" s="499">
        <f>IF(REBANHO!M55="",0,REBANHO!M55)</f>
        <v>0</v>
      </c>
      <c r="L60" s="499">
        <f>IF(REBANHO!N55="",0,REBANHO!N55)</f>
        <v>0</v>
      </c>
      <c r="M60" s="499">
        <f>IF(REBANHO!O55="",0,REBANHO!O55)</f>
        <v>0</v>
      </c>
      <c r="N60" s="499">
        <f>IF(REBANHO!P55="",0,REBANHO!P55)</f>
        <v>0</v>
      </c>
      <c r="O60" s="227"/>
      <c r="P60" s="499"/>
    </row>
    <row r="61" spans="2:16" hidden="1">
      <c r="B61" s="460" t="s">
        <v>326</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c r="B62" s="460" t="s">
        <v>327</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c r="B63" s="460" t="s">
        <v>345</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c r="B64" s="460" t="s">
        <v>328</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-132</v>
      </c>
      <c r="P64" s="460" t="s">
        <v>363</v>
      </c>
    </row>
    <row r="65" spans="2:16" hidden="1">
      <c r="B65" s="500" t="s">
        <v>329</v>
      </c>
      <c r="C65" s="501">
        <f t="shared" ref="C65:N65" si="11">C60-C66</f>
        <v>-12</v>
      </c>
      <c r="D65" s="501">
        <f t="shared" si="11"/>
        <v>-12</v>
      </c>
      <c r="E65" s="501">
        <f t="shared" si="11"/>
        <v>-12</v>
      </c>
      <c r="F65" s="501">
        <f t="shared" si="11"/>
        <v>-12</v>
      </c>
      <c r="G65" s="501">
        <f t="shared" si="11"/>
        <v>-12</v>
      </c>
      <c r="H65" s="501">
        <f t="shared" si="11"/>
        <v>0</v>
      </c>
      <c r="I65" s="501">
        <f t="shared" si="11"/>
        <v>-12</v>
      </c>
      <c r="J65" s="501">
        <f t="shared" si="11"/>
        <v>-12</v>
      </c>
      <c r="K65" s="501">
        <f t="shared" si="11"/>
        <v>-12</v>
      </c>
      <c r="L65" s="501">
        <f t="shared" si="11"/>
        <v>-12</v>
      </c>
      <c r="M65" s="501">
        <f t="shared" si="11"/>
        <v>-12</v>
      </c>
      <c r="N65" s="501">
        <f t="shared" si="11"/>
        <v>-12</v>
      </c>
      <c r="O65" s="499">
        <f>SUM(C65:N65)</f>
        <v>-132</v>
      </c>
      <c r="P65" s="460" t="s">
        <v>329</v>
      </c>
    </row>
    <row r="66" spans="2:16" hidden="1">
      <c r="B66" s="502" t="s">
        <v>330</v>
      </c>
      <c r="C66" s="503">
        <f>SAÍDAS!C23+C61-C62-C63-C64</f>
        <v>12</v>
      </c>
      <c r="D66" s="503">
        <f>C66+D61-D62-D63-D64</f>
        <v>12</v>
      </c>
      <c r="E66" s="503">
        <f t="shared" ref="E66:N66" si="12">D66+E61-E62-E63-E64</f>
        <v>12</v>
      </c>
      <c r="F66" s="503">
        <f t="shared" si="12"/>
        <v>12</v>
      </c>
      <c r="G66" s="503">
        <f t="shared" si="12"/>
        <v>12</v>
      </c>
      <c r="H66" s="503">
        <f t="shared" si="12"/>
        <v>12</v>
      </c>
      <c r="I66" s="503">
        <f t="shared" si="12"/>
        <v>12</v>
      </c>
      <c r="J66" s="503">
        <f t="shared" si="12"/>
        <v>12</v>
      </c>
      <c r="K66" s="503">
        <f t="shared" si="12"/>
        <v>12</v>
      </c>
      <c r="L66" s="503">
        <f t="shared" si="12"/>
        <v>12</v>
      </c>
      <c r="M66" s="503">
        <f t="shared" si="12"/>
        <v>12</v>
      </c>
      <c r="N66" s="503">
        <f t="shared" si="12"/>
        <v>12</v>
      </c>
      <c r="O66" s="227"/>
      <c r="P66" s="499"/>
    </row>
    <row r="67" spans="2:16" hidden="1">
      <c r="B67" s="460" t="s">
        <v>348</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6480</v>
      </c>
      <c r="I67" s="326">
        <f>IF(I60=0,H67,REBANHO!K55*REBANHO!K56)</f>
        <v>6480</v>
      </c>
      <c r="J67" s="326">
        <f>IF(J60=0,I67,REBANHO!L55*REBANHO!L56)</f>
        <v>6480</v>
      </c>
      <c r="K67" s="326">
        <f>IF(K60=0,J67,REBANHO!M55*REBANHO!M56)</f>
        <v>6480</v>
      </c>
      <c r="L67" s="326">
        <f>IF(L60=0,K67,REBANHO!N55*REBANHO!N56)</f>
        <v>6480</v>
      </c>
      <c r="M67" s="326">
        <f>IF(M60=0,L67,REBANHO!O55*REBANHO!O56)</f>
        <v>6480</v>
      </c>
      <c r="N67" s="326">
        <f>IF(N60=0,M67,REBANHO!P55*REBANHO!P56)</f>
        <v>6480</v>
      </c>
      <c r="O67" s="326"/>
    </row>
    <row r="68" spans="2:16" hidden="1">
      <c r="B68" s="460" t="s">
        <v>360</v>
      </c>
      <c r="C68" s="326">
        <f>REBANHO!E55*REBANHO!E56</f>
        <v>0</v>
      </c>
      <c r="D68" s="326">
        <f>REBANHO!F55*REBANHO!F56</f>
        <v>0</v>
      </c>
      <c r="E68" s="326">
        <f>REBANHO!G55*REBANHO!G56</f>
        <v>0</v>
      </c>
      <c r="F68" s="326">
        <f>REBANHO!H55*REBANHO!H56</f>
        <v>0</v>
      </c>
      <c r="G68" s="326">
        <f>REBANHO!I55*REBANHO!I56</f>
        <v>0</v>
      </c>
      <c r="H68" s="326">
        <f>REBANHO!J55*REBANHO!J56</f>
        <v>6480</v>
      </c>
      <c r="I68" s="326">
        <f>REBANHO!K55*REBANHO!K56</f>
        <v>0</v>
      </c>
      <c r="J68" s="326">
        <f>REBANHO!L55*REBANHO!L56</f>
        <v>0</v>
      </c>
      <c r="K68" s="326">
        <f>REBANHO!M55*REBANHO!M56</f>
        <v>0</v>
      </c>
      <c r="L68" s="326">
        <f>REBANHO!N55*REBANHO!N56</f>
        <v>0</v>
      </c>
      <c r="M68" s="326">
        <f>REBANHO!O55*REBANHO!O56</f>
        <v>0</v>
      </c>
      <c r="N68" s="326">
        <f>REBANHO!P55*REBANHO!P56</f>
        <v>0</v>
      </c>
      <c r="O68" s="326"/>
    </row>
    <row r="69" spans="2:16" hidden="1">
      <c r="B69" s="504" t="s">
        <v>351</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c r="B70" s="504" t="s">
        <v>353</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c r="B71" s="504" t="s">
        <v>354</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c r="B72" s="504" t="s">
        <v>355</v>
      </c>
      <c r="C72" s="505">
        <f>IF(C65=0,0,(C$67/C$66)*C65)</f>
        <v>0</v>
      </c>
      <c r="D72" s="505">
        <f t="shared" ref="D72:N72" si="13">IF(D65=0,0,(D$67/D$66)*D65)</f>
        <v>0</v>
      </c>
      <c r="E72" s="505">
        <f t="shared" si="13"/>
        <v>0</v>
      </c>
      <c r="F72" s="505">
        <f t="shared" si="13"/>
        <v>0</v>
      </c>
      <c r="G72" s="505">
        <f t="shared" si="13"/>
        <v>0</v>
      </c>
      <c r="H72" s="505">
        <f t="shared" si="13"/>
        <v>0</v>
      </c>
      <c r="I72" s="505">
        <f t="shared" si="13"/>
        <v>-6480</v>
      </c>
      <c r="J72" s="505">
        <f t="shared" si="13"/>
        <v>-6480</v>
      </c>
      <c r="K72" s="505">
        <f t="shared" si="13"/>
        <v>-6480</v>
      </c>
      <c r="L72" s="505">
        <f t="shared" si="13"/>
        <v>-6480</v>
      </c>
      <c r="M72" s="505">
        <f t="shared" si="13"/>
        <v>-6480</v>
      </c>
      <c r="N72" s="505">
        <f t="shared" si="13"/>
        <v>-6480</v>
      </c>
      <c r="O72" s="326"/>
    </row>
    <row r="73" spans="2:16" hidden="1">
      <c r="B73" s="504" t="s">
        <v>356</v>
      </c>
      <c r="C73" s="505">
        <f>SUM(C69:C72)</f>
        <v>0</v>
      </c>
      <c r="D73" s="505">
        <f t="shared" ref="D73:N73" si="14">SUM(D69:D72)</f>
        <v>0</v>
      </c>
      <c r="E73" s="505">
        <f t="shared" si="14"/>
        <v>0</v>
      </c>
      <c r="F73" s="505">
        <f t="shared" si="14"/>
        <v>0</v>
      </c>
      <c r="G73" s="505">
        <f t="shared" si="14"/>
        <v>0</v>
      </c>
      <c r="H73" s="505">
        <f t="shared" si="14"/>
        <v>0</v>
      </c>
      <c r="I73" s="505">
        <f t="shared" si="14"/>
        <v>-6480</v>
      </c>
      <c r="J73" s="505">
        <f t="shared" si="14"/>
        <v>-6480</v>
      </c>
      <c r="K73" s="505">
        <f t="shared" si="14"/>
        <v>-6480</v>
      </c>
      <c r="L73" s="505">
        <f t="shared" si="14"/>
        <v>-6480</v>
      </c>
      <c r="M73" s="505">
        <f t="shared" si="14"/>
        <v>-6480</v>
      </c>
      <c r="N73" s="505">
        <f t="shared" si="14"/>
        <v>-6480</v>
      </c>
      <c r="O73" s="326"/>
    </row>
    <row r="74" spans="2:16" hidden="1">
      <c r="B74" s="504" t="s">
        <v>357</v>
      </c>
      <c r="C74" s="505">
        <f>C73</f>
        <v>0</v>
      </c>
      <c r="D74" s="505">
        <f>C74+D73</f>
        <v>0</v>
      </c>
      <c r="E74" s="505">
        <f t="shared" ref="E74:N74" si="15">D74+E73</f>
        <v>0</v>
      </c>
      <c r="F74" s="505">
        <f t="shared" si="15"/>
        <v>0</v>
      </c>
      <c r="G74" s="505">
        <f t="shared" si="15"/>
        <v>0</v>
      </c>
      <c r="H74" s="505">
        <f t="shared" si="15"/>
        <v>0</v>
      </c>
      <c r="I74" s="505">
        <f t="shared" si="15"/>
        <v>-6480</v>
      </c>
      <c r="J74" s="505">
        <f t="shared" si="15"/>
        <v>-12960</v>
      </c>
      <c r="K74" s="505">
        <f t="shared" si="15"/>
        <v>-19440</v>
      </c>
      <c r="L74" s="505">
        <f t="shared" si="15"/>
        <v>-25920</v>
      </c>
      <c r="M74" s="505">
        <f t="shared" si="15"/>
        <v>-32400</v>
      </c>
      <c r="N74" s="505">
        <f t="shared" si="15"/>
        <v>-38880</v>
      </c>
      <c r="O74" s="326"/>
    </row>
    <row r="75" spans="2:16" hidden="1">
      <c r="B75" s="506" t="s">
        <v>352</v>
      </c>
      <c r="C75" s="507">
        <f>C68+C74</f>
        <v>0</v>
      </c>
      <c r="D75" s="507">
        <f t="shared" ref="D75:N75" si="16">D68+D74</f>
        <v>0</v>
      </c>
      <c r="E75" s="507">
        <f t="shared" si="16"/>
        <v>0</v>
      </c>
      <c r="F75" s="507">
        <f t="shared" si="16"/>
        <v>0</v>
      </c>
      <c r="G75" s="507">
        <f t="shared" si="16"/>
        <v>0</v>
      </c>
      <c r="H75" s="507">
        <f t="shared" si="16"/>
        <v>6480</v>
      </c>
      <c r="I75" s="507">
        <f t="shared" si="16"/>
        <v>-6480</v>
      </c>
      <c r="J75" s="507">
        <f t="shared" si="16"/>
        <v>-12960</v>
      </c>
      <c r="K75" s="507">
        <f t="shared" si="16"/>
        <v>-19440</v>
      </c>
      <c r="L75" s="507">
        <f t="shared" si="16"/>
        <v>-25920</v>
      </c>
      <c r="M75" s="507">
        <f t="shared" si="16"/>
        <v>-32400</v>
      </c>
      <c r="N75" s="507">
        <f t="shared" si="16"/>
        <v>-38880</v>
      </c>
      <c r="O75" s="507">
        <f>LARGE(C75:N75,1)</f>
        <v>6480</v>
      </c>
    </row>
    <row r="76" spans="2:16" hidden="1">
      <c r="B76" s="504" t="s">
        <v>365</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c r="B77" s="504" t="s">
        <v>366</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c r="B78" s="506" t="s">
        <v>367</v>
      </c>
      <c r="C78" s="507">
        <f>C68+C77</f>
        <v>0</v>
      </c>
      <c r="D78" s="507">
        <f t="shared" ref="D78:N78" si="19">D68+D77</f>
        <v>0</v>
      </c>
      <c r="E78" s="507">
        <f t="shared" si="19"/>
        <v>0</v>
      </c>
      <c r="F78" s="507">
        <f t="shared" si="19"/>
        <v>0</v>
      </c>
      <c r="G78" s="507">
        <f t="shared" si="19"/>
        <v>0</v>
      </c>
      <c r="H78" s="507">
        <f t="shared" si="19"/>
        <v>6480</v>
      </c>
      <c r="I78" s="507">
        <f t="shared" si="19"/>
        <v>0</v>
      </c>
      <c r="J78" s="507">
        <f t="shared" si="19"/>
        <v>0</v>
      </c>
      <c r="K78" s="507">
        <f t="shared" si="19"/>
        <v>0</v>
      </c>
      <c r="L78" s="507">
        <f t="shared" si="19"/>
        <v>0</v>
      </c>
      <c r="M78" s="507">
        <f t="shared" si="19"/>
        <v>0</v>
      </c>
      <c r="N78" s="507">
        <f t="shared" si="19"/>
        <v>0</v>
      </c>
      <c r="O78" s="507">
        <f>IF(SUM(C68:N68)=0,0,LARGE(C78:N78,1))</f>
        <v>6480</v>
      </c>
    </row>
    <row r="79" spans="2:16" hidden="1">
      <c r="C79" s="326"/>
      <c r="D79" s="326"/>
      <c r="E79" s="326"/>
      <c r="F79" s="326"/>
      <c r="G79" s="326"/>
      <c r="H79" s="326"/>
      <c r="I79" s="326"/>
      <c r="J79" s="326"/>
      <c r="K79" s="326"/>
      <c r="L79" s="326"/>
      <c r="M79" s="326"/>
      <c r="N79" s="326"/>
      <c r="O79" s="326"/>
    </row>
    <row r="80" spans="2:16" s="799" customFormat="1" ht="11.25" hidden="1">
      <c r="B80" s="799" t="s">
        <v>334</v>
      </c>
    </row>
    <row r="81" spans="2:16" s="799" customFormat="1" ht="11.25" hidden="1">
      <c r="B81" s="799" t="s">
        <v>324</v>
      </c>
      <c r="C81" s="801">
        <f>IF(REBANHO!E42="",0,REBANHO!E42)</f>
        <v>0</v>
      </c>
      <c r="D81" s="801">
        <f>IF(REBANHO!F42="",0,REBANHO!F42)</f>
        <v>0</v>
      </c>
      <c r="E81" s="801">
        <f>IF(REBANHO!G42="",0,REBANHO!G42)</f>
        <v>0</v>
      </c>
      <c r="F81" s="801">
        <f>IF(REBANHO!H42="",0,REBANHO!H42)</f>
        <v>0</v>
      </c>
      <c r="G81" s="801">
        <f>IF(REBANHO!I42="",0,REBANHO!I42)</f>
        <v>0</v>
      </c>
      <c r="H81" s="801">
        <f>IF(REBANHO!J42="",0,REBANHO!J42)</f>
        <v>215</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c r="B82" s="799" t="s">
        <v>335</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c r="B83" s="799" t="s">
        <v>326</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c r="B84" s="799" t="s">
        <v>327</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c r="B85" s="799" t="s">
        <v>328</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c r="B86" s="802" t="s">
        <v>329</v>
      </c>
      <c r="C86" s="803">
        <f>IF(C81-C88&lt;0,(C81-C88)*-1,C81-C88)</f>
        <v>215</v>
      </c>
      <c r="D86" s="803">
        <f t="shared" ref="D86:N86" si="20">IF(D81-D88&lt;0,(D81-D88)*-1,D81-D88)</f>
        <v>215</v>
      </c>
      <c r="E86" s="803">
        <f t="shared" si="20"/>
        <v>215</v>
      </c>
      <c r="F86" s="803">
        <f t="shared" si="20"/>
        <v>215</v>
      </c>
      <c r="G86" s="803">
        <f t="shared" si="20"/>
        <v>215</v>
      </c>
      <c r="H86" s="803">
        <f t="shared" si="20"/>
        <v>0</v>
      </c>
      <c r="I86" s="803">
        <f t="shared" si="20"/>
        <v>215</v>
      </c>
      <c r="J86" s="803">
        <f t="shared" si="20"/>
        <v>215</v>
      </c>
      <c r="K86" s="803">
        <f t="shared" si="20"/>
        <v>215</v>
      </c>
      <c r="L86" s="803">
        <f t="shared" si="20"/>
        <v>215</v>
      </c>
      <c r="M86" s="803">
        <f t="shared" si="20"/>
        <v>215</v>
      </c>
      <c r="N86" s="803">
        <f t="shared" si="20"/>
        <v>215</v>
      </c>
      <c r="O86" s="801"/>
    </row>
    <row r="87" spans="2:16" s="799" customFormat="1" ht="11.25" hidden="1">
      <c r="B87" s="802" t="s">
        <v>336</v>
      </c>
      <c r="C87" s="812">
        <f>C86</f>
        <v>215</v>
      </c>
      <c r="D87" s="812">
        <f>(D86-C86)</f>
        <v>0</v>
      </c>
      <c r="E87" s="812">
        <f t="shared" ref="E87:N87" si="21">(E86-D86)</f>
        <v>0</v>
      </c>
      <c r="F87" s="812">
        <f t="shared" si="21"/>
        <v>0</v>
      </c>
      <c r="G87" s="812">
        <f t="shared" si="21"/>
        <v>0</v>
      </c>
      <c r="H87" s="812">
        <f t="shared" si="21"/>
        <v>-215</v>
      </c>
      <c r="I87" s="812">
        <f t="shared" si="21"/>
        <v>215</v>
      </c>
      <c r="J87" s="812">
        <f t="shared" si="21"/>
        <v>0</v>
      </c>
      <c r="K87" s="812">
        <f t="shared" si="21"/>
        <v>0</v>
      </c>
      <c r="L87" s="812">
        <f t="shared" si="21"/>
        <v>0</v>
      </c>
      <c r="M87" s="812">
        <f t="shared" si="21"/>
        <v>0</v>
      </c>
      <c r="N87" s="812">
        <f t="shared" si="21"/>
        <v>0</v>
      </c>
      <c r="O87" s="801">
        <f>SUM(C87:N87)</f>
        <v>215</v>
      </c>
    </row>
    <row r="88" spans="2:16" s="799" customFormat="1" ht="11.25" hidden="1">
      <c r="B88" s="804" t="s">
        <v>330</v>
      </c>
      <c r="C88" s="805">
        <f>SAÍDAS!C7+C82+C83-C84-C85</f>
        <v>215</v>
      </c>
      <c r="D88" s="805">
        <f>C88+D82+D83-D84-D85</f>
        <v>215</v>
      </c>
      <c r="E88" s="805">
        <f t="shared" ref="E88:N88" si="22">D88+E82+E83-E84-E85</f>
        <v>215</v>
      </c>
      <c r="F88" s="805">
        <f t="shared" si="22"/>
        <v>215</v>
      </c>
      <c r="G88" s="805">
        <f t="shared" si="22"/>
        <v>215</v>
      </c>
      <c r="H88" s="805">
        <f t="shared" si="22"/>
        <v>215</v>
      </c>
      <c r="I88" s="805">
        <f t="shared" si="22"/>
        <v>215</v>
      </c>
      <c r="J88" s="805">
        <f t="shared" si="22"/>
        <v>215</v>
      </c>
      <c r="K88" s="805">
        <f t="shared" si="22"/>
        <v>215</v>
      </c>
      <c r="L88" s="805">
        <f t="shared" si="22"/>
        <v>215</v>
      </c>
      <c r="M88" s="805">
        <f t="shared" si="22"/>
        <v>215</v>
      </c>
      <c r="N88" s="805">
        <f t="shared" si="22"/>
        <v>215</v>
      </c>
      <c r="O88" s="800"/>
    </row>
    <row r="89" spans="2:16" s="799" customFormat="1" ht="11.25" hidden="1">
      <c r="B89" s="799" t="s">
        <v>342</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33320</v>
      </c>
      <c r="I89" s="806">
        <f>IF(I81=0,H89,(REBANHO!K38*REBANHO!K39)+(REBANHO!K40*REBANHO!K41))</f>
        <v>33320</v>
      </c>
      <c r="J89" s="806">
        <f>IF(J81=0,I89,(REBANHO!L38*REBANHO!L39)+(REBANHO!L40*REBANHO!L41))</f>
        <v>33320</v>
      </c>
      <c r="K89" s="806">
        <f>IF(K81=0,J89,(REBANHO!M38*REBANHO!M39)+(REBANHO!M40*REBANHO!M41))</f>
        <v>33320</v>
      </c>
      <c r="L89" s="806">
        <f>IF(L81=0,K89,(REBANHO!N38*REBANHO!N39)+(REBANHO!N40*REBANHO!N41))</f>
        <v>33320</v>
      </c>
      <c r="M89" s="806">
        <f>IF(M81=0,L89,(REBANHO!O38*REBANHO!O39)+(REBANHO!O40*REBANHO!O41))</f>
        <v>33320</v>
      </c>
      <c r="N89" s="806">
        <f>IF(N81=0,M89,(REBANHO!P38*REBANHO!P39)+(REBANHO!P40*REBANHO!P41))</f>
        <v>33320</v>
      </c>
      <c r="O89" s="806"/>
    </row>
    <row r="90" spans="2:16" s="799" customFormat="1" ht="11.25" hidden="1">
      <c r="B90" s="813" t="s">
        <v>343</v>
      </c>
      <c r="C90" s="814">
        <f>(C$89/C$88)*C87</f>
        <v>0</v>
      </c>
      <c r="D90" s="814">
        <f t="shared" ref="D90:N90" si="23">(D89/D88)*D87</f>
        <v>0</v>
      </c>
      <c r="E90" s="814">
        <f t="shared" si="23"/>
        <v>0</v>
      </c>
      <c r="F90" s="814">
        <f t="shared" si="23"/>
        <v>0</v>
      </c>
      <c r="G90" s="814">
        <f t="shared" si="23"/>
        <v>0</v>
      </c>
      <c r="H90" s="814">
        <f t="shared" si="23"/>
        <v>-33320</v>
      </c>
      <c r="I90" s="814">
        <f t="shared" si="23"/>
        <v>33320</v>
      </c>
      <c r="J90" s="814">
        <f t="shared" si="23"/>
        <v>0</v>
      </c>
      <c r="K90" s="814">
        <f t="shared" si="23"/>
        <v>0</v>
      </c>
      <c r="L90" s="814">
        <f t="shared" si="23"/>
        <v>0</v>
      </c>
      <c r="M90" s="814">
        <f t="shared" si="23"/>
        <v>0</v>
      </c>
      <c r="N90" s="814">
        <f t="shared" si="23"/>
        <v>0</v>
      </c>
      <c r="O90" s="814">
        <f>SUM(C90:N90)</f>
        <v>0</v>
      </c>
    </row>
    <row r="91" spans="2:16" s="799" customFormat="1" ht="11.25" hidden="1">
      <c r="B91" s="799" t="s">
        <v>358</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33320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c r="B92" s="807" t="s">
        <v>353</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c r="B93" s="807" t="s">
        <v>354</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c r="B94" s="807" t="s">
        <v>355</v>
      </c>
      <c r="C94" s="808">
        <f>IF(C87=0,0,(C$89/C$88)*C87)</f>
        <v>0</v>
      </c>
      <c r="D94" s="808">
        <f t="shared" ref="D94:N94" si="24">IF(D87=0,0,(D$89/D$88)*D87)</f>
        <v>0</v>
      </c>
      <c r="E94" s="808">
        <f t="shared" si="24"/>
        <v>0</v>
      </c>
      <c r="F94" s="808">
        <f t="shared" si="24"/>
        <v>0</v>
      </c>
      <c r="G94" s="808">
        <f t="shared" si="24"/>
        <v>0</v>
      </c>
      <c r="H94" s="808">
        <f t="shared" si="24"/>
        <v>-33320</v>
      </c>
      <c r="I94" s="808">
        <f t="shared" si="24"/>
        <v>33320</v>
      </c>
      <c r="J94" s="808">
        <f t="shared" si="24"/>
        <v>0</v>
      </c>
      <c r="K94" s="808">
        <f t="shared" si="24"/>
        <v>0</v>
      </c>
      <c r="L94" s="808">
        <f t="shared" si="24"/>
        <v>0</v>
      </c>
      <c r="M94" s="808">
        <f t="shared" si="24"/>
        <v>0</v>
      </c>
      <c r="N94" s="808">
        <f t="shared" si="24"/>
        <v>0</v>
      </c>
    </row>
    <row r="95" spans="2:16" s="799" customFormat="1" ht="11.25" hidden="1">
      <c r="B95" s="807" t="s">
        <v>356</v>
      </c>
      <c r="C95" s="808">
        <f>SUM(C92:C94)</f>
        <v>0</v>
      </c>
      <c r="D95" s="808">
        <f t="shared" ref="D95:N95" si="25">SUM(D92:D94)</f>
        <v>0</v>
      </c>
      <c r="E95" s="808">
        <f t="shared" si="25"/>
        <v>0</v>
      </c>
      <c r="F95" s="808">
        <f t="shared" si="25"/>
        <v>0</v>
      </c>
      <c r="G95" s="808">
        <f t="shared" si="25"/>
        <v>0</v>
      </c>
      <c r="H95" s="808">
        <f t="shared" si="25"/>
        <v>-33320</v>
      </c>
      <c r="I95" s="808">
        <f t="shared" si="25"/>
        <v>33320</v>
      </c>
      <c r="J95" s="808">
        <f t="shared" si="25"/>
        <v>0</v>
      </c>
      <c r="K95" s="808">
        <f t="shared" si="25"/>
        <v>0</v>
      </c>
      <c r="L95" s="808">
        <f t="shared" si="25"/>
        <v>0</v>
      </c>
      <c r="M95" s="808">
        <f t="shared" si="25"/>
        <v>0</v>
      </c>
      <c r="N95" s="808">
        <f t="shared" si="25"/>
        <v>0</v>
      </c>
      <c r="O95" s="806"/>
      <c r="P95" s="806"/>
    </row>
    <row r="96" spans="2:16" s="799" customFormat="1" ht="11.25" hidden="1">
      <c r="B96" s="807" t="s">
        <v>357</v>
      </c>
      <c r="C96" s="808">
        <f>C95</f>
        <v>0</v>
      </c>
      <c r="D96" s="808">
        <f t="shared" ref="D96:N96" si="26">C96+D95</f>
        <v>0</v>
      </c>
      <c r="E96" s="808">
        <f t="shared" si="26"/>
        <v>0</v>
      </c>
      <c r="F96" s="808">
        <f t="shared" si="26"/>
        <v>0</v>
      </c>
      <c r="G96" s="808">
        <f t="shared" si="26"/>
        <v>0</v>
      </c>
      <c r="H96" s="808">
        <f t="shared" si="26"/>
        <v>-33320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c r="B97" s="809" t="s">
        <v>352</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c r="B98" s="807" t="s">
        <v>365</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c r="B99" s="807" t="s">
        <v>366</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c r="B100" s="809" t="s">
        <v>367</v>
      </c>
      <c r="C100" s="810">
        <f>C91+C99</f>
        <v>0</v>
      </c>
      <c r="D100" s="810">
        <f t="shared" ref="D100:N100" si="30">D91+D99</f>
        <v>0</v>
      </c>
      <c r="E100" s="810">
        <f t="shared" si="30"/>
        <v>0</v>
      </c>
      <c r="F100" s="810">
        <f t="shared" si="30"/>
        <v>0</v>
      </c>
      <c r="G100" s="810">
        <f t="shared" si="30"/>
        <v>0</v>
      </c>
      <c r="H100" s="810">
        <f t="shared" si="30"/>
        <v>33320</v>
      </c>
      <c r="I100" s="810">
        <f t="shared" si="30"/>
        <v>0</v>
      </c>
      <c r="J100" s="810">
        <f t="shared" si="30"/>
        <v>0</v>
      </c>
      <c r="K100" s="810">
        <f t="shared" si="30"/>
        <v>0</v>
      </c>
      <c r="L100" s="810">
        <f t="shared" si="30"/>
        <v>0</v>
      </c>
      <c r="M100" s="810">
        <f t="shared" si="30"/>
        <v>0</v>
      </c>
      <c r="N100" s="810">
        <f t="shared" si="30"/>
        <v>0</v>
      </c>
      <c r="O100" s="810">
        <f>IF(SUM(C91:N91)=0,0,LARGE(C100:N100,1))</f>
        <v>33320</v>
      </c>
    </row>
    <row r="101" spans="1:16" hidden="1">
      <c r="A101" s="811"/>
    </row>
    <row r="102" spans="1:16" hidden="1">
      <c r="B102" s="460" t="s">
        <v>305</v>
      </c>
    </row>
    <row r="103" spans="1:16" hidden="1">
      <c r="B103" s="460" t="s">
        <v>324</v>
      </c>
      <c r="C103" s="499">
        <f>IF(REBANHO!E47="",0,REBANHO!E47)</f>
        <v>0</v>
      </c>
      <c r="D103" s="499">
        <f>IF(REBANHO!F47="",0,REBANHO!F47)</f>
        <v>0</v>
      </c>
      <c r="E103" s="499">
        <f>IF(REBANHO!G47="",0,REBANHO!G47)</f>
        <v>0</v>
      </c>
      <c r="F103" s="499">
        <f>IF(REBANHO!H47="",0,REBANHO!H47)</f>
        <v>0</v>
      </c>
      <c r="G103" s="499">
        <f>IF(REBANHO!I47="",0,REBANHO!I47)</f>
        <v>0</v>
      </c>
      <c r="H103" s="499">
        <f>IF(REBANHO!J47="",0,REBANHO!J47)</f>
        <v>340</v>
      </c>
      <c r="I103" s="499">
        <f>IF(REBANHO!K47="",0,REBANHO!K47)</f>
        <v>0</v>
      </c>
      <c r="J103" s="499">
        <f>IF(REBANHO!L47="",0,REBANHO!L47)</f>
        <v>0</v>
      </c>
      <c r="K103" s="499">
        <f>IF(REBANHO!M47="",0,REBANHO!M47)</f>
        <v>0</v>
      </c>
      <c r="L103" s="499">
        <f>IF(REBANHO!N47="",0,REBANHO!N47)</f>
        <v>0</v>
      </c>
      <c r="M103" s="499">
        <f>IF(REBANHO!O47="",0,REBANHO!O47)</f>
        <v>0</v>
      </c>
      <c r="N103" s="499">
        <f>IF(REBANHO!P47="",0,REBANHO!P47)</f>
        <v>0</v>
      </c>
      <c r="O103" s="227"/>
    </row>
    <row r="104" spans="1:16" hidden="1">
      <c r="B104" s="509" t="s">
        <v>338</v>
      </c>
      <c r="C104" s="508">
        <f t="shared" ref="C104:N104" si="31">C87</f>
        <v>215</v>
      </c>
      <c r="D104" s="508">
        <f t="shared" si="31"/>
        <v>0</v>
      </c>
      <c r="E104" s="508">
        <f t="shared" si="31"/>
        <v>0</v>
      </c>
      <c r="F104" s="508">
        <f t="shared" si="31"/>
        <v>0</v>
      </c>
      <c r="G104" s="508">
        <f t="shared" si="31"/>
        <v>0</v>
      </c>
      <c r="H104" s="508">
        <f t="shared" si="31"/>
        <v>-215</v>
      </c>
      <c r="I104" s="508">
        <f t="shared" si="31"/>
        <v>215</v>
      </c>
      <c r="J104" s="508">
        <f t="shared" si="31"/>
        <v>0</v>
      </c>
      <c r="K104" s="508">
        <f t="shared" si="31"/>
        <v>0</v>
      </c>
      <c r="L104" s="508">
        <f t="shared" si="31"/>
        <v>0</v>
      </c>
      <c r="M104" s="508">
        <f t="shared" si="31"/>
        <v>0</v>
      </c>
      <c r="N104" s="508">
        <f t="shared" si="31"/>
        <v>0</v>
      </c>
      <c r="O104" s="227"/>
    </row>
    <row r="105" spans="1:16" hidden="1">
      <c r="B105" s="460" t="s">
        <v>326</v>
      </c>
      <c r="C105" s="227">
        <f>SAÍDAS!E11</f>
        <v>0</v>
      </c>
      <c r="D105" s="227">
        <f>SAÍDAS!F11</f>
        <v>0</v>
      </c>
      <c r="E105" s="227">
        <f>SAÍDAS!G11</f>
        <v>0</v>
      </c>
      <c r="F105" s="227">
        <f>SAÍDAS!H11</f>
        <v>0</v>
      </c>
      <c r="G105" s="227">
        <f>SAÍDAS!I11</f>
        <v>0</v>
      </c>
      <c r="H105" s="227">
        <f>SAÍDAS!J11</f>
        <v>0</v>
      </c>
      <c r="I105" s="227">
        <f>SAÍDAS!K11</f>
        <v>0</v>
      </c>
      <c r="J105" s="227">
        <f>SAÍDAS!L11</f>
        <v>0</v>
      </c>
      <c r="K105" s="227">
        <f>SAÍDAS!M11</f>
        <v>0</v>
      </c>
      <c r="L105" s="227">
        <f>SAÍDAS!N11</f>
        <v>0</v>
      </c>
      <c r="M105" s="227">
        <f>SAÍDAS!O11</f>
        <v>0</v>
      </c>
      <c r="N105" s="227">
        <f>SAÍDAS!P11</f>
        <v>0</v>
      </c>
      <c r="O105" s="227"/>
    </row>
    <row r="106" spans="1:16" hidden="1">
      <c r="B106" s="460" t="s">
        <v>327</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c r="B107" s="460" t="s">
        <v>328</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c r="B108" s="802" t="s">
        <v>329</v>
      </c>
      <c r="C108" s="803">
        <f t="shared" ref="C108:N108" si="32">IF(C103-C110&lt;0,(C103-C110)*-1,C103-C110)</f>
        <v>555</v>
      </c>
      <c r="D108" s="803">
        <f t="shared" si="32"/>
        <v>555</v>
      </c>
      <c r="E108" s="803">
        <f t="shared" si="32"/>
        <v>555</v>
      </c>
      <c r="F108" s="803">
        <f t="shared" si="32"/>
        <v>555</v>
      </c>
      <c r="G108" s="803">
        <f t="shared" si="32"/>
        <v>555</v>
      </c>
      <c r="H108" s="803">
        <f t="shared" si="32"/>
        <v>0</v>
      </c>
      <c r="I108" s="803">
        <f t="shared" si="32"/>
        <v>555</v>
      </c>
      <c r="J108" s="803">
        <f t="shared" si="32"/>
        <v>555</v>
      </c>
      <c r="K108" s="803">
        <f t="shared" si="32"/>
        <v>555</v>
      </c>
      <c r="L108" s="803">
        <f t="shared" si="32"/>
        <v>555</v>
      </c>
      <c r="M108" s="803">
        <f t="shared" si="32"/>
        <v>555</v>
      </c>
      <c r="N108" s="803">
        <f t="shared" si="32"/>
        <v>555</v>
      </c>
      <c r="O108" s="801"/>
    </row>
    <row r="109" spans="1:16" s="799" customFormat="1" ht="11.25" hidden="1">
      <c r="B109" s="802" t="s">
        <v>337</v>
      </c>
      <c r="C109" s="815">
        <f>C108</f>
        <v>555</v>
      </c>
      <c r="D109" s="815">
        <f>(D108-C108)</f>
        <v>0</v>
      </c>
      <c r="E109" s="815">
        <f t="shared" ref="E109:N109" si="33">(E108-D108)</f>
        <v>0</v>
      </c>
      <c r="F109" s="815">
        <f t="shared" si="33"/>
        <v>0</v>
      </c>
      <c r="G109" s="815">
        <f t="shared" si="33"/>
        <v>0</v>
      </c>
      <c r="H109" s="815">
        <f t="shared" si="33"/>
        <v>-555</v>
      </c>
      <c r="I109" s="815">
        <f t="shared" si="33"/>
        <v>555</v>
      </c>
      <c r="J109" s="815">
        <f t="shared" si="33"/>
        <v>0</v>
      </c>
      <c r="K109" s="815">
        <f t="shared" si="33"/>
        <v>0</v>
      </c>
      <c r="L109" s="815">
        <f t="shared" si="33"/>
        <v>0</v>
      </c>
      <c r="M109" s="815">
        <f t="shared" si="33"/>
        <v>0</v>
      </c>
      <c r="N109" s="815">
        <f t="shared" si="33"/>
        <v>0</v>
      </c>
      <c r="O109" s="801">
        <f>SUM(C109:N109)</f>
        <v>555</v>
      </c>
    </row>
    <row r="110" spans="1:16" s="799" customFormat="1" ht="11.25" hidden="1">
      <c r="B110" s="804" t="s">
        <v>330</v>
      </c>
      <c r="C110" s="805">
        <f>SAÍDAS!C11+C104+C105-C106-C107</f>
        <v>555</v>
      </c>
      <c r="D110" s="805">
        <f t="shared" ref="D110:N110" si="34">C110+D104+D105-D106-D107</f>
        <v>555</v>
      </c>
      <c r="E110" s="805">
        <f t="shared" si="34"/>
        <v>555</v>
      </c>
      <c r="F110" s="805">
        <f t="shared" si="34"/>
        <v>555</v>
      </c>
      <c r="G110" s="805">
        <f t="shared" si="34"/>
        <v>555</v>
      </c>
      <c r="H110" s="805">
        <f t="shared" si="34"/>
        <v>340</v>
      </c>
      <c r="I110" s="805">
        <f t="shared" si="34"/>
        <v>555</v>
      </c>
      <c r="J110" s="805">
        <f t="shared" si="34"/>
        <v>555</v>
      </c>
      <c r="K110" s="805">
        <f t="shared" si="34"/>
        <v>555</v>
      </c>
      <c r="L110" s="805">
        <f t="shared" si="34"/>
        <v>555</v>
      </c>
      <c r="M110" s="805">
        <f t="shared" si="34"/>
        <v>555</v>
      </c>
      <c r="N110" s="805">
        <f t="shared" si="34"/>
        <v>555</v>
      </c>
      <c r="O110" s="800"/>
    </row>
    <row r="111" spans="1:16" s="799" customFormat="1" ht="11.25" hidden="1">
      <c r="B111" s="799" t="s">
        <v>349</v>
      </c>
      <c r="C111" s="806">
        <f>(REBANHO!E43*REBANHO!E44)+(REBANHO!E45*REBANHO!E46)</f>
        <v>0</v>
      </c>
      <c r="D111" s="806">
        <f>IF(D103=0,C111,(REBANHO!F43*REBANHO!F44)+(REBANHO!F45*REBANHO!F46))</f>
        <v>0</v>
      </c>
      <c r="E111" s="806">
        <f>IF(E103=0,D111,(REBANHO!G43*REBANHO!G44)+(REBANHO!G45*REBANHO!G46))</f>
        <v>0</v>
      </c>
      <c r="F111" s="806">
        <f>IF(F103=0,E111,(REBANHO!H43*REBANHO!H44)+(REBANHO!H45*REBANHO!H46))</f>
        <v>0</v>
      </c>
      <c r="G111" s="806">
        <f>IF(G103=0,F111,(REBANHO!I43*REBANHO!I44)+(REBANHO!I45*REBANHO!I46))</f>
        <v>0</v>
      </c>
      <c r="H111" s="806">
        <f>IF(H103=0,G111,(REBANHO!J43*REBANHO!J44)+(REBANHO!J45*REBANHO!J46))</f>
        <v>78880</v>
      </c>
      <c r="I111" s="806">
        <f>IF(I103=0,H111,(REBANHO!K43*REBANHO!K44)+(REBANHO!K45*REBANHO!K46))</f>
        <v>78880</v>
      </c>
      <c r="J111" s="806">
        <f>IF(J103=0,I111,(REBANHO!L43*REBANHO!L44)+(REBANHO!L45*REBANHO!L46))</f>
        <v>78880</v>
      </c>
      <c r="K111" s="806">
        <f>IF(K103=0,J111,(REBANHO!M43*REBANHO!M44)+(REBANHO!M45*REBANHO!M46))</f>
        <v>78880</v>
      </c>
      <c r="L111" s="806">
        <f>IF(L103=0,K111,(REBANHO!N43*REBANHO!N44)+(REBANHO!N45*REBANHO!N46))</f>
        <v>78880</v>
      </c>
      <c r="M111" s="806">
        <f>IF(M103=0,L111,(REBANHO!O43*REBANHO!O44)+(REBANHO!O45*REBANHO!O46))</f>
        <v>78880</v>
      </c>
      <c r="N111" s="806">
        <f>IF(N103=0,M111,(REBANHO!P43*REBANHO!P44)+(REBANHO!P45*REBANHO!P46))</f>
        <v>78880</v>
      </c>
      <c r="O111" s="806"/>
    </row>
    <row r="112" spans="1:16" s="799" customFormat="1" ht="11.25" hidden="1">
      <c r="B112" s="799" t="s">
        <v>362</v>
      </c>
      <c r="C112" s="806">
        <f>(REBANHO!E43*REBANHO!E44)+(REBANHO!E45*REBANHO!E46)</f>
        <v>0</v>
      </c>
      <c r="D112" s="806">
        <f>(REBANHO!F43*REBANHO!F44)+(REBANHO!F45*REBANHO!F46)</f>
        <v>0</v>
      </c>
      <c r="E112" s="806">
        <f>(REBANHO!G43*REBANHO!G44)+(REBANHO!G45*REBANHO!G46)</f>
        <v>0</v>
      </c>
      <c r="F112" s="806">
        <f>(REBANHO!H43*REBANHO!H44)+(REBANHO!H45*REBANHO!H46)</f>
        <v>0</v>
      </c>
      <c r="G112" s="806">
        <f>(REBANHO!I43*REBANHO!I44)+(REBANHO!I45*REBANHO!I46)</f>
        <v>0</v>
      </c>
      <c r="H112" s="806">
        <f>(REBANHO!J43*REBANHO!J44)+(REBANHO!J45*REBANHO!J46)</f>
        <v>78880</v>
      </c>
      <c r="I112" s="806">
        <f>(REBANHO!K43*REBANHO!K44)+(REBANHO!K45*REBANHO!K46)</f>
        <v>0</v>
      </c>
      <c r="J112" s="806">
        <f>(REBANHO!L43*REBANHO!L44)+(REBANHO!L45*REBANHO!L46)</f>
        <v>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c r="B113" s="807" t="s">
        <v>353</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c r="B114" s="807" t="s">
        <v>354</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c r="B115" s="807" t="s">
        <v>355</v>
      </c>
      <c r="C115" s="808">
        <f>IF(C108=0,0,(C$111/C$110)*C108)</f>
        <v>0</v>
      </c>
      <c r="D115" s="808">
        <f t="shared" ref="D115:N115" si="35">IF(D108=0,0,(D$111/D$110)*D108)</f>
        <v>0</v>
      </c>
      <c r="E115" s="808">
        <f t="shared" si="35"/>
        <v>0</v>
      </c>
      <c r="F115" s="808">
        <f t="shared" si="35"/>
        <v>0</v>
      </c>
      <c r="G115" s="808">
        <f t="shared" si="35"/>
        <v>0</v>
      </c>
      <c r="H115" s="808">
        <f t="shared" si="35"/>
        <v>0</v>
      </c>
      <c r="I115" s="808">
        <f t="shared" si="35"/>
        <v>78880</v>
      </c>
      <c r="J115" s="808">
        <f t="shared" si="35"/>
        <v>78880</v>
      </c>
      <c r="K115" s="808">
        <f t="shared" si="35"/>
        <v>78880</v>
      </c>
      <c r="L115" s="808">
        <f t="shared" si="35"/>
        <v>78880</v>
      </c>
      <c r="M115" s="808">
        <f t="shared" si="35"/>
        <v>78880</v>
      </c>
      <c r="N115" s="808">
        <f t="shared" si="35"/>
        <v>78880</v>
      </c>
      <c r="O115" s="806"/>
    </row>
    <row r="116" spans="2:15" s="799" customFormat="1" ht="11.25" hidden="1">
      <c r="B116" s="807" t="s">
        <v>356</v>
      </c>
      <c r="C116" s="808">
        <f>SUM(C113:C115)</f>
        <v>0</v>
      </c>
      <c r="D116" s="808">
        <f t="shared" ref="D116:N116" si="36">SUM(D113:D115)</f>
        <v>0</v>
      </c>
      <c r="E116" s="808">
        <f t="shared" si="36"/>
        <v>0</v>
      </c>
      <c r="F116" s="808">
        <f t="shared" si="36"/>
        <v>0</v>
      </c>
      <c r="G116" s="808">
        <f t="shared" si="36"/>
        <v>0</v>
      </c>
      <c r="H116" s="808">
        <f t="shared" si="36"/>
        <v>0</v>
      </c>
      <c r="I116" s="808">
        <f t="shared" si="36"/>
        <v>78880</v>
      </c>
      <c r="J116" s="808">
        <f t="shared" si="36"/>
        <v>78880</v>
      </c>
      <c r="K116" s="808">
        <f t="shared" si="36"/>
        <v>78880</v>
      </c>
      <c r="L116" s="808">
        <f t="shared" si="36"/>
        <v>78880</v>
      </c>
      <c r="M116" s="808">
        <f t="shared" si="36"/>
        <v>78880</v>
      </c>
      <c r="N116" s="808">
        <f t="shared" si="36"/>
        <v>78880</v>
      </c>
      <c r="O116" s="806"/>
    </row>
    <row r="117" spans="2:15" s="799" customFormat="1" ht="11.25" hidden="1">
      <c r="B117" s="807" t="s">
        <v>357</v>
      </c>
      <c r="C117" s="808">
        <f>C116</f>
        <v>0</v>
      </c>
      <c r="D117" s="808">
        <f t="shared" ref="D117:N117" si="37">D116</f>
        <v>0</v>
      </c>
      <c r="E117" s="808">
        <f t="shared" si="37"/>
        <v>0</v>
      </c>
      <c r="F117" s="808">
        <f t="shared" si="37"/>
        <v>0</v>
      </c>
      <c r="G117" s="808">
        <f t="shared" si="37"/>
        <v>0</v>
      </c>
      <c r="H117" s="808">
        <f t="shared" si="37"/>
        <v>0</v>
      </c>
      <c r="I117" s="808">
        <f t="shared" si="37"/>
        <v>78880</v>
      </c>
      <c r="J117" s="808">
        <f t="shared" si="37"/>
        <v>78880</v>
      </c>
      <c r="K117" s="808">
        <f t="shared" si="37"/>
        <v>78880</v>
      </c>
      <c r="L117" s="808">
        <f t="shared" si="37"/>
        <v>78880</v>
      </c>
      <c r="M117" s="808">
        <f t="shared" si="37"/>
        <v>78880</v>
      </c>
      <c r="N117" s="808">
        <f t="shared" si="37"/>
        <v>78880</v>
      </c>
      <c r="O117" s="806"/>
    </row>
    <row r="118" spans="2:15" s="799" customFormat="1" ht="11.25" hidden="1">
      <c r="B118" s="809" t="s">
        <v>352</v>
      </c>
      <c r="C118" s="810">
        <f>C112+C117</f>
        <v>0</v>
      </c>
      <c r="D118" s="810">
        <f t="shared" ref="D118:N118" si="38">D112+D117</f>
        <v>0</v>
      </c>
      <c r="E118" s="810">
        <f t="shared" si="38"/>
        <v>0</v>
      </c>
      <c r="F118" s="810">
        <f t="shared" si="38"/>
        <v>0</v>
      </c>
      <c r="G118" s="810">
        <f t="shared" si="38"/>
        <v>0</v>
      </c>
      <c r="H118" s="810">
        <f t="shared" si="38"/>
        <v>78880</v>
      </c>
      <c r="I118" s="810">
        <f t="shared" si="38"/>
        <v>78880</v>
      </c>
      <c r="J118" s="810">
        <f t="shared" si="38"/>
        <v>78880</v>
      </c>
      <c r="K118" s="810">
        <f t="shared" si="38"/>
        <v>78880</v>
      </c>
      <c r="L118" s="810">
        <f t="shared" si="38"/>
        <v>78880</v>
      </c>
      <c r="M118" s="810">
        <f t="shared" si="38"/>
        <v>78880</v>
      </c>
      <c r="N118" s="810">
        <f t="shared" si="38"/>
        <v>78880</v>
      </c>
      <c r="O118" s="810">
        <f>LARGE(C118:N118,1)</f>
        <v>78880</v>
      </c>
    </row>
    <row r="119" spans="2:15" s="799" customFormat="1" ht="11.25" hidden="1">
      <c r="B119" s="807" t="s">
        <v>365</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c r="B120" s="807" t="s">
        <v>366</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c r="B121" s="809" t="s">
        <v>367</v>
      </c>
      <c r="C121" s="810">
        <f t="shared" ref="C121:N121" si="41">C112+C120</f>
        <v>0</v>
      </c>
      <c r="D121" s="810">
        <f t="shared" si="41"/>
        <v>0</v>
      </c>
      <c r="E121" s="810">
        <f t="shared" si="41"/>
        <v>0</v>
      </c>
      <c r="F121" s="810">
        <f t="shared" si="41"/>
        <v>0</v>
      </c>
      <c r="G121" s="810">
        <f t="shared" si="41"/>
        <v>0</v>
      </c>
      <c r="H121" s="810">
        <f t="shared" si="41"/>
        <v>78880</v>
      </c>
      <c r="I121" s="810">
        <f t="shared" si="41"/>
        <v>0</v>
      </c>
      <c r="J121" s="810">
        <f t="shared" si="41"/>
        <v>0</v>
      </c>
      <c r="K121" s="810">
        <f t="shared" si="41"/>
        <v>0</v>
      </c>
      <c r="L121" s="810">
        <f t="shared" si="41"/>
        <v>0</v>
      </c>
      <c r="M121" s="810">
        <f t="shared" si="41"/>
        <v>0</v>
      </c>
      <c r="N121" s="810">
        <f t="shared" si="41"/>
        <v>0</v>
      </c>
      <c r="O121" s="810">
        <f>IF(SUM(C112:N112)=0,0,LARGE(C121:N121,1))</f>
        <v>78880</v>
      </c>
    </row>
    <row r="122" spans="2:15" hidden="1"/>
    <row r="123" spans="2:15" hidden="1">
      <c r="B123" s="460" t="s">
        <v>308</v>
      </c>
    </row>
    <row r="124" spans="2:15" hidden="1">
      <c r="B124" s="460" t="s">
        <v>324</v>
      </c>
      <c r="C124" s="499">
        <f>IF(REBANHO!E52="",0,REBANHO!E52)</f>
        <v>0</v>
      </c>
      <c r="D124" s="499">
        <f>IF(REBANHO!F52="",0,REBANHO!F52)</f>
        <v>0</v>
      </c>
      <c r="E124" s="499">
        <f>IF(REBANHO!G52="",0,REBANHO!G52)</f>
        <v>0</v>
      </c>
      <c r="F124" s="499">
        <f>IF(REBANHO!H52="",0,REBANHO!H52)</f>
        <v>0</v>
      </c>
      <c r="G124" s="499">
        <f>IF(REBANHO!I52="",0,REBANHO!I52)</f>
        <v>0</v>
      </c>
      <c r="H124" s="499">
        <f>IF(REBANHO!J52="",0,REBANHO!J52)</f>
        <v>0</v>
      </c>
      <c r="I124" s="499">
        <f>IF(REBANHO!K52="",0,REBANHO!K52)</f>
        <v>0</v>
      </c>
      <c r="J124" s="499">
        <f>IF(REBANHO!L52="",0,REBANHO!L52)</f>
        <v>0</v>
      </c>
      <c r="K124" s="499">
        <f>IF(REBANHO!M52="",0,REBANHO!M52)</f>
        <v>0</v>
      </c>
      <c r="L124" s="499">
        <f>IF(REBANHO!N52="",0,REBANHO!N52)</f>
        <v>0</v>
      </c>
      <c r="M124" s="499">
        <f>IF(REBANHO!O52="",0,REBANHO!O52)</f>
        <v>0</v>
      </c>
      <c r="N124" s="499">
        <f>IF(REBANHO!P52="",0,REBANHO!P52)</f>
        <v>0</v>
      </c>
    </row>
    <row r="125" spans="2:15" hidden="1">
      <c r="B125" s="511" t="s">
        <v>305</v>
      </c>
      <c r="C125" s="510">
        <f>C109</f>
        <v>555</v>
      </c>
      <c r="D125" s="510">
        <f t="shared" ref="D125:N125" si="42">D109</f>
        <v>0</v>
      </c>
      <c r="E125" s="510">
        <f t="shared" si="42"/>
        <v>0</v>
      </c>
      <c r="F125" s="510">
        <f t="shared" si="42"/>
        <v>0</v>
      </c>
      <c r="G125" s="510">
        <f t="shared" si="42"/>
        <v>0</v>
      </c>
      <c r="H125" s="510">
        <f t="shared" si="42"/>
        <v>-555</v>
      </c>
      <c r="I125" s="510">
        <f t="shared" si="42"/>
        <v>555</v>
      </c>
      <c r="J125" s="510">
        <f t="shared" si="42"/>
        <v>0</v>
      </c>
      <c r="K125" s="510">
        <f t="shared" si="42"/>
        <v>0</v>
      </c>
      <c r="L125" s="510">
        <f t="shared" si="42"/>
        <v>0</v>
      </c>
      <c r="M125" s="510">
        <f t="shared" si="42"/>
        <v>0</v>
      </c>
      <c r="N125" s="510">
        <f t="shared" si="42"/>
        <v>0</v>
      </c>
    </row>
    <row r="126" spans="2:15" hidden="1">
      <c r="B126" s="460" t="s">
        <v>326</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c r="B127" s="460" t="s">
        <v>327</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c r="B128" s="460" t="s">
        <v>345</v>
      </c>
      <c r="C128" s="227">
        <f>ENTRADAS!D31</f>
        <v>0</v>
      </c>
      <c r="D128" s="227">
        <f>ENTRADAS!E31</f>
        <v>0</v>
      </c>
      <c r="E128" s="227">
        <f>ENTRADAS!F31</f>
        <v>0</v>
      </c>
      <c r="F128" s="227">
        <f>ENTRADAS!G31</f>
        <v>0</v>
      </c>
      <c r="G128" s="227">
        <f>ENTRADAS!H31</f>
        <v>0</v>
      </c>
      <c r="H128" s="227">
        <f>ENTRADAS!I31</f>
        <v>0</v>
      </c>
      <c r="I128" s="227">
        <f>ENTRADAS!J31</f>
        <v>0</v>
      </c>
      <c r="J128" s="227">
        <f>ENTRADAS!K31</f>
        <v>0</v>
      </c>
      <c r="K128" s="227">
        <f>ENTRADAS!L31</f>
        <v>0</v>
      </c>
      <c r="L128" s="227">
        <f>ENTRADAS!M31</f>
        <v>0</v>
      </c>
      <c r="M128" s="227">
        <f>ENTRADAS!N31</f>
        <v>0</v>
      </c>
      <c r="N128" s="227">
        <f>ENTRADAS!O31</f>
        <v>0</v>
      </c>
      <c r="O128" s="227">
        <f>SUM(C128:N128)</f>
        <v>0</v>
      </c>
    </row>
    <row r="129" spans="2:15" hidden="1">
      <c r="B129" s="460" t="s">
        <v>328</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c r="B130" s="500" t="s">
        <v>329</v>
      </c>
      <c r="C130" s="501">
        <f>IF(C124-C132&lt;0,(C124-C132)*-1,C124-C132)</f>
        <v>555</v>
      </c>
      <c r="D130" s="501">
        <f>IF(D124-D132&lt;0,(D124-D132)*-1,D124-D132)</f>
        <v>555</v>
      </c>
      <c r="E130" s="501">
        <f>IF(E124-E132&lt;0,(E124-E132)*-1,E124-E132)</f>
        <v>555</v>
      </c>
      <c r="F130" s="501">
        <f t="shared" ref="F130:N130" si="43">IF(F124-F132&lt;0,(F124-F132)*-1,F124-F132)</f>
        <v>555</v>
      </c>
      <c r="G130" s="501">
        <f t="shared" si="43"/>
        <v>555</v>
      </c>
      <c r="H130" s="501">
        <f t="shared" si="43"/>
        <v>0</v>
      </c>
      <c r="I130" s="501">
        <f t="shared" si="43"/>
        <v>555</v>
      </c>
      <c r="J130" s="501">
        <f t="shared" si="43"/>
        <v>555</v>
      </c>
      <c r="K130" s="501">
        <f t="shared" si="43"/>
        <v>555</v>
      </c>
      <c r="L130" s="501">
        <f t="shared" si="43"/>
        <v>555</v>
      </c>
      <c r="M130" s="501">
        <f t="shared" si="43"/>
        <v>555</v>
      </c>
      <c r="N130" s="501">
        <f t="shared" si="43"/>
        <v>555</v>
      </c>
    </row>
    <row r="131" spans="2:15" hidden="1">
      <c r="B131" s="500" t="s">
        <v>339</v>
      </c>
      <c r="C131" s="512">
        <f>C130</f>
        <v>555</v>
      </c>
      <c r="D131" s="512">
        <f>(D130-C130)</f>
        <v>0</v>
      </c>
      <c r="E131" s="512">
        <f t="shared" ref="E131:N131" si="44">(E130-D130)</f>
        <v>0</v>
      </c>
      <c r="F131" s="512">
        <f t="shared" si="44"/>
        <v>0</v>
      </c>
      <c r="G131" s="512">
        <f t="shared" si="44"/>
        <v>0</v>
      </c>
      <c r="H131" s="512">
        <f t="shared" si="44"/>
        <v>-555</v>
      </c>
      <c r="I131" s="512">
        <f t="shared" si="44"/>
        <v>555</v>
      </c>
      <c r="J131" s="512">
        <f t="shared" si="44"/>
        <v>0</v>
      </c>
      <c r="K131" s="512">
        <f t="shared" si="44"/>
        <v>0</v>
      </c>
      <c r="L131" s="512">
        <f t="shared" si="44"/>
        <v>0</v>
      </c>
      <c r="M131" s="512">
        <f t="shared" si="44"/>
        <v>0</v>
      </c>
      <c r="N131" s="512">
        <f t="shared" si="44"/>
        <v>0</v>
      </c>
      <c r="O131" s="499">
        <f>SUM(C131:N131)</f>
        <v>555</v>
      </c>
    </row>
    <row r="132" spans="2:15" s="799" customFormat="1" ht="11.25" hidden="1">
      <c r="B132" s="804" t="s">
        <v>330</v>
      </c>
      <c r="C132" s="805">
        <f>SAÍDAS!C15+C125+C126-C127-C128-C129</f>
        <v>555</v>
      </c>
      <c r="D132" s="805">
        <f>C132+D125+D126-D127-D128-D129</f>
        <v>555</v>
      </c>
      <c r="E132" s="805">
        <f t="shared" ref="E132:N132" si="45">D132+E125+E126-E127-E128-E129</f>
        <v>555</v>
      </c>
      <c r="F132" s="805">
        <f t="shared" si="45"/>
        <v>555</v>
      </c>
      <c r="G132" s="805">
        <f t="shared" si="45"/>
        <v>555</v>
      </c>
      <c r="H132" s="805">
        <f t="shared" si="45"/>
        <v>0</v>
      </c>
      <c r="I132" s="805">
        <f t="shared" si="45"/>
        <v>555</v>
      </c>
      <c r="J132" s="805">
        <f t="shared" si="45"/>
        <v>555</v>
      </c>
      <c r="K132" s="805">
        <f t="shared" si="45"/>
        <v>555</v>
      </c>
      <c r="L132" s="805">
        <f t="shared" si="45"/>
        <v>555</v>
      </c>
      <c r="M132" s="805">
        <f t="shared" si="45"/>
        <v>555</v>
      </c>
      <c r="N132" s="805">
        <f t="shared" si="45"/>
        <v>555</v>
      </c>
    </row>
    <row r="133" spans="2:15" s="799" customFormat="1" ht="11.25" hidden="1">
      <c r="B133" s="799" t="s">
        <v>350</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0</v>
      </c>
      <c r="G133" s="806">
        <f>IF(G124=0,F133,(REBANHO!I48*REBANHO!I49)+(REBANHO!I50*REBANHO!I51))</f>
        <v>0</v>
      </c>
      <c r="H133" s="806">
        <f>IF(H124=0,G133,(REBANHO!J48*REBANHO!J49)+(REBANHO!J50*REBANHO!J51))</f>
        <v>0</v>
      </c>
      <c r="I133" s="806">
        <f>IF(I124=0,H133,(REBANHO!K48*REBANHO!K49)+(REBANHO!K50*REBANHO!K51))</f>
        <v>0</v>
      </c>
      <c r="J133" s="806">
        <f>IF(J124=0,I133,(REBANHO!L48*REBANHO!L49)+(REBANHO!L50*REBANHO!L51))</f>
        <v>0</v>
      </c>
      <c r="K133" s="806">
        <f>IF(K124=0,J133,(REBANHO!M48*REBANHO!M49)+(REBANHO!M50*REBANHO!M51))</f>
        <v>0</v>
      </c>
      <c r="L133" s="806">
        <f>IF(L124=0,K133,(REBANHO!N48*REBANHO!N49)+(REBANHO!N50*REBANHO!N51))</f>
        <v>0</v>
      </c>
      <c r="M133" s="806">
        <f>IF(M124=0,L133,(REBANHO!O48*REBANHO!O49)+(REBANHO!O50*REBANHO!O51))</f>
        <v>0</v>
      </c>
      <c r="N133" s="806">
        <f>IF(N124=0,M133,(REBANHO!P48*REBANHO!P49)+(REBANHO!P50*REBANHO!P51))</f>
        <v>0</v>
      </c>
      <c r="O133" s="806"/>
    </row>
    <row r="134" spans="2:15" s="799" customFormat="1" ht="11.25" hidden="1">
      <c r="B134" s="799" t="s">
        <v>359</v>
      </c>
      <c r="C134" s="806">
        <f>(REBANHO!E48*REBANHO!E49)+(REBANHO!E50*REBANHO!E51)</f>
        <v>0</v>
      </c>
      <c r="D134" s="806">
        <f>(REBANHO!F48*REBANHO!F49)+(REBANHO!F50*REBANHO!F51)</f>
        <v>0</v>
      </c>
      <c r="E134" s="806">
        <f>(REBANHO!G48*REBANHO!G49)+(REBANHO!G50*REBANHO!G51)</f>
        <v>0</v>
      </c>
      <c r="F134" s="806">
        <f>(REBANHO!H48*REBANHO!H49)+(REBANHO!H50*REBANHO!H51)</f>
        <v>0</v>
      </c>
      <c r="G134" s="806">
        <f>(REBANHO!I48*REBANHO!I49)+(REBANHO!I50*REBANHO!I51)</f>
        <v>0</v>
      </c>
      <c r="H134" s="806">
        <f>(REBANHO!J48*REBANHO!J49)+(REBANHO!J50*REBANHO!J51)</f>
        <v>0</v>
      </c>
      <c r="I134" s="806">
        <f>(REBANHO!K48*REBANHO!K49)+(REBANHO!K50*REBANHO!K51)</f>
        <v>0</v>
      </c>
      <c r="J134" s="806">
        <f>(REBANHO!L48*REBANHO!L49)+(REBANHO!L50*REBANHO!L51)</f>
        <v>0</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c r="B135" s="807" t="s">
        <v>351</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0</v>
      </c>
      <c r="J135" s="808">
        <f>ENTRADAS!K31*ENTRADAS!K32</f>
        <v>0</v>
      </c>
      <c r="K135" s="808">
        <f>ENTRADAS!L31*ENTRADAS!L32</f>
        <v>0</v>
      </c>
      <c r="L135" s="808">
        <f>ENTRADAS!M31*ENTRADAS!M32</f>
        <v>0</v>
      </c>
      <c r="M135" s="808">
        <f>ENTRADAS!N31*ENTRADAS!N32</f>
        <v>0</v>
      </c>
      <c r="N135" s="808">
        <f>ENTRADAS!O31*ENTRADAS!O32</f>
        <v>0</v>
      </c>
      <c r="O135" s="326">
        <f>SUM(C135:N135)</f>
        <v>0</v>
      </c>
    </row>
    <row r="136" spans="2:15" s="799" customFormat="1" hidden="1">
      <c r="B136" s="807" t="s">
        <v>353</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c r="B137" s="807" t="s">
        <v>354</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c r="B138" s="807" t="s">
        <v>355</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0</v>
      </c>
      <c r="N138" s="808">
        <f t="shared" si="46"/>
        <v>0</v>
      </c>
      <c r="O138" s="806"/>
    </row>
    <row r="139" spans="2:15" s="799" customFormat="1" ht="11.25" hidden="1">
      <c r="B139" s="807" t="s">
        <v>356</v>
      </c>
      <c r="C139" s="808">
        <f>SUM(C135:C138)</f>
        <v>0</v>
      </c>
      <c r="D139" s="808">
        <f t="shared" ref="D139:N139" si="47">SUM(D135:D138)</f>
        <v>0</v>
      </c>
      <c r="E139" s="808">
        <f t="shared" si="47"/>
        <v>0</v>
      </c>
      <c r="F139" s="808">
        <f t="shared" si="47"/>
        <v>0</v>
      </c>
      <c r="G139" s="808">
        <f t="shared" si="47"/>
        <v>0</v>
      </c>
      <c r="H139" s="808">
        <f t="shared" si="47"/>
        <v>0</v>
      </c>
      <c r="I139" s="808">
        <f t="shared" si="47"/>
        <v>0</v>
      </c>
      <c r="J139" s="808">
        <f t="shared" si="47"/>
        <v>0</v>
      </c>
      <c r="K139" s="808">
        <f t="shared" si="47"/>
        <v>0</v>
      </c>
      <c r="L139" s="808">
        <f t="shared" si="47"/>
        <v>0</v>
      </c>
      <c r="M139" s="808">
        <f t="shared" si="47"/>
        <v>0</v>
      </c>
      <c r="N139" s="808">
        <f t="shared" si="47"/>
        <v>0</v>
      </c>
      <c r="O139" s="806"/>
    </row>
    <row r="140" spans="2:15" s="799" customFormat="1" ht="11.25" hidden="1">
      <c r="B140" s="807" t="s">
        <v>357</v>
      </c>
      <c r="C140" s="808">
        <f>C139</f>
        <v>0</v>
      </c>
      <c r="D140" s="808">
        <f t="shared" ref="D140:N140" si="48">C140+D139</f>
        <v>0</v>
      </c>
      <c r="E140" s="808">
        <f t="shared" si="48"/>
        <v>0</v>
      </c>
      <c r="F140" s="808">
        <f t="shared" si="48"/>
        <v>0</v>
      </c>
      <c r="G140" s="808">
        <f t="shared" si="48"/>
        <v>0</v>
      </c>
      <c r="H140" s="808">
        <f t="shared" si="48"/>
        <v>0</v>
      </c>
      <c r="I140" s="808">
        <f t="shared" si="48"/>
        <v>0</v>
      </c>
      <c r="J140" s="808">
        <f t="shared" si="48"/>
        <v>0</v>
      </c>
      <c r="K140" s="808">
        <f t="shared" si="48"/>
        <v>0</v>
      </c>
      <c r="L140" s="808">
        <f t="shared" si="48"/>
        <v>0</v>
      </c>
      <c r="M140" s="808">
        <f t="shared" si="48"/>
        <v>0</v>
      </c>
      <c r="N140" s="808">
        <f t="shared" si="48"/>
        <v>0</v>
      </c>
      <c r="O140" s="806"/>
    </row>
    <row r="141" spans="2:15" s="799" customFormat="1" ht="11.25" hidden="1">
      <c r="B141" s="809" t="s">
        <v>352</v>
      </c>
      <c r="C141" s="810">
        <f>C134+C140</f>
        <v>0</v>
      </c>
      <c r="D141" s="810">
        <f t="shared" ref="D141:N141" si="49">D134+D140</f>
        <v>0</v>
      </c>
      <c r="E141" s="810">
        <f t="shared" si="49"/>
        <v>0</v>
      </c>
      <c r="F141" s="810">
        <f t="shared" si="49"/>
        <v>0</v>
      </c>
      <c r="G141" s="810">
        <f t="shared" si="49"/>
        <v>0</v>
      </c>
      <c r="H141" s="810">
        <f t="shared" si="49"/>
        <v>0</v>
      </c>
      <c r="I141" s="810">
        <f t="shared" si="49"/>
        <v>0</v>
      </c>
      <c r="J141" s="810">
        <f t="shared" si="49"/>
        <v>0</v>
      </c>
      <c r="K141" s="810">
        <f t="shared" si="49"/>
        <v>0</v>
      </c>
      <c r="L141" s="810">
        <f t="shared" si="49"/>
        <v>0</v>
      </c>
      <c r="M141" s="810">
        <f t="shared" si="49"/>
        <v>0</v>
      </c>
      <c r="N141" s="810">
        <f t="shared" si="49"/>
        <v>0</v>
      </c>
      <c r="O141" s="810">
        <f>LARGE(C141:N141,1)</f>
        <v>0</v>
      </c>
    </row>
    <row r="142" spans="2:15" s="799" customFormat="1" ht="11.25" hidden="1">
      <c r="B142" s="807" t="s">
        <v>365</v>
      </c>
      <c r="C142" s="808">
        <f>SUM(C135:C137)</f>
        <v>0</v>
      </c>
      <c r="D142" s="808">
        <f t="shared" ref="D142:N142" si="50">SUM(D135:D137)</f>
        <v>0</v>
      </c>
      <c r="E142" s="808">
        <f t="shared" si="50"/>
        <v>0</v>
      </c>
      <c r="F142" s="808">
        <f t="shared" si="50"/>
        <v>0</v>
      </c>
      <c r="G142" s="808">
        <f t="shared" si="50"/>
        <v>0</v>
      </c>
      <c r="H142" s="808">
        <f t="shared" si="50"/>
        <v>0</v>
      </c>
      <c r="I142" s="808">
        <f t="shared" si="50"/>
        <v>0</v>
      </c>
      <c r="J142" s="808">
        <f t="shared" si="50"/>
        <v>0</v>
      </c>
      <c r="K142" s="808">
        <f t="shared" si="50"/>
        <v>0</v>
      </c>
      <c r="L142" s="808">
        <f t="shared" si="50"/>
        <v>0</v>
      </c>
      <c r="M142" s="808">
        <f t="shared" si="50"/>
        <v>0</v>
      </c>
      <c r="N142" s="808">
        <f t="shared" si="50"/>
        <v>0</v>
      </c>
      <c r="O142" s="806"/>
    </row>
    <row r="143" spans="2:15" s="799" customFormat="1" ht="11.25" hidden="1">
      <c r="B143" s="807" t="s">
        <v>366</v>
      </c>
      <c r="C143" s="808">
        <f>C142</f>
        <v>0</v>
      </c>
      <c r="D143" s="808">
        <f>C143+D142</f>
        <v>0</v>
      </c>
      <c r="E143" s="808">
        <f t="shared" ref="E143:N143" si="51">D143+E142</f>
        <v>0</v>
      </c>
      <c r="F143" s="808">
        <f t="shared" si="51"/>
        <v>0</v>
      </c>
      <c r="G143" s="808">
        <f t="shared" si="51"/>
        <v>0</v>
      </c>
      <c r="H143" s="808">
        <f t="shared" si="51"/>
        <v>0</v>
      </c>
      <c r="I143" s="808">
        <f t="shared" si="51"/>
        <v>0</v>
      </c>
      <c r="J143" s="808">
        <f t="shared" si="51"/>
        <v>0</v>
      </c>
      <c r="K143" s="808">
        <f t="shared" si="51"/>
        <v>0</v>
      </c>
      <c r="L143" s="808">
        <f t="shared" si="51"/>
        <v>0</v>
      </c>
      <c r="M143" s="808">
        <f t="shared" si="51"/>
        <v>0</v>
      </c>
      <c r="N143" s="808">
        <f t="shared" si="51"/>
        <v>0</v>
      </c>
      <c r="O143" s="806"/>
    </row>
    <row r="144" spans="2:15" s="799" customFormat="1" ht="11.25" hidden="1">
      <c r="B144" s="809" t="s">
        <v>367</v>
      </c>
      <c r="C144" s="810">
        <f t="shared" ref="C144:N144" si="52">C135+C143</f>
        <v>0</v>
      </c>
      <c r="D144" s="810">
        <f t="shared" si="52"/>
        <v>0</v>
      </c>
      <c r="E144" s="810">
        <f t="shared" si="52"/>
        <v>0</v>
      </c>
      <c r="F144" s="810">
        <f t="shared" si="52"/>
        <v>0</v>
      </c>
      <c r="G144" s="810">
        <f t="shared" si="52"/>
        <v>0</v>
      </c>
      <c r="H144" s="810">
        <f t="shared" si="52"/>
        <v>0</v>
      </c>
      <c r="I144" s="810">
        <f t="shared" si="52"/>
        <v>0</v>
      </c>
      <c r="J144" s="810">
        <f t="shared" si="52"/>
        <v>0</v>
      </c>
      <c r="K144" s="810">
        <f t="shared" si="52"/>
        <v>0</v>
      </c>
      <c r="L144" s="810">
        <f t="shared" si="52"/>
        <v>0</v>
      </c>
      <c r="M144" s="810">
        <f t="shared" si="52"/>
        <v>0</v>
      </c>
      <c r="N144" s="810">
        <f t="shared" si="52"/>
        <v>0</v>
      </c>
      <c r="O144" s="810">
        <f>IF(SUM(C134:N134)=0,0,LARGE(C144:N144,1))</f>
        <v>0</v>
      </c>
    </row>
    <row r="145" hidden="1"/>
    <row r="146" hidden="1"/>
    <row r="147" hidden="1"/>
    <row r="148" hidden="1"/>
    <row r="149" hidden="1"/>
    <row r="150" hidden="1"/>
    <row r="151" hidden="1"/>
    <row r="152" hidden="1"/>
    <row r="153" hidden="1"/>
    <row r="154" hidden="1"/>
    <row r="155" hidden="1"/>
    <row r="156" hidden="1"/>
    <row r="157" hidden="1"/>
    <row r="158" hidden="1"/>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Babigton</cp:lastModifiedBy>
  <cp:lastPrinted>2014-11-12T18:43:35Z</cp:lastPrinted>
  <dcterms:created xsi:type="dcterms:W3CDTF">2014-09-16T19:51:39Z</dcterms:created>
  <dcterms:modified xsi:type="dcterms:W3CDTF">2016-07-21T00:28:32Z</dcterms:modified>
</cp:coreProperties>
</file>