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ocuments\assessoria\Agropecuária HS - Marcelo Delchiaro\Faz. Bonanza - Marcelo delchiaro\controle\"/>
    </mc:Choice>
  </mc:AlternateContent>
  <bookViews>
    <workbookView xWindow="435" yWindow="375" windowWidth="13680" windowHeight="11400" firstSheet="3" activeTab="5"/>
  </bookViews>
  <sheets>
    <sheet name="Introdução" sheetId="12" r:id="rId1"/>
    <sheet name="REBANHO" sheetId="5" r:id="rId2"/>
    <sheet name="ENTRADAS" sheetId="9" r:id="rId3"/>
    <sheet name="INVESTIMENTOS" sheetId="10" r:id="rId4"/>
    <sheet name="SAÍDAS" sheetId="7" r:id="rId5"/>
    <sheet name="RESULTADOS FINANCEIROS" sheetId="8" r:id="rId6"/>
    <sheet name="ÍNDICES ZOOTÉCNICOS" sheetId="11" r:id="rId7"/>
    <sheet name="Plan1" sheetId="13" r:id="rId8"/>
  </sheets>
  <definedNames>
    <definedName name="_xlnm.Print_Area" localSheetId="2">ENTRADAS!$B$2:$P$76</definedName>
    <definedName name="_xlnm.Print_Area" localSheetId="6">'ÍNDICES ZOOTÉCNICOS'!$B$2:$O$34</definedName>
    <definedName name="_xlnm.Print_Area" localSheetId="3">INVESTIMENTOS!$B$2:$T$169</definedName>
    <definedName name="_xlnm.Print_Area" localSheetId="1">REBANHO!$A$2:$Q$78</definedName>
    <definedName name="_xlnm.Print_Area" localSheetId="5">'RESULTADOS FINANCEIROS'!$B$2:$O$123</definedName>
    <definedName name="_xlnm.Print_Area" localSheetId="4">SAÍDAS!$B$2:$Z$99</definedName>
  </definedNames>
  <calcPr calcId="152511"/>
</workbook>
</file>

<file path=xl/calcChain.xml><?xml version="1.0" encoding="utf-8"?>
<calcChain xmlns="http://schemas.openxmlformats.org/spreadsheetml/2006/main">
  <c r="L46" i="5" l="1"/>
  <c r="L45" i="5"/>
  <c r="K76" i="7" l="1"/>
  <c r="K46" i="5"/>
  <c r="K45" i="5"/>
  <c r="K13" i="7"/>
  <c r="K12" i="7"/>
  <c r="K11" i="7"/>
  <c r="J74" i="9"/>
  <c r="K59" i="7" l="1"/>
  <c r="I59" i="7"/>
  <c r="H58" i="7"/>
  <c r="H55" i="7"/>
  <c r="G34" i="7"/>
  <c r="G32" i="7"/>
  <c r="G58" i="7"/>
  <c r="G56" i="7"/>
  <c r="F56" i="7"/>
  <c r="E48" i="7"/>
  <c r="E55" i="7"/>
  <c r="E31" i="7"/>
  <c r="G3" i="9" l="1"/>
  <c r="C3" i="9"/>
  <c r="C2" i="9"/>
  <c r="I146" i="10"/>
  <c r="I147" i="10"/>
  <c r="I148" i="10"/>
  <c r="I149" i="10"/>
  <c r="I150" i="10"/>
  <c r="I151" i="10"/>
  <c r="I152" i="10"/>
  <c r="I153" i="10"/>
  <c r="I154" i="10"/>
  <c r="I155" i="10"/>
  <c r="I156" i="10"/>
  <c r="I157" i="10"/>
  <c r="I158" i="10"/>
  <c r="I159" i="10"/>
  <c r="I160" i="10"/>
  <c r="I161" i="10"/>
  <c r="I162" i="10"/>
  <c r="I163" i="10"/>
  <c r="I164" i="10"/>
  <c r="I165" i="10"/>
  <c r="I166" i="10"/>
  <c r="I167" i="10"/>
  <c r="I168" i="10"/>
  <c r="I145"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16"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87" i="10"/>
  <c r="I57" i="10"/>
  <c r="I58" i="10"/>
  <c r="I59" i="10"/>
  <c r="I60" i="10"/>
  <c r="I61" i="10"/>
  <c r="I62" i="10"/>
  <c r="I63" i="10"/>
  <c r="I64" i="10"/>
  <c r="I65" i="10"/>
  <c r="I66" i="10"/>
  <c r="I67" i="10"/>
  <c r="I68" i="10"/>
  <c r="I69" i="10"/>
  <c r="I70" i="10"/>
  <c r="I71" i="10"/>
  <c r="I72" i="10"/>
  <c r="I73" i="10"/>
  <c r="I74" i="10"/>
  <c r="I75" i="10"/>
  <c r="I76" i="10"/>
  <c r="I77" i="10"/>
  <c r="I78" i="10"/>
  <c r="I79" i="10"/>
  <c r="I80" i="10"/>
  <c r="I81" i="10"/>
  <c r="I82" i="10"/>
  <c r="I56" i="10"/>
  <c r="I28" i="10"/>
  <c r="I29" i="10"/>
  <c r="I30" i="10"/>
  <c r="I31" i="10"/>
  <c r="I32" i="10"/>
  <c r="I33" i="10"/>
  <c r="I34" i="10"/>
  <c r="I35" i="10"/>
  <c r="I36" i="10"/>
  <c r="I37" i="10"/>
  <c r="I38" i="10"/>
  <c r="I39" i="10"/>
  <c r="I40" i="10"/>
  <c r="I41" i="10"/>
  <c r="I42" i="10"/>
  <c r="I43" i="10"/>
  <c r="I44" i="10"/>
  <c r="I45" i="10"/>
  <c r="I46" i="10"/>
  <c r="I47" i="10"/>
  <c r="I48" i="10"/>
  <c r="I49" i="10"/>
  <c r="I50" i="10"/>
  <c r="I27" i="10"/>
  <c r="I6" i="10"/>
  <c r="I5" i="10"/>
  <c r="I4" i="10"/>
  <c r="I3" i="10"/>
  <c r="I2" i="10"/>
  <c r="J147" i="10" s="1"/>
  <c r="C3" i="10"/>
  <c r="C4" i="10"/>
  <c r="C5" i="10"/>
  <c r="C6" i="10"/>
  <c r="C2" i="10"/>
  <c r="F3" i="7"/>
  <c r="C6" i="7" s="1"/>
  <c r="C3" i="7"/>
  <c r="C2" i="7"/>
  <c r="L7" i="11"/>
  <c r="L4" i="11"/>
  <c r="L5" i="11"/>
  <c r="L6" i="11"/>
  <c r="L3" i="11"/>
  <c r="L2" i="11"/>
  <c r="C4" i="11"/>
  <c r="C5" i="11"/>
  <c r="C6" i="11"/>
  <c r="C7" i="11"/>
  <c r="C3" i="11"/>
  <c r="C2" i="11"/>
  <c r="C10" i="8"/>
  <c r="C11" i="8"/>
  <c r="C12" i="8"/>
  <c r="C13" i="8"/>
  <c r="C9" i="8"/>
  <c r="C7" i="8"/>
  <c r="C6" i="8"/>
  <c r="C5" i="8"/>
  <c r="C4" i="8"/>
  <c r="C3" i="8"/>
  <c r="C2" i="8"/>
  <c r="D42" i="8"/>
  <c r="E42" i="8"/>
  <c r="F42" i="8"/>
  <c r="G42" i="8"/>
  <c r="H42" i="8"/>
  <c r="I42" i="8"/>
  <c r="J42" i="8"/>
  <c r="K42" i="8"/>
  <c r="L42" i="8"/>
  <c r="M42" i="8"/>
  <c r="N42" i="8"/>
  <c r="D43" i="8"/>
  <c r="E43" i="8"/>
  <c r="F43" i="8"/>
  <c r="G43" i="8"/>
  <c r="H43" i="8"/>
  <c r="I43" i="8"/>
  <c r="J43" i="8"/>
  <c r="K43" i="8"/>
  <c r="L43" i="8"/>
  <c r="M43" i="8"/>
  <c r="N43" i="8"/>
  <c r="C43" i="8"/>
  <c r="C42" i="8"/>
  <c r="D37" i="8"/>
  <c r="E37" i="8"/>
  <c r="F37" i="8"/>
  <c r="G37" i="8"/>
  <c r="H37" i="8"/>
  <c r="I37" i="8"/>
  <c r="J37" i="8"/>
  <c r="K37" i="8"/>
  <c r="L37" i="8"/>
  <c r="M37" i="8"/>
  <c r="N37" i="8"/>
  <c r="D38" i="8"/>
  <c r="E38" i="8"/>
  <c r="F38" i="8"/>
  <c r="G38" i="8"/>
  <c r="H38" i="8"/>
  <c r="I38" i="8"/>
  <c r="J38" i="8"/>
  <c r="K38" i="8"/>
  <c r="L38" i="8"/>
  <c r="M38" i="8"/>
  <c r="N38" i="8"/>
  <c r="C38" i="8"/>
  <c r="C37" i="8"/>
  <c r="D36" i="8"/>
  <c r="E36" i="8"/>
  <c r="F36" i="8"/>
  <c r="G36" i="8"/>
  <c r="H36" i="8"/>
  <c r="I36" i="8"/>
  <c r="J36" i="8"/>
  <c r="K36" i="8"/>
  <c r="L36" i="8"/>
  <c r="M36" i="8"/>
  <c r="N36" i="8"/>
  <c r="C36" i="8"/>
  <c r="O36" i="8" s="1"/>
  <c r="E88" i="5"/>
  <c r="F86" i="5"/>
  <c r="G86" i="5"/>
  <c r="H86" i="5"/>
  <c r="I86" i="5"/>
  <c r="J86" i="5"/>
  <c r="K86" i="5"/>
  <c r="L86" i="5"/>
  <c r="M86" i="5"/>
  <c r="N86" i="5"/>
  <c r="O86" i="5"/>
  <c r="P86" i="5"/>
  <c r="E86" i="5"/>
  <c r="E85" i="5"/>
  <c r="E83" i="5"/>
  <c r="E81" i="5"/>
  <c r="O37" i="8" l="1"/>
  <c r="N17" i="8"/>
  <c r="C12" i="10"/>
  <c r="J12" i="10" s="1"/>
  <c r="J50" i="10"/>
  <c r="J48" i="10"/>
  <c r="J46" i="10"/>
  <c r="J44" i="10"/>
  <c r="J42" i="10"/>
  <c r="J81" i="10"/>
  <c r="J79" i="10"/>
  <c r="J77" i="10"/>
  <c r="J75" i="10"/>
  <c r="J73" i="10"/>
  <c r="J71" i="10"/>
  <c r="J69" i="10"/>
  <c r="J67" i="10"/>
  <c r="J65" i="10"/>
  <c r="J63" i="10"/>
  <c r="J110" i="10"/>
  <c r="J108" i="10"/>
  <c r="J106" i="10"/>
  <c r="J104" i="10"/>
  <c r="J102" i="10"/>
  <c r="J100" i="10"/>
  <c r="J98" i="10"/>
  <c r="J96" i="10"/>
  <c r="J94" i="10"/>
  <c r="J139" i="10"/>
  <c r="J137" i="10"/>
  <c r="J135" i="10"/>
  <c r="J133" i="10"/>
  <c r="J131" i="10"/>
  <c r="J129" i="10"/>
  <c r="J127" i="10"/>
  <c r="J125" i="10"/>
  <c r="J123" i="10"/>
  <c r="J121" i="10"/>
  <c r="J168" i="10"/>
  <c r="J166" i="10"/>
  <c r="J164" i="10"/>
  <c r="J162" i="10"/>
  <c r="J160" i="10"/>
  <c r="J158" i="10"/>
  <c r="J156" i="10"/>
  <c r="J154" i="10"/>
  <c r="J152" i="10"/>
  <c r="J150" i="10"/>
  <c r="J148" i="10"/>
  <c r="J146" i="10"/>
  <c r="C13" i="10"/>
  <c r="J51" i="10"/>
  <c r="J49" i="10"/>
  <c r="J47" i="10"/>
  <c r="J45" i="10"/>
  <c r="J43" i="10"/>
  <c r="J82" i="10"/>
  <c r="J80" i="10"/>
  <c r="J78" i="10"/>
  <c r="J76" i="10"/>
  <c r="J74" i="10"/>
  <c r="J72" i="10"/>
  <c r="J70" i="10"/>
  <c r="J68" i="10"/>
  <c r="J66" i="10"/>
  <c r="J64" i="10"/>
  <c r="J62" i="10"/>
  <c r="J111" i="10"/>
  <c r="J109" i="10"/>
  <c r="J107" i="10"/>
  <c r="J105" i="10"/>
  <c r="J103" i="10"/>
  <c r="J101" i="10"/>
  <c r="J99" i="10"/>
  <c r="J97" i="10"/>
  <c r="J95" i="10"/>
  <c r="J140" i="10"/>
  <c r="J138" i="10"/>
  <c r="J136" i="10"/>
  <c r="J134" i="10"/>
  <c r="J132" i="10"/>
  <c r="J130" i="10"/>
  <c r="J128" i="10"/>
  <c r="J126" i="10"/>
  <c r="J124" i="10"/>
  <c r="J122" i="10"/>
  <c r="J120" i="10"/>
  <c r="J145" i="10"/>
  <c r="J167" i="10"/>
  <c r="J165" i="10"/>
  <c r="J163" i="10"/>
  <c r="J161" i="10"/>
  <c r="J159" i="10"/>
  <c r="J157" i="10"/>
  <c r="J155" i="10"/>
  <c r="J153" i="10"/>
  <c r="J151" i="10"/>
  <c r="J149" i="10"/>
  <c r="O42" i="8"/>
  <c r="O43" i="8"/>
  <c r="O38" i="8"/>
  <c r="C14" i="10" l="1"/>
  <c r="M21" i="10"/>
  <c r="D39" i="11"/>
  <c r="E39" i="11"/>
  <c r="F39" i="11"/>
  <c r="G39" i="11"/>
  <c r="H39" i="11"/>
  <c r="I39" i="11"/>
  <c r="J39" i="11"/>
  <c r="K39" i="11"/>
  <c r="L39" i="11"/>
  <c r="M39" i="11"/>
  <c r="N39" i="11"/>
  <c r="C39" i="11"/>
  <c r="D60" i="11"/>
  <c r="E60" i="11"/>
  <c r="F60" i="11"/>
  <c r="G60" i="11"/>
  <c r="H60" i="11"/>
  <c r="I60" i="11"/>
  <c r="J60" i="11"/>
  <c r="K60" i="11"/>
  <c r="L60" i="11"/>
  <c r="M60" i="11"/>
  <c r="N60" i="11"/>
  <c r="C60" i="11"/>
  <c r="F88" i="5"/>
  <c r="G82" i="5"/>
  <c r="H82" i="5"/>
  <c r="I82" i="5"/>
  <c r="J82" i="5"/>
  <c r="K82" i="5"/>
  <c r="L82" i="5"/>
  <c r="M82" i="5"/>
  <c r="N82" i="5"/>
  <c r="O82" i="5"/>
  <c r="P82" i="5"/>
  <c r="G81" i="5"/>
  <c r="H81" i="5"/>
  <c r="I81" i="5"/>
  <c r="J81" i="5"/>
  <c r="K81" i="5"/>
  <c r="L81" i="5"/>
  <c r="M81" i="5"/>
  <c r="N81" i="5"/>
  <c r="O81" i="5"/>
  <c r="P81" i="5"/>
  <c r="F81" i="5"/>
  <c r="F83" i="5"/>
  <c r="C15" i="10" l="1"/>
  <c r="F77" i="5"/>
  <c r="G77" i="5"/>
  <c r="H77" i="5"/>
  <c r="I77" i="5"/>
  <c r="J77" i="5"/>
  <c r="K77" i="5"/>
  <c r="L77" i="5"/>
  <c r="M77" i="5"/>
  <c r="N77" i="5"/>
  <c r="O77" i="5"/>
  <c r="P77" i="5"/>
  <c r="E77" i="5"/>
  <c r="D135" i="11"/>
  <c r="E135" i="11"/>
  <c r="F135" i="11"/>
  <c r="G135" i="11"/>
  <c r="H135" i="11"/>
  <c r="I135" i="11"/>
  <c r="J135" i="11"/>
  <c r="K135" i="11"/>
  <c r="L135" i="11"/>
  <c r="M135" i="11"/>
  <c r="N135" i="11"/>
  <c r="D136" i="11"/>
  <c r="E136" i="11"/>
  <c r="F136" i="11"/>
  <c r="G136" i="11"/>
  <c r="H136" i="11"/>
  <c r="I136" i="11"/>
  <c r="J136" i="11"/>
  <c r="K136" i="11"/>
  <c r="L136" i="11"/>
  <c r="M136" i="11"/>
  <c r="N136" i="11"/>
  <c r="D137" i="11"/>
  <c r="E137" i="11"/>
  <c r="F137" i="11"/>
  <c r="G137" i="11"/>
  <c r="H137" i="11"/>
  <c r="I137" i="11"/>
  <c r="J137" i="11"/>
  <c r="K137" i="11"/>
  <c r="L137" i="11"/>
  <c r="M137" i="11"/>
  <c r="N137" i="11"/>
  <c r="C137" i="11"/>
  <c r="C136" i="11"/>
  <c r="C135" i="11"/>
  <c r="D113" i="11"/>
  <c r="E113" i="11"/>
  <c r="F113" i="11"/>
  <c r="G113" i="11"/>
  <c r="H113" i="11"/>
  <c r="I113" i="11"/>
  <c r="J113" i="11"/>
  <c r="K113" i="11"/>
  <c r="L113" i="11"/>
  <c r="M113" i="11"/>
  <c r="N113" i="11"/>
  <c r="D114" i="11"/>
  <c r="E114" i="11"/>
  <c r="F114" i="11"/>
  <c r="G114" i="11"/>
  <c r="H114" i="11"/>
  <c r="I114" i="11"/>
  <c r="J114" i="11"/>
  <c r="K114" i="11"/>
  <c r="L114" i="11"/>
  <c r="M114" i="11"/>
  <c r="N114" i="11"/>
  <c r="C114" i="11"/>
  <c r="C113" i="11"/>
  <c r="D92" i="11"/>
  <c r="E92" i="11"/>
  <c r="F92" i="11"/>
  <c r="G92" i="11"/>
  <c r="H92" i="11"/>
  <c r="I92" i="11"/>
  <c r="J92" i="11"/>
  <c r="K92" i="11"/>
  <c r="L92" i="11"/>
  <c r="M92" i="11"/>
  <c r="N92" i="11"/>
  <c r="D93" i="11"/>
  <c r="E93" i="11"/>
  <c r="F93" i="11"/>
  <c r="G93" i="11"/>
  <c r="H93" i="11"/>
  <c r="I93" i="11"/>
  <c r="J93" i="11"/>
  <c r="K93" i="11"/>
  <c r="L93" i="11"/>
  <c r="M93" i="11"/>
  <c r="N93" i="11"/>
  <c r="C93" i="11"/>
  <c r="C92" i="11"/>
  <c r="D50" i="11"/>
  <c r="E50" i="11"/>
  <c r="F50" i="11"/>
  <c r="G50" i="11"/>
  <c r="H50" i="11"/>
  <c r="I50" i="11"/>
  <c r="J50" i="11"/>
  <c r="K50" i="11"/>
  <c r="L50" i="11"/>
  <c r="M50" i="11"/>
  <c r="N50" i="11"/>
  <c r="C50" i="11"/>
  <c r="D49" i="11"/>
  <c r="E49" i="11"/>
  <c r="F49" i="11"/>
  <c r="G49" i="11"/>
  <c r="H49" i="11"/>
  <c r="I49" i="11"/>
  <c r="J49" i="11"/>
  <c r="K49" i="11"/>
  <c r="L49" i="11"/>
  <c r="M49" i="11"/>
  <c r="N49" i="11"/>
  <c r="C49" i="11"/>
  <c r="D48" i="11"/>
  <c r="E48" i="11"/>
  <c r="F48" i="11"/>
  <c r="G48" i="11"/>
  <c r="H48" i="11"/>
  <c r="I48" i="11"/>
  <c r="J48" i="11"/>
  <c r="K48" i="11"/>
  <c r="L48" i="11"/>
  <c r="M48" i="11"/>
  <c r="N48" i="11"/>
  <c r="C48" i="11"/>
  <c r="D71" i="11"/>
  <c r="E71" i="11"/>
  <c r="F71" i="11"/>
  <c r="G71" i="11"/>
  <c r="H71" i="11"/>
  <c r="I71" i="11"/>
  <c r="J71" i="11"/>
  <c r="K71" i="11"/>
  <c r="L71" i="11"/>
  <c r="M71" i="11"/>
  <c r="N71" i="11"/>
  <c r="C71" i="11"/>
  <c r="D70" i="11"/>
  <c r="E70" i="11"/>
  <c r="F70" i="11"/>
  <c r="G70" i="11"/>
  <c r="H70" i="11"/>
  <c r="I70" i="11"/>
  <c r="J70" i="11"/>
  <c r="K70" i="11"/>
  <c r="L70" i="11"/>
  <c r="M70" i="11"/>
  <c r="N70" i="11"/>
  <c r="C70" i="11"/>
  <c r="D69" i="11"/>
  <c r="E69" i="11"/>
  <c r="F69" i="11"/>
  <c r="G69" i="11"/>
  <c r="H69" i="11"/>
  <c r="I69" i="11"/>
  <c r="J69" i="11"/>
  <c r="K69" i="11"/>
  <c r="L69" i="11"/>
  <c r="M69" i="11"/>
  <c r="N69" i="11"/>
  <c r="C69" i="11"/>
  <c r="Q68" i="5"/>
  <c r="Q69" i="5"/>
  <c r="Q70" i="5"/>
  <c r="Q71" i="5"/>
  <c r="C71" i="5" s="1"/>
  <c r="Q72" i="5"/>
  <c r="Q73" i="5"/>
  <c r="Q74" i="5"/>
  <c r="Q75" i="5"/>
  <c r="Q76" i="5"/>
  <c r="C67" i="11"/>
  <c r="C16" i="10" l="1"/>
  <c r="O113" i="11"/>
  <c r="O135" i="11"/>
  <c r="O92" i="11"/>
  <c r="O70" i="11"/>
  <c r="O136" i="11"/>
  <c r="O49" i="11"/>
  <c r="K47" i="9"/>
  <c r="K48" i="9"/>
  <c r="K49" i="9"/>
  <c r="K50" i="9"/>
  <c r="K51" i="9"/>
  <c r="K52" i="9"/>
  <c r="K53" i="9"/>
  <c r="K54" i="9"/>
  <c r="K55" i="9"/>
  <c r="K56" i="9"/>
  <c r="K57" i="9"/>
  <c r="K58" i="9"/>
  <c r="K59" i="9"/>
  <c r="K60" i="9"/>
  <c r="K61" i="9"/>
  <c r="K62" i="9"/>
  <c r="K63" i="9"/>
  <c r="K64" i="9"/>
  <c r="K65" i="9"/>
  <c r="K46" i="9"/>
  <c r="D217" i="8"/>
  <c r="U76" i="8"/>
  <c r="R70" i="8"/>
  <c r="R76" i="8"/>
  <c r="R85" i="8"/>
  <c r="R86" i="8"/>
  <c r="R93" i="8"/>
  <c r="L70" i="8"/>
  <c r="L76" i="8"/>
  <c r="C17" i="10" l="1"/>
  <c r="F101" i="5"/>
  <c r="G101" i="5"/>
  <c r="H101" i="5"/>
  <c r="I101" i="5"/>
  <c r="J101" i="5"/>
  <c r="K101" i="5"/>
  <c r="L101" i="5"/>
  <c r="M101" i="5"/>
  <c r="N101" i="5"/>
  <c r="O101" i="5"/>
  <c r="P101" i="5"/>
  <c r="F102" i="5"/>
  <c r="G102" i="5"/>
  <c r="H102" i="5"/>
  <c r="I102" i="5"/>
  <c r="J102" i="5"/>
  <c r="K102" i="5"/>
  <c r="L102" i="5"/>
  <c r="M102" i="5"/>
  <c r="N102" i="5"/>
  <c r="O102" i="5"/>
  <c r="P102" i="5"/>
  <c r="F103" i="5"/>
  <c r="G103" i="5"/>
  <c r="H103" i="5"/>
  <c r="I103" i="5"/>
  <c r="J103" i="5"/>
  <c r="K103" i="5"/>
  <c r="L103" i="5"/>
  <c r="M103" i="5"/>
  <c r="N103" i="5"/>
  <c r="O103" i="5"/>
  <c r="P103" i="5"/>
  <c r="F104" i="5"/>
  <c r="G104" i="5"/>
  <c r="H104" i="5"/>
  <c r="I104" i="5"/>
  <c r="J104" i="5"/>
  <c r="K104" i="5"/>
  <c r="L104" i="5"/>
  <c r="M104" i="5"/>
  <c r="N104" i="5"/>
  <c r="O104" i="5"/>
  <c r="P104" i="5"/>
  <c r="E104" i="5"/>
  <c r="E103" i="5"/>
  <c r="E101" i="5"/>
  <c r="E102" i="5"/>
  <c r="E179" i="8"/>
  <c r="F179" i="8"/>
  <c r="G179" i="8"/>
  <c r="H179" i="8"/>
  <c r="I179" i="8"/>
  <c r="J179" i="8"/>
  <c r="K179" i="8"/>
  <c r="L179" i="8"/>
  <c r="M179" i="8"/>
  <c r="N179" i="8"/>
  <c r="O179" i="8"/>
  <c r="E180" i="8"/>
  <c r="F180" i="8"/>
  <c r="G180" i="8"/>
  <c r="H180" i="8"/>
  <c r="I180" i="8"/>
  <c r="J180" i="8"/>
  <c r="K180" i="8"/>
  <c r="L180" i="8"/>
  <c r="M180" i="8"/>
  <c r="N180" i="8"/>
  <c r="O180" i="8"/>
  <c r="D180" i="8"/>
  <c r="D179" i="8"/>
  <c r="E176" i="8"/>
  <c r="F176" i="8"/>
  <c r="G176" i="8"/>
  <c r="H176" i="8"/>
  <c r="I176" i="8"/>
  <c r="J176" i="8"/>
  <c r="K176" i="8"/>
  <c r="L176" i="8"/>
  <c r="M176" i="8"/>
  <c r="N176" i="8"/>
  <c r="O176" i="8"/>
  <c r="E177" i="8"/>
  <c r="F177" i="8"/>
  <c r="G177" i="8"/>
  <c r="H177" i="8"/>
  <c r="I177" i="8"/>
  <c r="J177" i="8"/>
  <c r="K177" i="8"/>
  <c r="L177" i="8"/>
  <c r="M177" i="8"/>
  <c r="N177" i="8"/>
  <c r="O177" i="8"/>
  <c r="D177" i="8"/>
  <c r="D176" i="8"/>
  <c r="E173" i="8"/>
  <c r="F173" i="8"/>
  <c r="G173" i="8"/>
  <c r="H173" i="8"/>
  <c r="I173" i="8"/>
  <c r="J173" i="8"/>
  <c r="K173" i="8"/>
  <c r="L173" i="8"/>
  <c r="M173" i="8"/>
  <c r="N173" i="8"/>
  <c r="O173" i="8"/>
  <c r="E174" i="8"/>
  <c r="F174" i="8"/>
  <c r="G174" i="8"/>
  <c r="H174" i="8"/>
  <c r="I174" i="8"/>
  <c r="J174" i="8"/>
  <c r="K174" i="8"/>
  <c r="L174" i="8"/>
  <c r="M174" i="8"/>
  <c r="N174" i="8"/>
  <c r="O174" i="8"/>
  <c r="D174" i="8"/>
  <c r="D173" i="8"/>
  <c r="E171" i="8"/>
  <c r="F171" i="8"/>
  <c r="G171" i="8"/>
  <c r="H171" i="8"/>
  <c r="I171" i="8"/>
  <c r="J171" i="8"/>
  <c r="K171" i="8"/>
  <c r="L171" i="8"/>
  <c r="M171" i="8"/>
  <c r="N171" i="8"/>
  <c r="O171" i="8"/>
  <c r="D171" i="8"/>
  <c r="E170" i="8"/>
  <c r="F170" i="8"/>
  <c r="G170" i="8"/>
  <c r="H170" i="8"/>
  <c r="I170" i="8"/>
  <c r="J170" i="8"/>
  <c r="K170" i="8"/>
  <c r="L170" i="8"/>
  <c r="M170" i="8"/>
  <c r="N170" i="8"/>
  <c r="O170" i="8"/>
  <c r="D170" i="8"/>
  <c r="E217" i="8"/>
  <c r="F217" i="8"/>
  <c r="G217" i="8"/>
  <c r="H217" i="8"/>
  <c r="I217" i="8"/>
  <c r="J217" i="8"/>
  <c r="K217" i="8"/>
  <c r="L217" i="8"/>
  <c r="M217" i="8"/>
  <c r="N217" i="8"/>
  <c r="O217" i="8"/>
  <c r="E218" i="8"/>
  <c r="F218" i="8"/>
  <c r="G218" i="8"/>
  <c r="H218" i="8"/>
  <c r="I218" i="8"/>
  <c r="J218" i="8"/>
  <c r="K218" i="8"/>
  <c r="L218" i="8"/>
  <c r="M218" i="8"/>
  <c r="N218" i="8"/>
  <c r="O218" i="8"/>
  <c r="E219" i="8"/>
  <c r="F219" i="8"/>
  <c r="G219" i="8"/>
  <c r="H219" i="8"/>
  <c r="I219" i="8"/>
  <c r="J219" i="8"/>
  <c r="K219" i="8"/>
  <c r="L219" i="8"/>
  <c r="M219" i="8"/>
  <c r="N219" i="8"/>
  <c r="O219" i="8"/>
  <c r="D219" i="8"/>
  <c r="D218" i="8"/>
  <c r="E210" i="8"/>
  <c r="F210" i="8"/>
  <c r="G210" i="8"/>
  <c r="H210" i="8"/>
  <c r="I210" i="8"/>
  <c r="J210" i="8"/>
  <c r="K210" i="8"/>
  <c r="L210" i="8"/>
  <c r="M210" i="8"/>
  <c r="N210" i="8"/>
  <c r="O210" i="8"/>
  <c r="E211" i="8"/>
  <c r="F211" i="8"/>
  <c r="G211" i="8"/>
  <c r="H211" i="8"/>
  <c r="I211" i="8"/>
  <c r="J211" i="8"/>
  <c r="K211" i="8"/>
  <c r="L211" i="8"/>
  <c r="M211" i="8"/>
  <c r="N211" i="8"/>
  <c r="O211" i="8"/>
  <c r="E212" i="8"/>
  <c r="F212" i="8"/>
  <c r="G212" i="8"/>
  <c r="H212" i="8"/>
  <c r="I212" i="8"/>
  <c r="J212" i="8"/>
  <c r="K212" i="8"/>
  <c r="L212" i="8"/>
  <c r="M212" i="8"/>
  <c r="N212" i="8"/>
  <c r="O212" i="8"/>
  <c r="E213" i="8"/>
  <c r="F213" i="8"/>
  <c r="G213" i="8"/>
  <c r="H213" i="8"/>
  <c r="I213" i="8"/>
  <c r="J213" i="8"/>
  <c r="K213" i="8"/>
  <c r="L213" i="8"/>
  <c r="M213" i="8"/>
  <c r="N213" i="8"/>
  <c r="O213" i="8"/>
  <c r="D213" i="8"/>
  <c r="D212" i="8"/>
  <c r="D211" i="8"/>
  <c r="D210" i="8"/>
  <c r="E209" i="8"/>
  <c r="F209" i="8"/>
  <c r="G209" i="8"/>
  <c r="H209" i="8"/>
  <c r="I209" i="8"/>
  <c r="J209" i="8"/>
  <c r="K209" i="8"/>
  <c r="L209" i="8"/>
  <c r="M209" i="8"/>
  <c r="N209" i="8"/>
  <c r="O209" i="8"/>
  <c r="D209" i="8"/>
  <c r="L21" i="5"/>
  <c r="M20" i="5"/>
  <c r="L17" i="5"/>
  <c r="M16" i="5"/>
  <c r="C18" i="10" l="1"/>
  <c r="D181" i="8"/>
  <c r="D404" i="8" s="1"/>
  <c r="Q103" i="5"/>
  <c r="J105" i="5"/>
  <c r="Q102" i="5"/>
  <c r="Q101" i="5"/>
  <c r="Q104" i="5"/>
  <c r="O181" i="8"/>
  <c r="K181" i="8"/>
  <c r="G181" i="8"/>
  <c r="N181" i="8"/>
  <c r="J181" i="8"/>
  <c r="F181" i="8"/>
  <c r="M181" i="8"/>
  <c r="I181" i="8"/>
  <c r="E181" i="8"/>
  <c r="L181" i="8"/>
  <c r="H181" i="8"/>
  <c r="K105" i="5"/>
  <c r="N105" i="5"/>
  <c r="F105" i="5"/>
  <c r="I105" i="5"/>
  <c r="M105" i="5"/>
  <c r="P105" i="5"/>
  <c r="H105" i="5"/>
  <c r="L105" i="5"/>
  <c r="O105" i="5"/>
  <c r="G105" i="5"/>
  <c r="I178" i="8"/>
  <c r="H175" i="8"/>
  <c r="H178" i="8"/>
  <c r="M175" i="8"/>
  <c r="M178" i="8"/>
  <c r="E175" i="8"/>
  <c r="E178" i="8"/>
  <c r="K178" i="8"/>
  <c r="N178" i="8"/>
  <c r="F178" i="8"/>
  <c r="O178" i="8"/>
  <c r="G178" i="8"/>
  <c r="E105" i="5"/>
  <c r="L172" i="8"/>
  <c r="O175" i="8"/>
  <c r="P171" i="8"/>
  <c r="G175" i="8"/>
  <c r="J172" i="8"/>
  <c r="P170" i="8"/>
  <c r="P177" i="8"/>
  <c r="L178" i="8"/>
  <c r="K172" i="8"/>
  <c r="I175" i="8"/>
  <c r="E172" i="8"/>
  <c r="M172" i="8"/>
  <c r="N172" i="8"/>
  <c r="F172" i="8"/>
  <c r="J175" i="8"/>
  <c r="O172" i="8"/>
  <c r="G172" i="8"/>
  <c r="K175" i="8"/>
  <c r="N175" i="8"/>
  <c r="F175" i="8"/>
  <c r="J178" i="8"/>
  <c r="H172" i="8"/>
  <c r="L175" i="8"/>
  <c r="I172" i="8"/>
  <c r="P179" i="8"/>
  <c r="P176" i="8"/>
  <c r="P173" i="8"/>
  <c r="P174" i="8"/>
  <c r="D175" i="8"/>
  <c r="P180" i="8"/>
  <c r="D178" i="8"/>
  <c r="D172" i="8"/>
  <c r="C19" i="10" l="1"/>
  <c r="D105" i="5"/>
  <c r="J403" i="8"/>
  <c r="K401" i="8"/>
  <c r="F403" i="8"/>
  <c r="H402" i="8"/>
  <c r="F404" i="8"/>
  <c r="O401" i="8"/>
  <c r="L403" i="8"/>
  <c r="N403" i="8"/>
  <c r="I403" i="8"/>
  <c r="E404" i="8"/>
  <c r="J404" i="8"/>
  <c r="O404" i="8"/>
  <c r="L402" i="8"/>
  <c r="N402" i="8"/>
  <c r="J402" i="8"/>
  <c r="E401" i="8"/>
  <c r="G403" i="8"/>
  <c r="K403" i="8"/>
  <c r="M402" i="8"/>
  <c r="L404" i="8"/>
  <c r="I404" i="8"/>
  <c r="N404" i="8"/>
  <c r="D401" i="8"/>
  <c r="G401" i="8"/>
  <c r="J401" i="8"/>
  <c r="E402" i="8"/>
  <c r="D403" i="8"/>
  <c r="I401" i="8"/>
  <c r="F402" i="8"/>
  <c r="M401" i="8"/>
  <c r="G402" i="8"/>
  <c r="M403" i="8"/>
  <c r="D402" i="8"/>
  <c r="P181" i="8"/>
  <c r="H401" i="8"/>
  <c r="K402" i="8"/>
  <c r="F401" i="8"/>
  <c r="I402" i="8"/>
  <c r="O402" i="8"/>
  <c r="O403" i="8"/>
  <c r="E403" i="8"/>
  <c r="H403" i="8"/>
  <c r="M404" i="8"/>
  <c r="G404" i="8"/>
  <c r="K404" i="8"/>
  <c r="N401" i="8"/>
  <c r="L401" i="8"/>
  <c r="H404" i="8"/>
  <c r="M182" i="8"/>
  <c r="K182" i="8"/>
  <c r="H182" i="8"/>
  <c r="P178" i="8"/>
  <c r="G182" i="8"/>
  <c r="O182" i="8"/>
  <c r="E182" i="8"/>
  <c r="J182" i="8"/>
  <c r="F182" i="8"/>
  <c r="L182" i="8"/>
  <c r="I182" i="8"/>
  <c r="N182" i="8"/>
  <c r="P172" i="8"/>
  <c r="P175" i="8"/>
  <c r="D182" i="8"/>
  <c r="P402" i="8" l="1"/>
  <c r="P404" i="8"/>
  <c r="C20" i="10"/>
  <c r="P403" i="8"/>
  <c r="P401" i="8"/>
  <c r="R101" i="5"/>
  <c r="R104" i="5"/>
  <c r="R103" i="5"/>
  <c r="R102" i="5"/>
  <c r="N405" i="8"/>
  <c r="F405" i="8"/>
  <c r="I405" i="8"/>
  <c r="O405" i="8"/>
  <c r="J405" i="8"/>
  <c r="K405" i="8"/>
  <c r="M405" i="8"/>
  <c r="L405" i="8"/>
  <c r="D405" i="8"/>
  <c r="H405" i="8"/>
  <c r="G405" i="8"/>
  <c r="E405" i="8"/>
  <c r="P182" i="8"/>
  <c r="P405" i="8" l="1"/>
  <c r="P218" i="8"/>
  <c r="D189" i="8"/>
  <c r="D747" i="8"/>
  <c r="E747" i="8"/>
  <c r="F747" i="8"/>
  <c r="G747" i="8"/>
  <c r="H747" i="8"/>
  <c r="I747" i="8"/>
  <c r="J747" i="8"/>
  <c r="K747" i="8"/>
  <c r="L747" i="8"/>
  <c r="M747" i="8"/>
  <c r="N747" i="8"/>
  <c r="O747" i="8"/>
  <c r="D748" i="8"/>
  <c r="E748" i="8"/>
  <c r="F748" i="8"/>
  <c r="G748" i="8"/>
  <c r="H748" i="8"/>
  <c r="I748" i="8"/>
  <c r="J748" i="8"/>
  <c r="K748" i="8"/>
  <c r="L748" i="8"/>
  <c r="M748" i="8"/>
  <c r="N748" i="8"/>
  <c r="O748" i="8"/>
  <c r="D749" i="8"/>
  <c r="E749" i="8"/>
  <c r="F749" i="8"/>
  <c r="G749" i="8"/>
  <c r="H749" i="8"/>
  <c r="I749" i="8"/>
  <c r="J749" i="8"/>
  <c r="K749" i="8"/>
  <c r="L749" i="8"/>
  <c r="M749" i="8"/>
  <c r="N749" i="8"/>
  <c r="O749" i="8"/>
  <c r="D750" i="8"/>
  <c r="E750" i="8"/>
  <c r="F750" i="8"/>
  <c r="G750" i="8"/>
  <c r="H750" i="8"/>
  <c r="I750" i="8"/>
  <c r="J750" i="8"/>
  <c r="K750" i="8"/>
  <c r="L750" i="8"/>
  <c r="M750" i="8"/>
  <c r="N750" i="8"/>
  <c r="O750" i="8"/>
  <c r="D751" i="8"/>
  <c r="E751" i="8"/>
  <c r="F751" i="8"/>
  <c r="G751" i="8"/>
  <c r="H751" i="8"/>
  <c r="I751" i="8"/>
  <c r="J751" i="8"/>
  <c r="K751" i="8"/>
  <c r="L751" i="8"/>
  <c r="M751" i="8"/>
  <c r="N751" i="8"/>
  <c r="O751" i="8"/>
  <c r="D739" i="8"/>
  <c r="E739" i="8"/>
  <c r="F739" i="8"/>
  <c r="G739" i="8"/>
  <c r="H739" i="8"/>
  <c r="I739" i="8"/>
  <c r="J739" i="8"/>
  <c r="K739" i="8"/>
  <c r="L739" i="8"/>
  <c r="M739" i="8"/>
  <c r="N739" i="8"/>
  <c r="O739" i="8"/>
  <c r="D740" i="8"/>
  <c r="E740" i="8"/>
  <c r="F740" i="8"/>
  <c r="G740" i="8"/>
  <c r="H740" i="8"/>
  <c r="I740" i="8"/>
  <c r="J740" i="8"/>
  <c r="K740" i="8"/>
  <c r="L740" i="8"/>
  <c r="M740" i="8"/>
  <c r="N740" i="8"/>
  <c r="O740" i="8"/>
  <c r="D741" i="8"/>
  <c r="E741" i="8"/>
  <c r="F741" i="8"/>
  <c r="G741" i="8"/>
  <c r="H741" i="8"/>
  <c r="I741" i="8"/>
  <c r="J741" i="8"/>
  <c r="K741" i="8"/>
  <c r="L741" i="8"/>
  <c r="M741" i="8"/>
  <c r="N741" i="8"/>
  <c r="O741" i="8"/>
  <c r="D742" i="8"/>
  <c r="E742" i="8"/>
  <c r="F742" i="8"/>
  <c r="G742" i="8"/>
  <c r="H742" i="8"/>
  <c r="I742" i="8"/>
  <c r="J742" i="8"/>
  <c r="K742" i="8"/>
  <c r="L742" i="8"/>
  <c r="M742" i="8"/>
  <c r="N742" i="8"/>
  <c r="O742" i="8"/>
  <c r="D743" i="8"/>
  <c r="E743" i="8"/>
  <c r="F743" i="8"/>
  <c r="G743" i="8"/>
  <c r="H743" i="8"/>
  <c r="I743" i="8"/>
  <c r="J743" i="8"/>
  <c r="K743" i="8"/>
  <c r="L743" i="8"/>
  <c r="M743" i="8"/>
  <c r="N743" i="8"/>
  <c r="O743" i="8"/>
  <c r="D744" i="8"/>
  <c r="E744" i="8"/>
  <c r="F744" i="8"/>
  <c r="G744" i="8"/>
  <c r="H744" i="8"/>
  <c r="I744" i="8"/>
  <c r="J744" i="8"/>
  <c r="K744" i="8"/>
  <c r="L744" i="8"/>
  <c r="M744" i="8"/>
  <c r="N744" i="8"/>
  <c r="O744" i="8"/>
  <c r="D745" i="8"/>
  <c r="E745" i="8"/>
  <c r="F745" i="8"/>
  <c r="G745" i="8"/>
  <c r="H745" i="8"/>
  <c r="I745" i="8"/>
  <c r="J745" i="8"/>
  <c r="K745" i="8"/>
  <c r="L745" i="8"/>
  <c r="M745" i="8"/>
  <c r="N745" i="8"/>
  <c r="O745" i="8"/>
  <c r="D746" i="8"/>
  <c r="E746" i="8"/>
  <c r="F746" i="8"/>
  <c r="G746" i="8"/>
  <c r="H746" i="8"/>
  <c r="I746" i="8"/>
  <c r="J746" i="8"/>
  <c r="K746" i="8"/>
  <c r="L746" i="8"/>
  <c r="M746" i="8"/>
  <c r="N746" i="8"/>
  <c r="O746" i="8"/>
  <c r="D154" i="8"/>
  <c r="E154" i="8"/>
  <c r="F154" i="8"/>
  <c r="G154" i="8"/>
  <c r="H154" i="8"/>
  <c r="I154" i="8"/>
  <c r="J154" i="8"/>
  <c r="K154" i="8"/>
  <c r="L154" i="8"/>
  <c r="M154" i="8"/>
  <c r="N154" i="8"/>
  <c r="O154" i="8"/>
  <c r="D155" i="8"/>
  <c r="E155" i="8"/>
  <c r="F155" i="8"/>
  <c r="G155" i="8"/>
  <c r="H155" i="8"/>
  <c r="I155" i="8"/>
  <c r="J155" i="8"/>
  <c r="K155" i="8"/>
  <c r="L155" i="8"/>
  <c r="M155" i="8"/>
  <c r="N155" i="8"/>
  <c r="O155" i="8"/>
  <c r="D157" i="8"/>
  <c r="E157" i="8"/>
  <c r="F157" i="8"/>
  <c r="G157" i="8"/>
  <c r="H157" i="8"/>
  <c r="I157" i="8"/>
  <c r="J157" i="8"/>
  <c r="K157" i="8"/>
  <c r="L157" i="8"/>
  <c r="M157" i="8"/>
  <c r="N157" i="8"/>
  <c r="O157" i="8"/>
  <c r="D158" i="8"/>
  <c r="E158" i="8"/>
  <c r="F158" i="8"/>
  <c r="G158" i="8"/>
  <c r="H158" i="8"/>
  <c r="I158" i="8"/>
  <c r="J158" i="8"/>
  <c r="K158" i="8"/>
  <c r="L158" i="8"/>
  <c r="M158" i="8"/>
  <c r="N158" i="8"/>
  <c r="O158" i="8"/>
  <c r="D160" i="8"/>
  <c r="E160" i="8"/>
  <c r="F160" i="8"/>
  <c r="G160" i="8"/>
  <c r="H160" i="8"/>
  <c r="I160" i="8"/>
  <c r="J160" i="8"/>
  <c r="K160" i="8"/>
  <c r="L160" i="8"/>
  <c r="M160" i="8"/>
  <c r="N160" i="8"/>
  <c r="O160" i="8"/>
  <c r="D161" i="8"/>
  <c r="E161" i="8"/>
  <c r="F161" i="8"/>
  <c r="G161" i="8"/>
  <c r="H161" i="8"/>
  <c r="I161" i="8"/>
  <c r="J161" i="8"/>
  <c r="K161" i="8"/>
  <c r="L161" i="8"/>
  <c r="M161" i="8"/>
  <c r="N161" i="8"/>
  <c r="O161" i="8"/>
  <c r="D163" i="8"/>
  <c r="E163" i="8"/>
  <c r="F163" i="8"/>
  <c r="G163" i="8"/>
  <c r="H163" i="8"/>
  <c r="I163" i="8"/>
  <c r="J163" i="8"/>
  <c r="K163" i="8"/>
  <c r="L163" i="8"/>
  <c r="M163" i="8"/>
  <c r="N163" i="8"/>
  <c r="O163" i="8"/>
  <c r="D164" i="8"/>
  <c r="E164" i="8"/>
  <c r="F164" i="8"/>
  <c r="G164" i="8"/>
  <c r="H164" i="8"/>
  <c r="I164" i="8"/>
  <c r="J164" i="8"/>
  <c r="K164" i="8"/>
  <c r="L164" i="8"/>
  <c r="M164" i="8"/>
  <c r="N164" i="8"/>
  <c r="O164" i="8"/>
  <c r="F97" i="5"/>
  <c r="D31" i="11" s="1"/>
  <c r="G97" i="5"/>
  <c r="E31" i="11" s="1"/>
  <c r="H97" i="5"/>
  <c r="F31" i="11" s="1"/>
  <c r="I97" i="5"/>
  <c r="G31" i="11" s="1"/>
  <c r="J97" i="5"/>
  <c r="H31" i="11" s="1"/>
  <c r="K97" i="5"/>
  <c r="I31" i="11" s="1"/>
  <c r="L97" i="5"/>
  <c r="J31" i="11" s="1"/>
  <c r="M97" i="5"/>
  <c r="K31" i="11" s="1"/>
  <c r="N97" i="5"/>
  <c r="L31" i="11" s="1"/>
  <c r="O97" i="5"/>
  <c r="M31" i="11" s="1"/>
  <c r="P97" i="5"/>
  <c r="N31" i="11" s="1"/>
  <c r="E97" i="5"/>
  <c r="C31" i="11" s="1"/>
  <c r="F96" i="5"/>
  <c r="D30" i="11" s="1"/>
  <c r="G96" i="5"/>
  <c r="E30" i="11" s="1"/>
  <c r="H96" i="5"/>
  <c r="F30" i="11" s="1"/>
  <c r="I96" i="5"/>
  <c r="G30" i="11" s="1"/>
  <c r="J96" i="5"/>
  <c r="H30" i="11" s="1"/>
  <c r="K96" i="5"/>
  <c r="I30" i="11" s="1"/>
  <c r="L96" i="5"/>
  <c r="J30" i="11" s="1"/>
  <c r="M96" i="5"/>
  <c r="K30" i="11" s="1"/>
  <c r="N96" i="5"/>
  <c r="L30" i="11" s="1"/>
  <c r="O96" i="5"/>
  <c r="M30" i="11" s="1"/>
  <c r="P96" i="5"/>
  <c r="N30" i="11" s="1"/>
  <c r="E96" i="5"/>
  <c r="F95" i="5"/>
  <c r="D29" i="11" s="1"/>
  <c r="G95" i="5"/>
  <c r="E29" i="11" s="1"/>
  <c r="H95" i="5"/>
  <c r="F29" i="11" s="1"/>
  <c r="I95" i="5"/>
  <c r="G29" i="11" s="1"/>
  <c r="J95" i="5"/>
  <c r="H29" i="11" s="1"/>
  <c r="K95" i="5"/>
  <c r="I29" i="11" s="1"/>
  <c r="L95" i="5"/>
  <c r="J29" i="11" s="1"/>
  <c r="M95" i="5"/>
  <c r="K29" i="11" s="1"/>
  <c r="N95" i="5"/>
  <c r="L29" i="11" s="1"/>
  <c r="O95" i="5"/>
  <c r="M29" i="11" s="1"/>
  <c r="P95" i="5"/>
  <c r="N29" i="11" s="1"/>
  <c r="E95" i="5"/>
  <c r="C29" i="11" s="1"/>
  <c r="F94" i="5"/>
  <c r="D28" i="11" s="1"/>
  <c r="G94" i="5"/>
  <c r="H94" i="5"/>
  <c r="I94" i="5"/>
  <c r="G28" i="11" s="1"/>
  <c r="J94" i="5"/>
  <c r="H28" i="11" s="1"/>
  <c r="K94" i="5"/>
  <c r="I28" i="11" s="1"/>
  <c r="L94" i="5"/>
  <c r="M94" i="5"/>
  <c r="N94" i="5"/>
  <c r="O94" i="5"/>
  <c r="P94" i="5"/>
  <c r="E94" i="5"/>
  <c r="C28" i="11" s="1"/>
  <c r="M98" i="5" l="1"/>
  <c r="K28" i="11"/>
  <c r="K32" i="11" s="1"/>
  <c r="K33" i="11" s="1"/>
  <c r="E98" i="5"/>
  <c r="H32" i="11"/>
  <c r="H33" i="11" s="1"/>
  <c r="J98" i="5"/>
  <c r="D32" i="11"/>
  <c r="D33" i="11" s="1"/>
  <c r="Q96" i="5"/>
  <c r="O30" i="11" s="1"/>
  <c r="C30" i="11"/>
  <c r="C32" i="11" s="1"/>
  <c r="C33" i="11" s="1"/>
  <c r="Q95" i="5"/>
  <c r="O29" i="11" s="1"/>
  <c r="K98" i="5"/>
  <c r="I32" i="11"/>
  <c r="I33" i="11" s="1"/>
  <c r="P98" i="5"/>
  <c r="N28" i="11"/>
  <c r="N32" i="11" s="1"/>
  <c r="N33" i="11" s="1"/>
  <c r="O98" i="5"/>
  <c r="M28" i="11"/>
  <c r="M32" i="11" s="1"/>
  <c r="M33" i="11" s="1"/>
  <c r="N98" i="5"/>
  <c r="L28" i="11"/>
  <c r="L32" i="11" s="1"/>
  <c r="L33" i="11" s="1"/>
  <c r="L98" i="5"/>
  <c r="J28" i="11"/>
  <c r="J32" i="11" s="1"/>
  <c r="J33" i="11" s="1"/>
  <c r="G32" i="11"/>
  <c r="G33" i="11" s="1"/>
  <c r="H98" i="5"/>
  <c r="F28" i="11"/>
  <c r="F32" i="11" s="1"/>
  <c r="F33" i="11" s="1"/>
  <c r="G98" i="5"/>
  <c r="E28" i="11"/>
  <c r="E32" i="11" s="1"/>
  <c r="E33" i="11" s="1"/>
  <c r="I98" i="5"/>
  <c r="F98" i="5"/>
  <c r="Q97" i="5"/>
  <c r="O31" i="11" s="1"/>
  <c r="D277" i="8"/>
  <c r="Q94" i="5"/>
  <c r="O28" i="11" s="1"/>
  <c r="D252" i="8"/>
  <c r="P213" i="8"/>
  <c r="P219" i="8"/>
  <c r="U53" i="8" s="1"/>
  <c r="P217" i="8"/>
  <c r="R53" i="8" s="1"/>
  <c r="P210" i="8"/>
  <c r="O52" i="8" s="1"/>
  <c r="P212" i="8"/>
  <c r="P211" i="8"/>
  <c r="P209" i="8"/>
  <c r="O156" i="8"/>
  <c r="G156" i="8"/>
  <c r="J156" i="8"/>
  <c r="K156" i="8"/>
  <c r="J159" i="8"/>
  <c r="L156" i="8"/>
  <c r="P154" i="8"/>
  <c r="G165" i="8"/>
  <c r="K165" i="8"/>
  <c r="K159" i="8"/>
  <c r="M156" i="8"/>
  <c r="E156" i="8"/>
  <c r="H165" i="8"/>
  <c r="L165" i="8"/>
  <c r="L159" i="8"/>
  <c r="N156" i="8"/>
  <c r="F156" i="8"/>
  <c r="I162" i="8"/>
  <c r="I159" i="8"/>
  <c r="O165" i="8"/>
  <c r="F162" i="8"/>
  <c r="I165" i="8"/>
  <c r="O162" i="8"/>
  <c r="G162" i="8"/>
  <c r="N162" i="8"/>
  <c r="J165" i="8"/>
  <c r="H162" i="8"/>
  <c r="P163" i="8"/>
  <c r="E165" i="8"/>
  <c r="M159" i="8"/>
  <c r="N165" i="8"/>
  <c r="F165" i="8"/>
  <c r="K162" i="8"/>
  <c r="N159" i="8"/>
  <c r="F159" i="8"/>
  <c r="I156" i="8"/>
  <c r="P161" i="8"/>
  <c r="J162" i="8"/>
  <c r="E159" i="8"/>
  <c r="L162" i="8"/>
  <c r="P160" i="8"/>
  <c r="O159" i="8"/>
  <c r="G159" i="8"/>
  <c r="P158" i="8"/>
  <c r="P157" i="8"/>
  <c r="M165" i="8"/>
  <c r="H156" i="8"/>
  <c r="P164" i="8"/>
  <c r="M162" i="8"/>
  <c r="E162" i="8"/>
  <c r="H159" i="8"/>
  <c r="P155" i="8"/>
  <c r="D159" i="8"/>
  <c r="D165" i="8"/>
  <c r="D156" i="8"/>
  <c r="D162" i="8"/>
  <c r="O32" i="11" l="1"/>
  <c r="O33" i="11" s="1"/>
  <c r="C209" i="8"/>
  <c r="L52" i="8"/>
  <c r="R52" i="8"/>
  <c r="U52" i="8"/>
  <c r="C210" i="8"/>
  <c r="D98" i="5"/>
  <c r="C211" i="8"/>
  <c r="C213" i="8"/>
  <c r="K166" i="8"/>
  <c r="L166" i="8"/>
  <c r="J166" i="8"/>
  <c r="E166" i="8"/>
  <c r="O166" i="8"/>
  <c r="N166" i="8"/>
  <c r="F166" i="8"/>
  <c r="I166" i="8"/>
  <c r="G166" i="8"/>
  <c r="M166" i="8"/>
  <c r="P162" i="8"/>
  <c r="P159" i="8"/>
  <c r="P165" i="8"/>
  <c r="H166" i="8"/>
  <c r="P156" i="8"/>
  <c r="D166" i="8"/>
  <c r="R94" i="5" l="1"/>
  <c r="T12" i="10" s="1"/>
  <c r="R97" i="5"/>
  <c r="T15" i="10" s="1"/>
  <c r="R96" i="5"/>
  <c r="T14" i="10" s="1"/>
  <c r="R95" i="5"/>
  <c r="T13" i="10" s="1"/>
  <c r="C214" i="8"/>
  <c r="P166" i="8"/>
  <c r="Q8" i="7" l="1"/>
  <c r="Q12" i="7"/>
  <c r="Q16" i="7"/>
  <c r="Q20" i="7"/>
  <c r="Q24" i="7"/>
  <c r="P40" i="9"/>
  <c r="P36" i="9"/>
  <c r="P32" i="9"/>
  <c r="P25" i="9"/>
  <c r="P21" i="9"/>
  <c r="P17" i="9"/>
  <c r="P13" i="9"/>
  <c r="P9" i="9"/>
  <c r="R61" i="7"/>
  <c r="R63" i="7"/>
  <c r="R64" i="7"/>
  <c r="R65" i="7"/>
  <c r="R66" i="7"/>
  <c r="B454" i="8"/>
  <c r="B455" i="8"/>
  <c r="B456" i="8"/>
  <c r="B457" i="8"/>
  <c r="B458" i="8"/>
  <c r="B459" i="8"/>
  <c r="B460" i="8"/>
  <c r="B461" i="8"/>
  <c r="B462" i="8"/>
  <c r="B463" i="8"/>
  <c r="B464" i="8"/>
  <c r="B465" i="8"/>
  <c r="B466" i="8"/>
  <c r="B467" i="8"/>
  <c r="B468" i="8"/>
  <c r="B469" i="8"/>
  <c r="B470" i="8"/>
  <c r="B453" i="8"/>
  <c r="B415" i="8"/>
  <c r="B416" i="8"/>
  <c r="B417" i="8"/>
  <c r="B418" i="8"/>
  <c r="B419" i="8"/>
  <c r="B420" i="8"/>
  <c r="B421" i="8"/>
  <c r="B422" i="8"/>
  <c r="B423" i="8"/>
  <c r="B424" i="8"/>
  <c r="B425" i="8"/>
  <c r="B426" i="8"/>
  <c r="B427" i="8"/>
  <c r="B428" i="8"/>
  <c r="B429" i="8"/>
  <c r="B430" i="8"/>
  <c r="B431" i="8"/>
  <c r="B432" i="8"/>
  <c r="B433" i="8"/>
  <c r="B434" i="8"/>
  <c r="B435" i="8"/>
  <c r="B436" i="8"/>
  <c r="B437" i="8"/>
  <c r="B438" i="8"/>
  <c r="B439" i="8"/>
  <c r="B440" i="8"/>
  <c r="B441" i="8"/>
  <c r="B442" i="8"/>
  <c r="B443" i="8"/>
  <c r="B444" i="8"/>
  <c r="B445" i="8"/>
  <c r="B446" i="8"/>
  <c r="B447" i="8"/>
  <c r="B448" i="8"/>
  <c r="B449" i="8"/>
  <c r="B412" i="8"/>
  <c r="B413" i="8"/>
  <c r="B414" i="8"/>
  <c r="B411" i="8"/>
  <c r="Z29" i="7" l="1"/>
  <c r="X29" i="7"/>
  <c r="S88" i="8" l="1"/>
  <c r="P88" i="8"/>
  <c r="M88" i="8"/>
  <c r="J88" i="8"/>
  <c r="S91" i="8"/>
  <c r="J91" i="8"/>
  <c r="P91" i="8"/>
  <c r="M91" i="8"/>
  <c r="S73" i="8"/>
  <c r="U73" i="8" s="1"/>
  <c r="M73" i="8"/>
  <c r="O73" i="8" s="1"/>
  <c r="P72" i="8"/>
  <c r="J72" i="8"/>
  <c r="J73" i="8"/>
  <c r="L73" i="8" s="1"/>
  <c r="M72" i="8"/>
  <c r="S75" i="8"/>
  <c r="U75" i="8" s="1"/>
  <c r="P75" i="8"/>
  <c r="R75" i="8" s="1"/>
  <c r="J75" i="8"/>
  <c r="L75" i="8" s="1"/>
  <c r="P74" i="8"/>
  <c r="R74" i="8" s="1"/>
  <c r="J74" i="8"/>
  <c r="L74" i="8" s="1"/>
  <c r="P73" i="8"/>
  <c r="R73" i="8" s="1"/>
  <c r="M74" i="8"/>
  <c r="O74" i="8" s="1"/>
  <c r="M75" i="8"/>
  <c r="O75" i="8" s="1"/>
  <c r="S72" i="8"/>
  <c r="S74" i="8"/>
  <c r="U74" i="8" s="1"/>
  <c r="S67" i="8"/>
  <c r="P65" i="8"/>
  <c r="M63" i="8"/>
  <c r="J61" i="8"/>
  <c r="J69" i="8"/>
  <c r="J67" i="8"/>
  <c r="S64" i="8"/>
  <c r="P62" i="8"/>
  <c r="P60" i="8"/>
  <c r="M68" i="8"/>
  <c r="J66" i="8"/>
  <c r="S66" i="8"/>
  <c r="P64" i="8"/>
  <c r="M62" i="8"/>
  <c r="M60" i="8"/>
  <c r="J68" i="8"/>
  <c r="S65" i="8"/>
  <c r="P63" i="8"/>
  <c r="M61" i="8"/>
  <c r="M69" i="8"/>
  <c r="S63" i="8"/>
  <c r="P61" i="8"/>
  <c r="P69" i="8"/>
  <c r="M67" i="8"/>
  <c r="J65" i="8"/>
  <c r="S69" i="8"/>
  <c r="M65" i="8"/>
  <c r="P66" i="8"/>
  <c r="J62" i="8"/>
  <c r="S62" i="8"/>
  <c r="S60" i="8"/>
  <c r="P68" i="8"/>
  <c r="M66" i="8"/>
  <c r="J64" i="8"/>
  <c r="S61" i="8"/>
  <c r="P67" i="8"/>
  <c r="J63" i="8"/>
  <c r="S68" i="8"/>
  <c r="M64" i="8"/>
  <c r="J60" i="8"/>
  <c r="B757" i="8"/>
  <c r="B758" i="8"/>
  <c r="B759" i="8"/>
  <c r="B760" i="8"/>
  <c r="B761" i="8"/>
  <c r="B762" i="8"/>
  <c r="B763" i="8"/>
  <c r="B764" i="8"/>
  <c r="B765" i="8"/>
  <c r="B766" i="8"/>
  <c r="B767" i="8"/>
  <c r="B768" i="8"/>
  <c r="B769" i="8"/>
  <c r="B770" i="8"/>
  <c r="B771" i="8"/>
  <c r="B772" i="8"/>
  <c r="B773" i="8"/>
  <c r="B756" i="8"/>
  <c r="B715" i="8"/>
  <c r="B716" i="8"/>
  <c r="B717" i="8"/>
  <c r="B718" i="8"/>
  <c r="B719" i="8"/>
  <c r="B720" i="8"/>
  <c r="B721" i="8"/>
  <c r="B722" i="8"/>
  <c r="B723" i="8"/>
  <c r="B724" i="8"/>
  <c r="B725" i="8"/>
  <c r="B726" i="8"/>
  <c r="B727" i="8"/>
  <c r="B728" i="8"/>
  <c r="B729" i="8"/>
  <c r="B730" i="8"/>
  <c r="B731" i="8"/>
  <c r="B732" i="8"/>
  <c r="B733" i="8"/>
  <c r="B734" i="8"/>
  <c r="B735" i="8"/>
  <c r="B736" i="8"/>
  <c r="B737" i="8"/>
  <c r="B738" i="8"/>
  <c r="B739" i="8"/>
  <c r="B740" i="8"/>
  <c r="B741" i="8"/>
  <c r="B742" i="8"/>
  <c r="B743" i="8"/>
  <c r="B744" i="8"/>
  <c r="B745" i="8"/>
  <c r="B746" i="8"/>
  <c r="B747" i="8"/>
  <c r="B748" i="8"/>
  <c r="B749" i="8"/>
  <c r="B750" i="8"/>
  <c r="B751" i="8"/>
  <c r="B752" i="8"/>
  <c r="B714" i="8"/>
  <c r="B679" i="8"/>
  <c r="B680" i="8"/>
  <c r="B681" i="8"/>
  <c r="B682" i="8"/>
  <c r="B683" i="8"/>
  <c r="B684" i="8"/>
  <c r="B685" i="8"/>
  <c r="B686" i="8"/>
  <c r="B687" i="8"/>
  <c r="B688" i="8"/>
  <c r="B689" i="8"/>
  <c r="B690" i="8"/>
  <c r="B691" i="8"/>
  <c r="B692" i="8"/>
  <c r="B693" i="8"/>
  <c r="B694" i="8"/>
  <c r="B695" i="8"/>
  <c r="B678" i="8"/>
  <c r="B638" i="8"/>
  <c r="B639" i="8"/>
  <c r="B640" i="8"/>
  <c r="B641" i="8"/>
  <c r="B642" i="8"/>
  <c r="B643" i="8"/>
  <c r="B644" i="8"/>
  <c r="B645" i="8"/>
  <c r="B646" i="8"/>
  <c r="B647" i="8"/>
  <c r="B648" i="8"/>
  <c r="B649" i="8"/>
  <c r="B650" i="8"/>
  <c r="B651" i="8"/>
  <c r="B652" i="8"/>
  <c r="B653" i="8"/>
  <c r="B654" i="8"/>
  <c r="B655" i="8"/>
  <c r="B656" i="8"/>
  <c r="B657" i="8"/>
  <c r="B658" i="8"/>
  <c r="B659" i="8"/>
  <c r="B660" i="8"/>
  <c r="B661" i="8"/>
  <c r="B662" i="8"/>
  <c r="B663" i="8"/>
  <c r="B664" i="8"/>
  <c r="B665" i="8"/>
  <c r="B666" i="8"/>
  <c r="B667" i="8"/>
  <c r="B668" i="8"/>
  <c r="B669" i="8"/>
  <c r="B670" i="8"/>
  <c r="B671" i="8"/>
  <c r="B672" i="8"/>
  <c r="B673" i="8"/>
  <c r="B674" i="8"/>
  <c r="B675" i="8"/>
  <c r="B637" i="8"/>
  <c r="B604" i="8"/>
  <c r="B605" i="8"/>
  <c r="B606" i="8"/>
  <c r="B607" i="8"/>
  <c r="B608" i="8"/>
  <c r="B609" i="8"/>
  <c r="B610" i="8"/>
  <c r="B611" i="8"/>
  <c r="B612" i="8"/>
  <c r="B613" i="8"/>
  <c r="B614" i="8"/>
  <c r="B615" i="8"/>
  <c r="B616" i="8"/>
  <c r="B617" i="8"/>
  <c r="B618" i="8"/>
  <c r="B619" i="8"/>
  <c r="B620" i="8"/>
  <c r="B603" i="8"/>
  <c r="B563" i="8"/>
  <c r="B564" i="8"/>
  <c r="B565" i="8"/>
  <c r="B566" i="8"/>
  <c r="B567" i="8"/>
  <c r="B568" i="8"/>
  <c r="B569" i="8"/>
  <c r="B570" i="8"/>
  <c r="B571" i="8"/>
  <c r="B572" i="8"/>
  <c r="B573" i="8"/>
  <c r="B574" i="8"/>
  <c r="B575" i="8"/>
  <c r="B576" i="8"/>
  <c r="B577" i="8"/>
  <c r="B578" i="8"/>
  <c r="B579" i="8"/>
  <c r="B580" i="8"/>
  <c r="B581" i="8"/>
  <c r="B582" i="8"/>
  <c r="B583" i="8"/>
  <c r="B584" i="8"/>
  <c r="B585" i="8"/>
  <c r="B586" i="8"/>
  <c r="B587" i="8"/>
  <c r="B588" i="8"/>
  <c r="B589" i="8"/>
  <c r="B590" i="8"/>
  <c r="B591" i="8"/>
  <c r="B592" i="8"/>
  <c r="B593" i="8"/>
  <c r="B594" i="8"/>
  <c r="B595" i="8"/>
  <c r="B596" i="8"/>
  <c r="B597" i="8"/>
  <c r="B598" i="8"/>
  <c r="B599" i="8"/>
  <c r="B600" i="8"/>
  <c r="B562" i="8"/>
  <c r="B529" i="8"/>
  <c r="B530" i="8"/>
  <c r="B531" i="8"/>
  <c r="B532" i="8"/>
  <c r="B533" i="8"/>
  <c r="B534" i="8"/>
  <c r="B535" i="8"/>
  <c r="B536" i="8"/>
  <c r="B537" i="8"/>
  <c r="B538" i="8"/>
  <c r="B539" i="8"/>
  <c r="B540" i="8"/>
  <c r="B541" i="8"/>
  <c r="B542" i="8"/>
  <c r="B543" i="8"/>
  <c r="B544" i="8"/>
  <c r="B545" i="8"/>
  <c r="B528" i="8"/>
  <c r="B488" i="8"/>
  <c r="B489" i="8"/>
  <c r="B490" i="8"/>
  <c r="B491" i="8"/>
  <c r="B492" i="8"/>
  <c r="B493" i="8"/>
  <c r="B494" i="8"/>
  <c r="B495" i="8"/>
  <c r="B496" i="8"/>
  <c r="B497" i="8"/>
  <c r="B498" i="8"/>
  <c r="B499" i="8"/>
  <c r="B500" i="8"/>
  <c r="B501" i="8"/>
  <c r="B502" i="8"/>
  <c r="B503" i="8"/>
  <c r="B504" i="8"/>
  <c r="B505" i="8"/>
  <c r="B506" i="8"/>
  <c r="B507" i="8"/>
  <c r="B508" i="8"/>
  <c r="B509" i="8"/>
  <c r="B510" i="8"/>
  <c r="B511" i="8"/>
  <c r="B512" i="8"/>
  <c r="B513" i="8"/>
  <c r="B514" i="8"/>
  <c r="B515" i="8"/>
  <c r="B516" i="8"/>
  <c r="B517" i="8"/>
  <c r="B518" i="8"/>
  <c r="B519" i="8"/>
  <c r="B520" i="8"/>
  <c r="B521" i="8"/>
  <c r="B522" i="8"/>
  <c r="B523" i="8"/>
  <c r="B524" i="8"/>
  <c r="B525" i="8"/>
  <c r="B487" i="8"/>
  <c r="D715" i="8"/>
  <c r="E715" i="8"/>
  <c r="F715" i="8"/>
  <c r="G715" i="8"/>
  <c r="H715" i="8"/>
  <c r="I715" i="8"/>
  <c r="J715" i="8"/>
  <c r="K715" i="8"/>
  <c r="L715" i="8"/>
  <c r="M715" i="8"/>
  <c r="N715" i="8"/>
  <c r="O715" i="8"/>
  <c r="D716" i="8"/>
  <c r="E716" i="8"/>
  <c r="F716" i="8"/>
  <c r="G716" i="8"/>
  <c r="H716" i="8"/>
  <c r="I716" i="8"/>
  <c r="J716" i="8"/>
  <c r="K716" i="8"/>
  <c r="L716" i="8"/>
  <c r="M716" i="8"/>
  <c r="N716" i="8"/>
  <c r="O716" i="8"/>
  <c r="D717" i="8"/>
  <c r="E717" i="8"/>
  <c r="F717" i="8"/>
  <c r="G717" i="8"/>
  <c r="H717" i="8"/>
  <c r="I717" i="8"/>
  <c r="J717" i="8"/>
  <c r="K717" i="8"/>
  <c r="L717" i="8"/>
  <c r="M717" i="8"/>
  <c r="N717" i="8"/>
  <c r="O717" i="8"/>
  <c r="D718" i="8"/>
  <c r="E718" i="8"/>
  <c r="F718" i="8"/>
  <c r="G718" i="8"/>
  <c r="H718" i="8"/>
  <c r="I718" i="8"/>
  <c r="J718" i="8"/>
  <c r="K718" i="8"/>
  <c r="L718" i="8"/>
  <c r="M718" i="8"/>
  <c r="N718" i="8"/>
  <c r="O718" i="8"/>
  <c r="D719" i="8"/>
  <c r="E719" i="8"/>
  <c r="F719" i="8"/>
  <c r="G719" i="8"/>
  <c r="H719" i="8"/>
  <c r="I719" i="8"/>
  <c r="J719" i="8"/>
  <c r="K719" i="8"/>
  <c r="L719" i="8"/>
  <c r="M719" i="8"/>
  <c r="N719" i="8"/>
  <c r="O719" i="8"/>
  <c r="D720" i="8"/>
  <c r="E720" i="8"/>
  <c r="F720" i="8"/>
  <c r="G720" i="8"/>
  <c r="H720" i="8"/>
  <c r="I720" i="8"/>
  <c r="J720" i="8"/>
  <c r="K720" i="8"/>
  <c r="L720" i="8"/>
  <c r="M720" i="8"/>
  <c r="N720" i="8"/>
  <c r="O720" i="8"/>
  <c r="D721" i="8"/>
  <c r="E721" i="8"/>
  <c r="F721" i="8"/>
  <c r="G721" i="8"/>
  <c r="H721" i="8"/>
  <c r="I721" i="8"/>
  <c r="J721" i="8"/>
  <c r="K721" i="8"/>
  <c r="L721" i="8"/>
  <c r="M721" i="8"/>
  <c r="N721" i="8"/>
  <c r="O721" i="8"/>
  <c r="D722" i="8"/>
  <c r="E722" i="8"/>
  <c r="F722" i="8"/>
  <c r="G722" i="8"/>
  <c r="H722" i="8"/>
  <c r="I722" i="8"/>
  <c r="J722" i="8"/>
  <c r="K722" i="8"/>
  <c r="L722" i="8"/>
  <c r="M722" i="8"/>
  <c r="N722" i="8"/>
  <c r="O722" i="8"/>
  <c r="D723" i="8"/>
  <c r="E723" i="8"/>
  <c r="F723" i="8"/>
  <c r="G723" i="8"/>
  <c r="H723" i="8"/>
  <c r="I723" i="8"/>
  <c r="J723" i="8"/>
  <c r="K723" i="8"/>
  <c r="L723" i="8"/>
  <c r="M723" i="8"/>
  <c r="N723" i="8"/>
  <c r="O723" i="8"/>
  <c r="D724" i="8"/>
  <c r="E724" i="8"/>
  <c r="F724" i="8"/>
  <c r="G724" i="8"/>
  <c r="H724" i="8"/>
  <c r="I724" i="8"/>
  <c r="J724" i="8"/>
  <c r="K724" i="8"/>
  <c r="L724" i="8"/>
  <c r="M724" i="8"/>
  <c r="N724" i="8"/>
  <c r="O724" i="8"/>
  <c r="D725" i="8"/>
  <c r="E725" i="8"/>
  <c r="F725" i="8"/>
  <c r="G725" i="8"/>
  <c r="H725" i="8"/>
  <c r="I725" i="8"/>
  <c r="J725" i="8"/>
  <c r="K725" i="8"/>
  <c r="L725" i="8"/>
  <c r="M725" i="8"/>
  <c r="N725" i="8"/>
  <c r="O725" i="8"/>
  <c r="D726" i="8"/>
  <c r="E726" i="8"/>
  <c r="F726" i="8"/>
  <c r="G726" i="8"/>
  <c r="H726" i="8"/>
  <c r="I726" i="8"/>
  <c r="J726" i="8"/>
  <c r="K726" i="8"/>
  <c r="L726" i="8"/>
  <c r="M726" i="8"/>
  <c r="N726" i="8"/>
  <c r="O726" i="8"/>
  <c r="D727" i="8"/>
  <c r="E727" i="8"/>
  <c r="F727" i="8"/>
  <c r="G727" i="8"/>
  <c r="H727" i="8"/>
  <c r="I727" i="8"/>
  <c r="J727" i="8"/>
  <c r="K727" i="8"/>
  <c r="L727" i="8"/>
  <c r="M727" i="8"/>
  <c r="N727" i="8"/>
  <c r="O727" i="8"/>
  <c r="D728" i="8"/>
  <c r="E728" i="8"/>
  <c r="F728" i="8"/>
  <c r="G728" i="8"/>
  <c r="H728" i="8"/>
  <c r="I728" i="8"/>
  <c r="J728" i="8"/>
  <c r="K728" i="8"/>
  <c r="L728" i="8"/>
  <c r="M728" i="8"/>
  <c r="N728" i="8"/>
  <c r="O728" i="8"/>
  <c r="D729" i="8"/>
  <c r="E729" i="8"/>
  <c r="F729" i="8"/>
  <c r="G729" i="8"/>
  <c r="H729" i="8"/>
  <c r="I729" i="8"/>
  <c r="J729" i="8"/>
  <c r="K729" i="8"/>
  <c r="L729" i="8"/>
  <c r="M729" i="8"/>
  <c r="N729" i="8"/>
  <c r="O729" i="8"/>
  <c r="D730" i="8"/>
  <c r="E730" i="8"/>
  <c r="F730" i="8"/>
  <c r="G730" i="8"/>
  <c r="H730" i="8"/>
  <c r="I730" i="8"/>
  <c r="J730" i="8"/>
  <c r="K730" i="8"/>
  <c r="L730" i="8"/>
  <c r="M730" i="8"/>
  <c r="N730" i="8"/>
  <c r="O730" i="8"/>
  <c r="D731" i="8"/>
  <c r="E731" i="8"/>
  <c r="F731" i="8"/>
  <c r="G731" i="8"/>
  <c r="H731" i="8"/>
  <c r="I731" i="8"/>
  <c r="J731" i="8"/>
  <c r="K731" i="8"/>
  <c r="L731" i="8"/>
  <c r="M731" i="8"/>
  <c r="N731" i="8"/>
  <c r="O731" i="8"/>
  <c r="D732" i="8"/>
  <c r="E732" i="8"/>
  <c r="F732" i="8"/>
  <c r="G732" i="8"/>
  <c r="H732" i="8"/>
  <c r="I732" i="8"/>
  <c r="J732" i="8"/>
  <c r="K732" i="8"/>
  <c r="L732" i="8"/>
  <c r="M732" i="8"/>
  <c r="N732" i="8"/>
  <c r="O732" i="8"/>
  <c r="D733" i="8"/>
  <c r="E733" i="8"/>
  <c r="F733" i="8"/>
  <c r="G733" i="8"/>
  <c r="H733" i="8"/>
  <c r="I733" i="8"/>
  <c r="J733" i="8"/>
  <c r="K733" i="8"/>
  <c r="L733" i="8"/>
  <c r="M733" i="8"/>
  <c r="N733" i="8"/>
  <c r="O733" i="8"/>
  <c r="D734" i="8"/>
  <c r="E734" i="8"/>
  <c r="F734" i="8"/>
  <c r="G734" i="8"/>
  <c r="H734" i="8"/>
  <c r="I734" i="8"/>
  <c r="J734" i="8"/>
  <c r="K734" i="8"/>
  <c r="L734" i="8"/>
  <c r="M734" i="8"/>
  <c r="N734" i="8"/>
  <c r="O734" i="8"/>
  <c r="D735" i="8"/>
  <c r="E735" i="8"/>
  <c r="F735" i="8"/>
  <c r="G735" i="8"/>
  <c r="H735" i="8"/>
  <c r="I735" i="8"/>
  <c r="J735" i="8"/>
  <c r="K735" i="8"/>
  <c r="L735" i="8"/>
  <c r="M735" i="8"/>
  <c r="N735" i="8"/>
  <c r="O735" i="8"/>
  <c r="D736" i="8"/>
  <c r="E736" i="8"/>
  <c r="F736" i="8"/>
  <c r="G736" i="8"/>
  <c r="H736" i="8"/>
  <c r="I736" i="8"/>
  <c r="J736" i="8"/>
  <c r="K736" i="8"/>
  <c r="L736" i="8"/>
  <c r="M736" i="8"/>
  <c r="N736" i="8"/>
  <c r="O736" i="8"/>
  <c r="D737" i="8"/>
  <c r="E737" i="8"/>
  <c r="F737" i="8"/>
  <c r="G737" i="8"/>
  <c r="H737" i="8"/>
  <c r="I737" i="8"/>
  <c r="J737" i="8"/>
  <c r="K737" i="8"/>
  <c r="L737" i="8"/>
  <c r="M737" i="8"/>
  <c r="N737" i="8"/>
  <c r="O737" i="8"/>
  <c r="D738" i="8"/>
  <c r="E738" i="8"/>
  <c r="F738" i="8"/>
  <c r="G738" i="8"/>
  <c r="H738" i="8"/>
  <c r="I738" i="8"/>
  <c r="J738" i="8"/>
  <c r="K738" i="8"/>
  <c r="L738" i="8"/>
  <c r="M738" i="8"/>
  <c r="N738" i="8"/>
  <c r="O738" i="8"/>
  <c r="D756" i="8"/>
  <c r="E756" i="8"/>
  <c r="F756" i="8"/>
  <c r="G756" i="8"/>
  <c r="H756" i="8"/>
  <c r="I756" i="8"/>
  <c r="J756" i="8"/>
  <c r="K756" i="8"/>
  <c r="L756" i="8"/>
  <c r="M756" i="8"/>
  <c r="N756" i="8"/>
  <c r="O756" i="8"/>
  <c r="D757" i="8"/>
  <c r="E757" i="8"/>
  <c r="F757" i="8"/>
  <c r="G757" i="8"/>
  <c r="H757" i="8"/>
  <c r="I757" i="8"/>
  <c r="J757" i="8"/>
  <c r="K757" i="8"/>
  <c r="L757" i="8"/>
  <c r="M757" i="8"/>
  <c r="N757" i="8"/>
  <c r="O757" i="8"/>
  <c r="D758" i="8"/>
  <c r="E758" i="8"/>
  <c r="F758" i="8"/>
  <c r="G758" i="8"/>
  <c r="H758" i="8"/>
  <c r="I758" i="8"/>
  <c r="J758" i="8"/>
  <c r="K758" i="8"/>
  <c r="L758" i="8"/>
  <c r="M758" i="8"/>
  <c r="N758" i="8"/>
  <c r="O758" i="8"/>
  <c r="D759" i="8"/>
  <c r="E759" i="8"/>
  <c r="F759" i="8"/>
  <c r="G759" i="8"/>
  <c r="H759" i="8"/>
  <c r="I759" i="8"/>
  <c r="J759" i="8"/>
  <c r="K759" i="8"/>
  <c r="L759" i="8"/>
  <c r="M759" i="8"/>
  <c r="N759" i="8"/>
  <c r="O759" i="8"/>
  <c r="D760" i="8"/>
  <c r="E760" i="8"/>
  <c r="F760" i="8"/>
  <c r="G760" i="8"/>
  <c r="H760" i="8"/>
  <c r="I760" i="8"/>
  <c r="J760" i="8"/>
  <c r="K760" i="8"/>
  <c r="L760" i="8"/>
  <c r="M760" i="8"/>
  <c r="N760" i="8"/>
  <c r="O760" i="8"/>
  <c r="D761" i="8"/>
  <c r="E761" i="8"/>
  <c r="F761" i="8"/>
  <c r="G761" i="8"/>
  <c r="H761" i="8"/>
  <c r="I761" i="8"/>
  <c r="J761" i="8"/>
  <c r="K761" i="8"/>
  <c r="L761" i="8"/>
  <c r="M761" i="8"/>
  <c r="N761" i="8"/>
  <c r="O761" i="8"/>
  <c r="D762" i="8"/>
  <c r="E762" i="8"/>
  <c r="F762" i="8"/>
  <c r="G762" i="8"/>
  <c r="H762" i="8"/>
  <c r="I762" i="8"/>
  <c r="J762" i="8"/>
  <c r="K762" i="8"/>
  <c r="L762" i="8"/>
  <c r="M762" i="8"/>
  <c r="N762" i="8"/>
  <c r="O762" i="8"/>
  <c r="D763" i="8"/>
  <c r="E763" i="8"/>
  <c r="F763" i="8"/>
  <c r="G763" i="8"/>
  <c r="H763" i="8"/>
  <c r="I763" i="8"/>
  <c r="J763" i="8"/>
  <c r="K763" i="8"/>
  <c r="L763" i="8"/>
  <c r="M763" i="8"/>
  <c r="N763" i="8"/>
  <c r="O763" i="8"/>
  <c r="D764" i="8"/>
  <c r="E764" i="8"/>
  <c r="F764" i="8"/>
  <c r="G764" i="8"/>
  <c r="H764" i="8"/>
  <c r="I764" i="8"/>
  <c r="J764" i="8"/>
  <c r="K764" i="8"/>
  <c r="L764" i="8"/>
  <c r="M764" i="8"/>
  <c r="N764" i="8"/>
  <c r="O764" i="8"/>
  <c r="D765" i="8"/>
  <c r="E765" i="8"/>
  <c r="F765" i="8"/>
  <c r="G765" i="8"/>
  <c r="H765" i="8"/>
  <c r="I765" i="8"/>
  <c r="J765" i="8"/>
  <c r="K765" i="8"/>
  <c r="L765" i="8"/>
  <c r="M765" i="8"/>
  <c r="N765" i="8"/>
  <c r="O765" i="8"/>
  <c r="D766" i="8"/>
  <c r="E766" i="8"/>
  <c r="F766" i="8"/>
  <c r="G766" i="8"/>
  <c r="H766" i="8"/>
  <c r="I766" i="8"/>
  <c r="J766" i="8"/>
  <c r="K766" i="8"/>
  <c r="L766" i="8"/>
  <c r="M766" i="8"/>
  <c r="N766" i="8"/>
  <c r="O766" i="8"/>
  <c r="D767" i="8"/>
  <c r="E767" i="8"/>
  <c r="F767" i="8"/>
  <c r="G767" i="8"/>
  <c r="H767" i="8"/>
  <c r="I767" i="8"/>
  <c r="J767" i="8"/>
  <c r="K767" i="8"/>
  <c r="L767" i="8"/>
  <c r="M767" i="8"/>
  <c r="N767" i="8"/>
  <c r="O767" i="8"/>
  <c r="D768" i="8"/>
  <c r="E768" i="8"/>
  <c r="F768" i="8"/>
  <c r="G768" i="8"/>
  <c r="H768" i="8"/>
  <c r="I768" i="8"/>
  <c r="J768" i="8"/>
  <c r="K768" i="8"/>
  <c r="L768" i="8"/>
  <c r="M768" i="8"/>
  <c r="N768" i="8"/>
  <c r="O768" i="8"/>
  <c r="D769" i="8"/>
  <c r="E769" i="8"/>
  <c r="F769" i="8"/>
  <c r="G769" i="8"/>
  <c r="H769" i="8"/>
  <c r="I769" i="8"/>
  <c r="J769" i="8"/>
  <c r="K769" i="8"/>
  <c r="L769" i="8"/>
  <c r="M769" i="8"/>
  <c r="N769" i="8"/>
  <c r="O769" i="8"/>
  <c r="D770" i="8"/>
  <c r="E770" i="8"/>
  <c r="F770" i="8"/>
  <c r="G770" i="8"/>
  <c r="H770" i="8"/>
  <c r="I770" i="8"/>
  <c r="J770" i="8"/>
  <c r="K770" i="8"/>
  <c r="L770" i="8"/>
  <c r="M770" i="8"/>
  <c r="N770" i="8"/>
  <c r="O770" i="8"/>
  <c r="D771" i="8"/>
  <c r="E771" i="8"/>
  <c r="F771" i="8"/>
  <c r="G771" i="8"/>
  <c r="H771" i="8"/>
  <c r="I771" i="8"/>
  <c r="J771" i="8"/>
  <c r="K771" i="8"/>
  <c r="L771" i="8"/>
  <c r="M771" i="8"/>
  <c r="N771" i="8"/>
  <c r="O771" i="8"/>
  <c r="D772" i="8"/>
  <c r="E772" i="8"/>
  <c r="F772" i="8"/>
  <c r="G772" i="8"/>
  <c r="H772" i="8"/>
  <c r="I772" i="8"/>
  <c r="J772" i="8"/>
  <c r="K772" i="8"/>
  <c r="L772" i="8"/>
  <c r="M772" i="8"/>
  <c r="N772" i="8"/>
  <c r="O772" i="8"/>
  <c r="E714" i="8"/>
  <c r="F714" i="8"/>
  <c r="G714" i="8"/>
  <c r="H714" i="8"/>
  <c r="I714" i="8"/>
  <c r="J714" i="8"/>
  <c r="K714" i="8"/>
  <c r="L714" i="8"/>
  <c r="M714" i="8"/>
  <c r="N714" i="8"/>
  <c r="O714" i="8"/>
  <c r="D714" i="8"/>
  <c r="C739" i="8" l="1"/>
  <c r="C733" i="8"/>
  <c r="C728" i="8"/>
  <c r="C724" i="8"/>
  <c r="C720" i="8"/>
  <c r="C716" i="8"/>
  <c r="N774" i="8"/>
  <c r="J774" i="8"/>
  <c r="C756" i="8"/>
  <c r="F774" i="8"/>
  <c r="C751" i="8"/>
  <c r="C748" i="8"/>
  <c r="C747" i="8"/>
  <c r="C743" i="8"/>
  <c r="C741" i="8"/>
  <c r="C740" i="8"/>
  <c r="C737" i="8"/>
  <c r="C736" i="8"/>
  <c r="C735" i="8"/>
  <c r="C732" i="8"/>
  <c r="C731" i="8"/>
  <c r="C729" i="8"/>
  <c r="C727" i="8"/>
  <c r="C726" i="8"/>
  <c r="C725" i="8"/>
  <c r="C723" i="8"/>
  <c r="C722" i="8"/>
  <c r="C721" i="8"/>
  <c r="C719" i="8"/>
  <c r="C718" i="8"/>
  <c r="C717" i="8"/>
  <c r="C715" i="8"/>
  <c r="M774" i="8"/>
  <c r="I774" i="8"/>
  <c r="E774" i="8"/>
  <c r="L774" i="8"/>
  <c r="H774" i="8"/>
  <c r="D774" i="8"/>
  <c r="O774" i="8"/>
  <c r="K774" i="8"/>
  <c r="G774" i="8"/>
  <c r="C759" i="8"/>
  <c r="C749" i="8"/>
  <c r="C744" i="8"/>
  <c r="C764" i="8"/>
  <c r="C771" i="8"/>
  <c r="C767" i="8"/>
  <c r="C765" i="8"/>
  <c r="C760" i="8"/>
  <c r="C730" i="8"/>
  <c r="C769" i="8"/>
  <c r="C734" i="8"/>
  <c r="C761" i="8"/>
  <c r="C750" i="8"/>
  <c r="C746" i="8"/>
  <c r="C742" i="8"/>
  <c r="C738" i="8"/>
  <c r="C768" i="8"/>
  <c r="C763" i="8"/>
  <c r="C772" i="8"/>
  <c r="C757" i="8"/>
  <c r="C758" i="8"/>
  <c r="C770" i="8"/>
  <c r="C766" i="8"/>
  <c r="C762" i="8"/>
  <c r="C714" i="8"/>
  <c r="P57" i="5"/>
  <c r="E57" i="5"/>
  <c r="F57" i="5"/>
  <c r="G57" i="5"/>
  <c r="H57" i="5"/>
  <c r="I57" i="5"/>
  <c r="J57" i="5"/>
  <c r="K57" i="5"/>
  <c r="L57" i="5"/>
  <c r="M57" i="5"/>
  <c r="N57" i="5"/>
  <c r="O57" i="5"/>
  <c r="S111" i="10"/>
  <c r="S110" i="10"/>
  <c r="S109" i="10"/>
  <c r="S108" i="10"/>
  <c r="S107" i="10"/>
  <c r="S106" i="10"/>
  <c r="S105" i="10"/>
  <c r="S104" i="10"/>
  <c r="S103" i="10"/>
  <c r="S102" i="10"/>
  <c r="S101" i="10"/>
  <c r="S100" i="10"/>
  <c r="S99" i="10"/>
  <c r="S98" i="10"/>
  <c r="S97" i="10"/>
  <c r="S96" i="10"/>
  <c r="S95" i="10"/>
  <c r="S94" i="10"/>
  <c r="S93" i="10"/>
  <c r="S92" i="10"/>
  <c r="S91" i="10"/>
  <c r="S90" i="10"/>
  <c r="S89" i="10"/>
  <c r="S118" i="10"/>
  <c r="S119" i="10"/>
  <c r="S120" i="10"/>
  <c r="S121" i="10"/>
  <c r="S122" i="10"/>
  <c r="S123" i="10"/>
  <c r="S124" i="10"/>
  <c r="S125" i="10"/>
  <c r="S126" i="10"/>
  <c r="S127" i="10"/>
  <c r="S128" i="10"/>
  <c r="S129" i="10"/>
  <c r="S130" i="10"/>
  <c r="S131" i="10"/>
  <c r="S132" i="10"/>
  <c r="S133" i="10"/>
  <c r="S134" i="10"/>
  <c r="S135" i="10"/>
  <c r="S136" i="10"/>
  <c r="S137" i="10"/>
  <c r="S138" i="10"/>
  <c r="S139" i="10"/>
  <c r="S140" i="10"/>
  <c r="S146" i="10"/>
  <c r="S147" i="10"/>
  <c r="S148" i="10"/>
  <c r="S149" i="10"/>
  <c r="S150" i="10"/>
  <c r="S151" i="10"/>
  <c r="S152" i="10"/>
  <c r="S153" i="10"/>
  <c r="S154" i="10"/>
  <c r="S155" i="10"/>
  <c r="S156" i="10"/>
  <c r="S157" i="10"/>
  <c r="S158" i="10"/>
  <c r="S159" i="10"/>
  <c r="S160" i="10"/>
  <c r="S161" i="10"/>
  <c r="S162" i="10"/>
  <c r="S163" i="10"/>
  <c r="S164" i="10"/>
  <c r="S165" i="10"/>
  <c r="S166" i="10"/>
  <c r="S167" i="10"/>
  <c r="S168" i="10"/>
  <c r="S145" i="10"/>
  <c r="S117" i="10"/>
  <c r="S116" i="10"/>
  <c r="S88" i="10"/>
  <c r="S87" i="10"/>
  <c r="S58" i="10"/>
  <c r="S59" i="10"/>
  <c r="S60" i="10"/>
  <c r="S61" i="10"/>
  <c r="S62" i="10"/>
  <c r="S63" i="10"/>
  <c r="S64" i="10"/>
  <c r="S65" i="10"/>
  <c r="S66" i="10"/>
  <c r="S67" i="10"/>
  <c r="S68" i="10"/>
  <c r="S69" i="10"/>
  <c r="S70" i="10"/>
  <c r="S71" i="10"/>
  <c r="S72" i="10"/>
  <c r="S73" i="10"/>
  <c r="S74" i="10"/>
  <c r="S75" i="10"/>
  <c r="S76" i="10"/>
  <c r="S77" i="10"/>
  <c r="S78" i="10"/>
  <c r="S79" i="10"/>
  <c r="S80" i="10"/>
  <c r="S81" i="10"/>
  <c r="S82" i="10"/>
  <c r="S57" i="10"/>
  <c r="S56" i="10"/>
  <c r="S28" i="10"/>
  <c r="S29" i="10"/>
  <c r="S30" i="10"/>
  <c r="S31" i="10"/>
  <c r="S32" i="10"/>
  <c r="S33" i="10"/>
  <c r="S34" i="10"/>
  <c r="S35" i="10"/>
  <c r="S36" i="10"/>
  <c r="S37" i="10"/>
  <c r="S38" i="10"/>
  <c r="S39" i="10"/>
  <c r="S40" i="10"/>
  <c r="S41" i="10"/>
  <c r="S42" i="10"/>
  <c r="S43" i="10"/>
  <c r="S44" i="10"/>
  <c r="S45" i="10"/>
  <c r="S46" i="10"/>
  <c r="S47" i="10"/>
  <c r="S48" i="10"/>
  <c r="S49" i="10"/>
  <c r="S50" i="10"/>
  <c r="S51" i="10"/>
  <c r="S27" i="10"/>
  <c r="B3" i="9" l="1"/>
  <c r="B3" i="7"/>
  <c r="U65" i="7" l="1"/>
  <c r="R67" i="7"/>
  <c r="S67" i="7" s="1"/>
  <c r="T148" i="10"/>
  <c r="L148" i="10"/>
  <c r="N148" i="10"/>
  <c r="P148" i="10"/>
  <c r="R148" i="10"/>
  <c r="L149" i="10"/>
  <c r="N149" i="10"/>
  <c r="P149" i="10"/>
  <c r="R149" i="10"/>
  <c r="T149" i="10"/>
  <c r="T150" i="10"/>
  <c r="L150" i="10"/>
  <c r="N150" i="10"/>
  <c r="P150" i="10"/>
  <c r="R150" i="10"/>
  <c r="T151" i="10"/>
  <c r="L151" i="10"/>
  <c r="N151" i="10"/>
  <c r="P151" i="10"/>
  <c r="R151" i="10"/>
  <c r="T152" i="10"/>
  <c r="L152" i="10"/>
  <c r="N152" i="10"/>
  <c r="P152" i="10"/>
  <c r="R152" i="10"/>
  <c r="L153" i="10"/>
  <c r="N153" i="10"/>
  <c r="P153" i="10"/>
  <c r="R153" i="10"/>
  <c r="T153" i="10"/>
  <c r="T154" i="10"/>
  <c r="L154" i="10"/>
  <c r="N154" i="10"/>
  <c r="P154" i="10"/>
  <c r="R154" i="10"/>
  <c r="T155" i="10"/>
  <c r="L155" i="10"/>
  <c r="N155" i="10"/>
  <c r="P155" i="10"/>
  <c r="R155" i="10"/>
  <c r="T156" i="10"/>
  <c r="L156" i="10"/>
  <c r="N156" i="10"/>
  <c r="P156" i="10"/>
  <c r="R156" i="10"/>
  <c r="L157" i="10"/>
  <c r="N157" i="10"/>
  <c r="P157" i="10"/>
  <c r="R157" i="10"/>
  <c r="T157" i="10"/>
  <c r="T158" i="10"/>
  <c r="L158" i="10"/>
  <c r="N158" i="10"/>
  <c r="P158" i="10"/>
  <c r="R158" i="10"/>
  <c r="T159" i="10"/>
  <c r="L159" i="10"/>
  <c r="N159" i="10"/>
  <c r="P159" i="10"/>
  <c r="R159" i="10"/>
  <c r="T160" i="10"/>
  <c r="L160" i="10"/>
  <c r="N160" i="10"/>
  <c r="P160" i="10"/>
  <c r="R160" i="10"/>
  <c r="L161" i="10"/>
  <c r="N161" i="10"/>
  <c r="P161" i="10"/>
  <c r="R161" i="10"/>
  <c r="T161" i="10"/>
  <c r="T162" i="10"/>
  <c r="L162" i="10"/>
  <c r="N162" i="10"/>
  <c r="P162" i="10"/>
  <c r="R162" i="10"/>
  <c r="T163" i="10"/>
  <c r="L163" i="10"/>
  <c r="N163" i="10"/>
  <c r="P163" i="10"/>
  <c r="R163" i="10"/>
  <c r="T164" i="10"/>
  <c r="L164" i="10"/>
  <c r="N164" i="10"/>
  <c r="P164" i="10"/>
  <c r="R164" i="10"/>
  <c r="L165" i="10"/>
  <c r="N165" i="10"/>
  <c r="P165" i="10"/>
  <c r="R165" i="10"/>
  <c r="T165" i="10"/>
  <c r="T166" i="10"/>
  <c r="L166" i="10"/>
  <c r="N166" i="10"/>
  <c r="P166" i="10"/>
  <c r="R166" i="10"/>
  <c r="L167" i="10"/>
  <c r="N167" i="10"/>
  <c r="P167" i="10"/>
  <c r="R167" i="10"/>
  <c r="T167" i="10"/>
  <c r="T125" i="10"/>
  <c r="L125" i="10"/>
  <c r="N125" i="10"/>
  <c r="P125" i="10"/>
  <c r="R125" i="10"/>
  <c r="T126" i="10"/>
  <c r="L126" i="10"/>
  <c r="N126" i="10"/>
  <c r="P126" i="10"/>
  <c r="R126" i="10"/>
  <c r="T127" i="10"/>
  <c r="L127" i="10"/>
  <c r="N127" i="10"/>
  <c r="P127" i="10"/>
  <c r="R127" i="10"/>
  <c r="T128" i="10"/>
  <c r="L128" i="10"/>
  <c r="N128" i="10"/>
  <c r="P128" i="10"/>
  <c r="R128" i="10"/>
  <c r="T129" i="10"/>
  <c r="L129" i="10"/>
  <c r="N129" i="10"/>
  <c r="P129" i="10"/>
  <c r="R129" i="10"/>
  <c r="T130" i="10"/>
  <c r="L130" i="10"/>
  <c r="N130" i="10"/>
  <c r="P130" i="10"/>
  <c r="R130" i="10"/>
  <c r="T131" i="10"/>
  <c r="L131" i="10"/>
  <c r="N131" i="10"/>
  <c r="P131" i="10"/>
  <c r="R131" i="10"/>
  <c r="T132" i="10"/>
  <c r="L132" i="10"/>
  <c r="N132" i="10"/>
  <c r="P132" i="10"/>
  <c r="R132" i="10"/>
  <c r="T133" i="10"/>
  <c r="L133" i="10"/>
  <c r="N133" i="10"/>
  <c r="P133" i="10"/>
  <c r="R133" i="10"/>
  <c r="T134" i="10"/>
  <c r="L134" i="10"/>
  <c r="N134" i="10"/>
  <c r="P134" i="10"/>
  <c r="R134" i="10"/>
  <c r="T135" i="10"/>
  <c r="L135" i="10"/>
  <c r="N135" i="10"/>
  <c r="P135" i="10"/>
  <c r="R135" i="10"/>
  <c r="T136" i="10"/>
  <c r="L136" i="10"/>
  <c r="N136" i="10"/>
  <c r="P136" i="10"/>
  <c r="R136" i="10"/>
  <c r="T137" i="10"/>
  <c r="L137" i="10"/>
  <c r="N137" i="10"/>
  <c r="P137" i="10"/>
  <c r="R137" i="10"/>
  <c r="T138" i="10"/>
  <c r="L138" i="10"/>
  <c r="N138" i="10"/>
  <c r="P138" i="10"/>
  <c r="R138" i="10"/>
  <c r="T139" i="10"/>
  <c r="L139" i="10"/>
  <c r="N139" i="10"/>
  <c r="P139" i="10"/>
  <c r="R139" i="10"/>
  <c r="T140" i="10"/>
  <c r="L140" i="10"/>
  <c r="N140" i="10"/>
  <c r="P140" i="10"/>
  <c r="R140" i="10"/>
  <c r="L117" i="10"/>
  <c r="J117" i="10" s="1"/>
  <c r="L118" i="10"/>
  <c r="J118" i="10" s="1"/>
  <c r="L119" i="10"/>
  <c r="J119" i="10" s="1"/>
  <c r="L120" i="10"/>
  <c r="L121" i="10"/>
  <c r="L122" i="10"/>
  <c r="L123" i="10"/>
  <c r="L124" i="10"/>
  <c r="L76" i="10"/>
  <c r="L77" i="10"/>
  <c r="L78" i="10"/>
  <c r="L79" i="10"/>
  <c r="L80" i="10"/>
  <c r="L81" i="10"/>
  <c r="L82" i="10"/>
  <c r="L58" i="10"/>
  <c r="J58" i="10" s="1"/>
  <c r="L59" i="10"/>
  <c r="J59" i="10" s="1"/>
  <c r="L60" i="10"/>
  <c r="J60" i="10" s="1"/>
  <c r="L61" i="10"/>
  <c r="J61" i="10" s="1"/>
  <c r="L62" i="10"/>
  <c r="L63" i="10"/>
  <c r="L64" i="10"/>
  <c r="L65" i="10"/>
  <c r="L66" i="10"/>
  <c r="L67" i="10"/>
  <c r="L68" i="10"/>
  <c r="L69" i="10"/>
  <c r="L70" i="10"/>
  <c r="L71" i="10"/>
  <c r="L72" i="10"/>
  <c r="L73" i="10"/>
  <c r="L74" i="10"/>
  <c r="L75" i="10"/>
  <c r="L89" i="10"/>
  <c r="J89" i="10" s="1"/>
  <c r="N89" i="10"/>
  <c r="P89" i="10"/>
  <c r="R89" i="10"/>
  <c r="T89" i="10"/>
  <c r="L90" i="10"/>
  <c r="J90" i="10" s="1"/>
  <c r="N90" i="10"/>
  <c r="P90" i="10"/>
  <c r="R90" i="10"/>
  <c r="T90" i="10"/>
  <c r="L91" i="10"/>
  <c r="J91" i="10" s="1"/>
  <c r="N91" i="10"/>
  <c r="P91" i="10"/>
  <c r="R91" i="10"/>
  <c r="T91" i="10"/>
  <c r="L92" i="10"/>
  <c r="J92" i="10" s="1"/>
  <c r="N92" i="10"/>
  <c r="P92" i="10"/>
  <c r="R92" i="10"/>
  <c r="T92" i="10"/>
  <c r="L93" i="10"/>
  <c r="J93" i="10" s="1"/>
  <c r="N93" i="10"/>
  <c r="P93" i="10"/>
  <c r="R93" i="10"/>
  <c r="T93" i="10"/>
  <c r="L94" i="10"/>
  <c r="N94" i="10"/>
  <c r="P94" i="10"/>
  <c r="R94" i="10"/>
  <c r="T94" i="10"/>
  <c r="L95" i="10"/>
  <c r="N95" i="10"/>
  <c r="P95" i="10"/>
  <c r="R95" i="10"/>
  <c r="T95" i="10"/>
  <c r="L96" i="10"/>
  <c r="N96" i="10"/>
  <c r="P96" i="10"/>
  <c r="R96" i="10"/>
  <c r="T96" i="10"/>
  <c r="L97" i="10"/>
  <c r="N97" i="10"/>
  <c r="P97" i="10"/>
  <c r="R97" i="10"/>
  <c r="T97" i="10"/>
  <c r="L98" i="10"/>
  <c r="N98" i="10"/>
  <c r="P98" i="10"/>
  <c r="R98" i="10"/>
  <c r="T98" i="10"/>
  <c r="L99" i="10"/>
  <c r="N99" i="10"/>
  <c r="P99" i="10"/>
  <c r="R99" i="10"/>
  <c r="T99" i="10"/>
  <c r="L100" i="10"/>
  <c r="N100" i="10"/>
  <c r="P100" i="10"/>
  <c r="R100" i="10"/>
  <c r="T100" i="10"/>
  <c r="L101" i="10"/>
  <c r="N101" i="10"/>
  <c r="P101" i="10"/>
  <c r="R101" i="10"/>
  <c r="T101" i="10"/>
  <c r="L102" i="10"/>
  <c r="N102" i="10"/>
  <c r="P102" i="10"/>
  <c r="R102" i="10"/>
  <c r="T102" i="10"/>
  <c r="L103" i="10"/>
  <c r="N103" i="10"/>
  <c r="P103" i="10"/>
  <c r="R103" i="10"/>
  <c r="T103" i="10"/>
  <c r="T104" i="10"/>
  <c r="L104" i="10"/>
  <c r="N104" i="10"/>
  <c r="P104" i="10"/>
  <c r="R104" i="10"/>
  <c r="L105" i="10"/>
  <c r="N105" i="10"/>
  <c r="P105" i="10"/>
  <c r="R105" i="10"/>
  <c r="T105" i="10"/>
  <c r="L106" i="10"/>
  <c r="N106" i="10"/>
  <c r="P106" i="10"/>
  <c r="R106" i="10"/>
  <c r="T106" i="10"/>
  <c r="L107" i="10"/>
  <c r="N107" i="10"/>
  <c r="P107" i="10"/>
  <c r="R107" i="10"/>
  <c r="T107" i="10"/>
  <c r="L108" i="10"/>
  <c r="N108" i="10"/>
  <c r="P108" i="10"/>
  <c r="R108" i="10"/>
  <c r="T108" i="10"/>
  <c r="L109" i="10"/>
  <c r="N109" i="10"/>
  <c r="P109" i="10"/>
  <c r="R109" i="10"/>
  <c r="T109" i="10"/>
  <c r="L110" i="10"/>
  <c r="N110" i="10"/>
  <c r="P110" i="10"/>
  <c r="R110" i="10"/>
  <c r="T110" i="10"/>
  <c r="N64" i="10"/>
  <c r="P64" i="10"/>
  <c r="R64" i="10"/>
  <c r="T64" i="10"/>
  <c r="N65" i="10"/>
  <c r="P65" i="10"/>
  <c r="R65" i="10"/>
  <c r="T65" i="10"/>
  <c r="N66" i="10"/>
  <c r="P66" i="10"/>
  <c r="R66" i="10"/>
  <c r="T66" i="10"/>
  <c r="N67" i="10"/>
  <c r="P67" i="10"/>
  <c r="R67" i="10"/>
  <c r="T67" i="10"/>
  <c r="N68" i="10"/>
  <c r="P68" i="10"/>
  <c r="R68" i="10"/>
  <c r="T68" i="10"/>
  <c r="N69" i="10"/>
  <c r="P69" i="10"/>
  <c r="R69" i="10"/>
  <c r="T69" i="10"/>
  <c r="N70" i="10"/>
  <c r="P70" i="10"/>
  <c r="R70" i="10"/>
  <c r="T70" i="10"/>
  <c r="N71" i="10"/>
  <c r="P71" i="10"/>
  <c r="R71" i="10"/>
  <c r="T71" i="10"/>
  <c r="N72" i="10"/>
  <c r="P72" i="10"/>
  <c r="R72" i="10"/>
  <c r="T72" i="10"/>
  <c r="N73" i="10"/>
  <c r="P73" i="10"/>
  <c r="R73" i="10"/>
  <c r="T73" i="10"/>
  <c r="N74" i="10"/>
  <c r="P74" i="10"/>
  <c r="R74" i="10"/>
  <c r="T74" i="10"/>
  <c r="N75" i="10"/>
  <c r="P75" i="10"/>
  <c r="R75" i="10"/>
  <c r="T75" i="10"/>
  <c r="N76" i="10"/>
  <c r="P76" i="10"/>
  <c r="R76" i="10"/>
  <c r="T76" i="10"/>
  <c r="N77" i="10"/>
  <c r="P77" i="10"/>
  <c r="R77" i="10"/>
  <c r="T77" i="10"/>
  <c r="N78" i="10"/>
  <c r="P78" i="10"/>
  <c r="R78" i="10"/>
  <c r="T78" i="10"/>
  <c r="N79" i="10"/>
  <c r="P79" i="10"/>
  <c r="R79" i="10"/>
  <c r="T79" i="10"/>
  <c r="N80" i="10"/>
  <c r="P80" i="10"/>
  <c r="R80" i="10"/>
  <c r="T80" i="10"/>
  <c r="N81" i="10"/>
  <c r="P81" i="10"/>
  <c r="R81" i="10"/>
  <c r="T81" i="10"/>
  <c r="L147" i="10"/>
  <c r="T60" i="10"/>
  <c r="N60" i="10"/>
  <c r="P60" i="10"/>
  <c r="R60" i="10"/>
  <c r="T61" i="10"/>
  <c r="N61" i="10"/>
  <c r="P61" i="10"/>
  <c r="R61" i="10"/>
  <c r="T62" i="10"/>
  <c r="N62" i="10"/>
  <c r="P62" i="10"/>
  <c r="R62" i="10"/>
  <c r="T63" i="10"/>
  <c r="N63" i="10"/>
  <c r="P63" i="10"/>
  <c r="R63" i="10"/>
  <c r="T42" i="10"/>
  <c r="T44" i="10"/>
  <c r="T45" i="10"/>
  <c r="T47" i="10"/>
  <c r="T48" i="10"/>
  <c r="N33" i="10"/>
  <c r="P33" i="10"/>
  <c r="R33" i="10"/>
  <c r="N34" i="10"/>
  <c r="P34" i="10"/>
  <c r="R34" i="10"/>
  <c r="N35" i="10"/>
  <c r="P35" i="10"/>
  <c r="R35" i="10"/>
  <c r="N36" i="10"/>
  <c r="P36" i="10"/>
  <c r="R36" i="10"/>
  <c r="N37" i="10"/>
  <c r="P37" i="10"/>
  <c r="R37" i="10"/>
  <c r="N38" i="10"/>
  <c r="P38" i="10"/>
  <c r="R38" i="10"/>
  <c r="N39" i="10"/>
  <c r="P39" i="10"/>
  <c r="R39" i="10"/>
  <c r="N40" i="10"/>
  <c r="P40" i="10"/>
  <c r="R40" i="10"/>
  <c r="N41" i="10"/>
  <c r="P41" i="10"/>
  <c r="R41" i="10"/>
  <c r="N42" i="10"/>
  <c r="P42" i="10"/>
  <c r="R42" i="10"/>
  <c r="N43" i="10"/>
  <c r="P43" i="10"/>
  <c r="R43" i="10"/>
  <c r="T43" i="10"/>
  <c r="N44" i="10"/>
  <c r="P44" i="10"/>
  <c r="R44" i="10"/>
  <c r="N45" i="10"/>
  <c r="P45" i="10"/>
  <c r="R45" i="10"/>
  <c r="N46" i="10"/>
  <c r="P46" i="10"/>
  <c r="R46" i="10"/>
  <c r="T46" i="10"/>
  <c r="N47" i="10"/>
  <c r="P47" i="10"/>
  <c r="R47" i="10"/>
  <c r="N48" i="10"/>
  <c r="P48" i="10"/>
  <c r="R48" i="10"/>
  <c r="N49" i="10"/>
  <c r="P49" i="10"/>
  <c r="R49" i="10"/>
  <c r="T49" i="10"/>
  <c r="N50" i="10"/>
  <c r="P50" i="10"/>
  <c r="R50" i="10"/>
  <c r="T50" i="10"/>
  <c r="L43" i="10"/>
  <c r="F43" i="10" s="1"/>
  <c r="L44" i="10"/>
  <c r="F44" i="10" s="1"/>
  <c r="L45" i="10"/>
  <c r="F45" i="10" s="1"/>
  <c r="L46" i="10"/>
  <c r="F46" i="10" s="1"/>
  <c r="L47" i="10"/>
  <c r="F47" i="10" s="1"/>
  <c r="L48" i="10"/>
  <c r="F48" i="10" s="1"/>
  <c r="L49" i="10"/>
  <c r="F49" i="10" s="1"/>
  <c r="L50" i="10"/>
  <c r="F50" i="10" s="1"/>
  <c r="L51" i="10"/>
  <c r="L52" i="10"/>
  <c r="L36" i="10"/>
  <c r="L37" i="10"/>
  <c r="J37" i="10" s="1"/>
  <c r="L38" i="10"/>
  <c r="J38" i="10" s="1"/>
  <c r="L39" i="10"/>
  <c r="L40" i="10"/>
  <c r="L41" i="10"/>
  <c r="J41" i="10" s="1"/>
  <c r="L42" i="10"/>
  <c r="F42" i="10" s="1"/>
  <c r="L57" i="10"/>
  <c r="J57" i="10" s="1"/>
  <c r="L28" i="10"/>
  <c r="L29" i="10"/>
  <c r="J29" i="10" s="1"/>
  <c r="L30" i="10"/>
  <c r="J30" i="10" s="1"/>
  <c r="L31" i="10"/>
  <c r="J31" i="10" s="1"/>
  <c r="L32" i="10"/>
  <c r="L33" i="10"/>
  <c r="J33" i="10" s="1"/>
  <c r="L34" i="10"/>
  <c r="J34" i="10" s="1"/>
  <c r="L35" i="10"/>
  <c r="B2" i="10"/>
  <c r="G5" i="10"/>
  <c r="G6" i="10"/>
  <c r="B5" i="10"/>
  <c r="B6" i="10"/>
  <c r="G3" i="10"/>
  <c r="G4" i="10"/>
  <c r="B4" i="10"/>
  <c r="B3" i="10"/>
  <c r="F32" i="10" l="1"/>
  <c r="J32" i="10"/>
  <c r="F40" i="10"/>
  <c r="J40" i="10"/>
  <c r="F36" i="10"/>
  <c r="J36" i="10"/>
  <c r="F35" i="10"/>
  <c r="J35" i="10"/>
  <c r="F39" i="10"/>
  <c r="J39" i="10"/>
  <c r="U67" i="7"/>
  <c r="O447" i="8" s="1"/>
  <c r="F673" i="8"/>
  <c r="J673" i="8"/>
  <c r="N673" i="8"/>
  <c r="D673" i="8"/>
  <c r="G673" i="8"/>
  <c r="K673" i="8"/>
  <c r="O673" i="8"/>
  <c r="L673" i="8"/>
  <c r="E673" i="8"/>
  <c r="I673" i="8"/>
  <c r="M673" i="8"/>
  <c r="H673" i="8"/>
  <c r="F445" i="8"/>
  <c r="J445" i="8"/>
  <c r="N445" i="8"/>
  <c r="L445" i="8"/>
  <c r="G445" i="8"/>
  <c r="K445" i="8"/>
  <c r="O445" i="8"/>
  <c r="D445" i="8"/>
  <c r="E445" i="8"/>
  <c r="I445" i="8"/>
  <c r="M445" i="8"/>
  <c r="H445" i="8"/>
  <c r="W65" i="7"/>
  <c r="S65" i="7"/>
  <c r="Y65" i="7"/>
  <c r="W67" i="7"/>
  <c r="S66" i="7"/>
  <c r="Y66" i="7"/>
  <c r="Y67" i="7"/>
  <c r="U66" i="7"/>
  <c r="W66" i="7"/>
  <c r="F41" i="10"/>
  <c r="F37" i="10"/>
  <c r="F33" i="10"/>
  <c r="F38" i="10"/>
  <c r="F34" i="10"/>
  <c r="A87" i="10"/>
  <c r="D447" i="8" l="1"/>
  <c r="E447" i="8"/>
  <c r="F447" i="8"/>
  <c r="I447" i="8"/>
  <c r="J447" i="8"/>
  <c r="M447" i="8"/>
  <c r="N447" i="8"/>
  <c r="H447" i="8"/>
  <c r="L447" i="8"/>
  <c r="G447" i="8"/>
  <c r="K447" i="8"/>
  <c r="F597" i="8"/>
  <c r="J597" i="8"/>
  <c r="N597" i="8"/>
  <c r="G597" i="8"/>
  <c r="K597" i="8"/>
  <c r="O597" i="8"/>
  <c r="E597" i="8"/>
  <c r="I597" i="8"/>
  <c r="M597" i="8"/>
  <c r="H597" i="8"/>
  <c r="D597" i="8"/>
  <c r="L597" i="8"/>
  <c r="F596" i="8"/>
  <c r="J596" i="8"/>
  <c r="N596" i="8"/>
  <c r="G596" i="8"/>
  <c r="K596" i="8"/>
  <c r="O596" i="8"/>
  <c r="E596" i="8"/>
  <c r="I596" i="8"/>
  <c r="M596" i="8"/>
  <c r="L596" i="8"/>
  <c r="H596" i="8"/>
  <c r="D596" i="8"/>
  <c r="F522" i="8"/>
  <c r="J522" i="8"/>
  <c r="N522" i="8"/>
  <c r="G522" i="8"/>
  <c r="K522" i="8"/>
  <c r="O522" i="8"/>
  <c r="E522" i="8"/>
  <c r="I522" i="8"/>
  <c r="M522" i="8"/>
  <c r="D522" i="8"/>
  <c r="L522" i="8"/>
  <c r="H522" i="8"/>
  <c r="F672" i="8"/>
  <c r="J672" i="8"/>
  <c r="N672" i="8"/>
  <c r="D672" i="8"/>
  <c r="G672" i="8"/>
  <c r="K672" i="8"/>
  <c r="O672" i="8"/>
  <c r="H672" i="8"/>
  <c r="E672" i="8"/>
  <c r="I672" i="8"/>
  <c r="M672" i="8"/>
  <c r="L672" i="8"/>
  <c r="F671" i="8"/>
  <c r="J671" i="8"/>
  <c r="N671" i="8"/>
  <c r="D671" i="8"/>
  <c r="G671" i="8"/>
  <c r="K671" i="8"/>
  <c r="O671" i="8"/>
  <c r="H671" i="8"/>
  <c r="E671" i="8"/>
  <c r="I671" i="8"/>
  <c r="M671" i="8"/>
  <c r="L671" i="8"/>
  <c r="F446" i="8"/>
  <c r="J446" i="8"/>
  <c r="N446" i="8"/>
  <c r="L446" i="8"/>
  <c r="G446" i="8"/>
  <c r="K446" i="8"/>
  <c r="O446" i="8"/>
  <c r="D446" i="8"/>
  <c r="E446" i="8"/>
  <c r="I446" i="8"/>
  <c r="M446" i="8"/>
  <c r="H446" i="8"/>
  <c r="F523" i="8"/>
  <c r="J523" i="8"/>
  <c r="N523" i="8"/>
  <c r="G523" i="8"/>
  <c r="K523" i="8"/>
  <c r="O523" i="8"/>
  <c r="E523" i="8"/>
  <c r="I523" i="8"/>
  <c r="M523" i="8"/>
  <c r="D523" i="8"/>
  <c r="H523" i="8"/>
  <c r="L523" i="8"/>
  <c r="F521" i="8"/>
  <c r="J521" i="8"/>
  <c r="N521" i="8"/>
  <c r="G521" i="8"/>
  <c r="K521" i="8"/>
  <c r="O521" i="8"/>
  <c r="E521" i="8"/>
  <c r="I521" i="8"/>
  <c r="M521" i="8"/>
  <c r="L521" i="8"/>
  <c r="H521" i="8"/>
  <c r="D521" i="8"/>
  <c r="B110" i="8"/>
  <c r="B111" i="8"/>
  <c r="B112" i="8"/>
  <c r="B103" i="8"/>
  <c r="B104" i="8"/>
  <c r="B105" i="8"/>
  <c r="B106" i="8"/>
  <c r="B107" i="8"/>
  <c r="B108" i="8"/>
  <c r="B109" i="8"/>
  <c r="B102" i="8"/>
  <c r="T82" i="10"/>
  <c r="T124" i="10"/>
  <c r="P30" i="10"/>
  <c r="P31" i="10"/>
  <c r="P32" i="10"/>
  <c r="P51" i="10"/>
  <c r="P82" i="10"/>
  <c r="P111" i="10"/>
  <c r="P117" i="10"/>
  <c r="P118" i="10"/>
  <c r="P119" i="10"/>
  <c r="P120" i="10"/>
  <c r="P121" i="10"/>
  <c r="P122" i="10"/>
  <c r="P123" i="10"/>
  <c r="P124" i="10"/>
  <c r="P145" i="10"/>
  <c r="P146" i="10"/>
  <c r="P147" i="10"/>
  <c r="P168" i="10"/>
  <c r="E189" i="8"/>
  <c r="E277" i="8" s="1"/>
  <c r="F189" i="8"/>
  <c r="F277" i="8" s="1"/>
  <c r="G189" i="8"/>
  <c r="G277" i="8" s="1"/>
  <c r="H189" i="8"/>
  <c r="H277" i="8" s="1"/>
  <c r="I189" i="8"/>
  <c r="I277" i="8" s="1"/>
  <c r="J189" i="8"/>
  <c r="J277" i="8" s="1"/>
  <c r="K189" i="8"/>
  <c r="K277" i="8" s="1"/>
  <c r="L189" i="8"/>
  <c r="L277" i="8" s="1"/>
  <c r="M189" i="8"/>
  <c r="M277" i="8" s="1"/>
  <c r="N189" i="8"/>
  <c r="N277" i="8" s="1"/>
  <c r="O189" i="8"/>
  <c r="O277" i="8" s="1"/>
  <c r="D201" i="8"/>
  <c r="E201" i="8"/>
  <c r="F201" i="8"/>
  <c r="G201" i="8"/>
  <c r="H201" i="8"/>
  <c r="I201" i="8"/>
  <c r="J201" i="8"/>
  <c r="K201" i="8"/>
  <c r="L201" i="8"/>
  <c r="M201" i="8"/>
  <c r="N201" i="8"/>
  <c r="O201" i="8"/>
  <c r="R30" i="10"/>
  <c r="R31" i="10"/>
  <c r="R32" i="10"/>
  <c r="R51" i="10"/>
  <c r="R82" i="10"/>
  <c r="R111" i="10"/>
  <c r="R117" i="10"/>
  <c r="R118" i="10"/>
  <c r="R119" i="10"/>
  <c r="R120" i="10"/>
  <c r="R121" i="10"/>
  <c r="R122" i="10"/>
  <c r="R123" i="10"/>
  <c r="R124" i="10"/>
  <c r="R145" i="10"/>
  <c r="R146" i="10"/>
  <c r="R147" i="10"/>
  <c r="R168" i="10"/>
  <c r="D190" i="8"/>
  <c r="E190" i="8"/>
  <c r="E281" i="8" s="1"/>
  <c r="F190" i="8"/>
  <c r="F281" i="8" s="1"/>
  <c r="G190" i="8"/>
  <c r="H190" i="8"/>
  <c r="H281" i="8" s="1"/>
  <c r="I190" i="8"/>
  <c r="I281" i="8" s="1"/>
  <c r="J190" i="8"/>
  <c r="J281" i="8" s="1"/>
  <c r="K190" i="8"/>
  <c r="K281" i="8" s="1"/>
  <c r="L190" i="8"/>
  <c r="L281" i="8" s="1"/>
  <c r="M190" i="8"/>
  <c r="M281" i="8" s="1"/>
  <c r="N190" i="8"/>
  <c r="N281" i="8" s="1"/>
  <c r="O190" i="8"/>
  <c r="O281" i="8" s="1"/>
  <c r="T51" i="10"/>
  <c r="T111" i="10"/>
  <c r="T145" i="10"/>
  <c r="T146" i="10"/>
  <c r="T147" i="10"/>
  <c r="T168" i="10"/>
  <c r="D191" i="8"/>
  <c r="E191" i="8"/>
  <c r="F191" i="8"/>
  <c r="G191" i="8"/>
  <c r="H191" i="8"/>
  <c r="H285" i="8" s="1"/>
  <c r="I191" i="8"/>
  <c r="I285" i="8" s="1"/>
  <c r="J191" i="8"/>
  <c r="K191" i="8"/>
  <c r="K285" i="8" s="1"/>
  <c r="L191" i="8"/>
  <c r="L285" i="8" s="1"/>
  <c r="M191" i="8"/>
  <c r="M285" i="8" s="1"/>
  <c r="N191" i="8"/>
  <c r="N285" i="8" s="1"/>
  <c r="O191" i="8"/>
  <c r="O285" i="8" s="1"/>
  <c r="D197" i="8"/>
  <c r="D286" i="8" s="1"/>
  <c r="E197" i="8"/>
  <c r="F197" i="8"/>
  <c r="F286" i="8" s="1"/>
  <c r="G197" i="8"/>
  <c r="H197" i="8"/>
  <c r="H286" i="8" s="1"/>
  <c r="I197" i="8"/>
  <c r="I286" i="8" s="1"/>
  <c r="J197" i="8"/>
  <c r="K197" i="8"/>
  <c r="L197" i="8"/>
  <c r="L286" i="8" s="1"/>
  <c r="M197" i="8"/>
  <c r="M286" i="8" s="1"/>
  <c r="N197" i="8"/>
  <c r="N286" i="8" s="1"/>
  <c r="O197" i="8"/>
  <c r="O286" i="8" s="1"/>
  <c r="N30" i="10"/>
  <c r="N31" i="10"/>
  <c r="N32" i="10"/>
  <c r="N51" i="10"/>
  <c r="N82" i="10"/>
  <c r="N111" i="10"/>
  <c r="N117" i="10"/>
  <c r="N118" i="10"/>
  <c r="N119" i="10"/>
  <c r="N120" i="10"/>
  <c r="N121" i="10"/>
  <c r="N122" i="10"/>
  <c r="N123" i="10"/>
  <c r="N124" i="10"/>
  <c r="N145" i="10"/>
  <c r="N146" i="10"/>
  <c r="N147" i="10"/>
  <c r="N168" i="10"/>
  <c r="D192" i="8"/>
  <c r="E192" i="8"/>
  <c r="F192" i="8"/>
  <c r="G192" i="8"/>
  <c r="H192" i="8"/>
  <c r="I192" i="8"/>
  <c r="J192" i="8"/>
  <c r="K192" i="8"/>
  <c r="L192" i="8"/>
  <c r="M192" i="8"/>
  <c r="N192" i="8"/>
  <c r="O192" i="8"/>
  <c r="D193" i="8"/>
  <c r="E193" i="8"/>
  <c r="F193" i="8"/>
  <c r="G193" i="8"/>
  <c r="H193" i="8"/>
  <c r="I193" i="8"/>
  <c r="J193" i="8"/>
  <c r="K193" i="8"/>
  <c r="L193" i="8"/>
  <c r="M193" i="8"/>
  <c r="N193" i="8"/>
  <c r="O193" i="8"/>
  <c r="D198" i="8"/>
  <c r="E198" i="8"/>
  <c r="F198" i="8"/>
  <c r="G198" i="8"/>
  <c r="H198" i="8"/>
  <c r="I198" i="8"/>
  <c r="J198" i="8"/>
  <c r="K198" i="8"/>
  <c r="L198" i="8"/>
  <c r="M198" i="8"/>
  <c r="N198" i="8"/>
  <c r="O198" i="8"/>
  <c r="D199" i="8"/>
  <c r="E199" i="8"/>
  <c r="F199" i="8"/>
  <c r="G199" i="8"/>
  <c r="H199" i="8"/>
  <c r="I199" i="8"/>
  <c r="J199" i="8"/>
  <c r="K199" i="8"/>
  <c r="L199" i="8"/>
  <c r="M199" i="8"/>
  <c r="N199" i="8"/>
  <c r="O199" i="8"/>
  <c r="C8" i="8"/>
  <c r="J15" i="8" s="1"/>
  <c r="I51" i="10"/>
  <c r="O21" i="10"/>
  <c r="N21" i="10"/>
  <c r="R55" i="5"/>
  <c r="R54" i="5"/>
  <c r="C37" i="5"/>
  <c r="E68" i="9"/>
  <c r="F68" i="9"/>
  <c r="G68" i="9"/>
  <c r="H68" i="9"/>
  <c r="I68" i="9"/>
  <c r="J68" i="9"/>
  <c r="K68" i="9"/>
  <c r="L68" i="9"/>
  <c r="M68" i="9"/>
  <c r="N68" i="9"/>
  <c r="O68" i="9"/>
  <c r="D68" i="9"/>
  <c r="K2" i="5"/>
  <c r="P75" i="9"/>
  <c r="P74" i="9"/>
  <c r="P73" i="9"/>
  <c r="O76" i="9"/>
  <c r="N76" i="9"/>
  <c r="M76" i="9"/>
  <c r="L76" i="9"/>
  <c r="K76" i="9"/>
  <c r="J76" i="9"/>
  <c r="I76" i="9"/>
  <c r="H76" i="9"/>
  <c r="G76" i="9"/>
  <c r="F76" i="9"/>
  <c r="E76" i="9"/>
  <c r="D76" i="9"/>
  <c r="R96" i="7"/>
  <c r="E99" i="7"/>
  <c r="F99" i="7"/>
  <c r="G99" i="7"/>
  <c r="H99" i="7"/>
  <c r="I99" i="7"/>
  <c r="J99" i="7"/>
  <c r="K99" i="7"/>
  <c r="L99" i="7"/>
  <c r="M99" i="7"/>
  <c r="N99" i="7"/>
  <c r="O99" i="7"/>
  <c r="P99" i="7"/>
  <c r="R97" i="7"/>
  <c r="R98" i="7"/>
  <c r="C20" i="8" s="1"/>
  <c r="F21" i="10"/>
  <c r="K21" i="10"/>
  <c r="K169" i="10"/>
  <c r="K141" i="10"/>
  <c r="K112" i="10"/>
  <c r="K83" i="10"/>
  <c r="K52" i="10"/>
  <c r="D112" i="11"/>
  <c r="E112" i="11"/>
  <c r="F112" i="11"/>
  <c r="G112" i="11"/>
  <c r="H112" i="11"/>
  <c r="I112" i="11"/>
  <c r="J112" i="11"/>
  <c r="K112" i="11"/>
  <c r="L112" i="11"/>
  <c r="M112" i="11"/>
  <c r="N112" i="11"/>
  <c r="C112" i="11"/>
  <c r="D47" i="11"/>
  <c r="E47" i="11"/>
  <c r="F47" i="11"/>
  <c r="G47" i="11"/>
  <c r="H47" i="11"/>
  <c r="I47" i="11"/>
  <c r="J47" i="11"/>
  <c r="K47" i="11"/>
  <c r="L47" i="11"/>
  <c r="M47" i="11"/>
  <c r="N47" i="11"/>
  <c r="C47" i="11"/>
  <c r="D68" i="11"/>
  <c r="E68" i="11"/>
  <c r="F68" i="11"/>
  <c r="G68" i="11"/>
  <c r="H68" i="11"/>
  <c r="I68" i="11"/>
  <c r="J68" i="11"/>
  <c r="K68" i="11"/>
  <c r="L68" i="11"/>
  <c r="M68" i="11"/>
  <c r="N68" i="11"/>
  <c r="C68" i="11"/>
  <c r="D134" i="11"/>
  <c r="E134" i="11"/>
  <c r="F134" i="11"/>
  <c r="G134" i="11"/>
  <c r="H134" i="11"/>
  <c r="I134" i="11"/>
  <c r="J134" i="11"/>
  <c r="K134" i="11"/>
  <c r="L134" i="11"/>
  <c r="M134" i="11"/>
  <c r="N134" i="11"/>
  <c r="C134" i="11"/>
  <c r="D91" i="11"/>
  <c r="E91" i="11"/>
  <c r="F91" i="11"/>
  <c r="G91" i="11"/>
  <c r="H91" i="11"/>
  <c r="I91" i="11"/>
  <c r="J91" i="11"/>
  <c r="K91" i="11"/>
  <c r="L91" i="11"/>
  <c r="M91" i="11"/>
  <c r="N91" i="11"/>
  <c r="C91" i="11"/>
  <c r="C133" i="11"/>
  <c r="C111" i="11"/>
  <c r="C46" i="11"/>
  <c r="D46" i="11" s="1"/>
  <c r="D127" i="11"/>
  <c r="E127" i="11"/>
  <c r="F127" i="11"/>
  <c r="G127" i="11"/>
  <c r="H127" i="11"/>
  <c r="I127" i="11"/>
  <c r="J127" i="11"/>
  <c r="K127" i="11"/>
  <c r="L127" i="11"/>
  <c r="M127" i="11"/>
  <c r="N127" i="11"/>
  <c r="D128" i="11"/>
  <c r="E128" i="11"/>
  <c r="F128" i="11"/>
  <c r="G128" i="11"/>
  <c r="H128" i="11"/>
  <c r="I128" i="11"/>
  <c r="J128" i="11"/>
  <c r="K128" i="11"/>
  <c r="L128" i="11"/>
  <c r="M128" i="11"/>
  <c r="N128" i="11"/>
  <c r="C128" i="11"/>
  <c r="C127" i="11"/>
  <c r="D62" i="11"/>
  <c r="E62" i="11"/>
  <c r="F62" i="11"/>
  <c r="G62" i="11"/>
  <c r="H62" i="11"/>
  <c r="I62" i="11"/>
  <c r="J62" i="11"/>
  <c r="K62" i="11"/>
  <c r="L62" i="11"/>
  <c r="M62" i="11"/>
  <c r="N62" i="11"/>
  <c r="D63" i="11"/>
  <c r="E63" i="11"/>
  <c r="F63" i="11"/>
  <c r="G63" i="11"/>
  <c r="H63" i="11"/>
  <c r="I63" i="11"/>
  <c r="J63" i="11"/>
  <c r="K63" i="11"/>
  <c r="L63" i="11"/>
  <c r="M63" i="11"/>
  <c r="N63" i="11"/>
  <c r="C63" i="11"/>
  <c r="C62" i="11"/>
  <c r="D41" i="11"/>
  <c r="E41" i="11"/>
  <c r="F41" i="11"/>
  <c r="G41" i="11"/>
  <c r="H41" i="11"/>
  <c r="I41" i="11"/>
  <c r="J41" i="11"/>
  <c r="K41" i="11"/>
  <c r="L41" i="11"/>
  <c r="M41" i="11"/>
  <c r="N41" i="11"/>
  <c r="D42" i="11"/>
  <c r="E42" i="11"/>
  <c r="F42" i="11"/>
  <c r="G42" i="11"/>
  <c r="H42" i="11"/>
  <c r="I42" i="11"/>
  <c r="J42" i="11"/>
  <c r="K42" i="11"/>
  <c r="L42" i="11"/>
  <c r="M42" i="11"/>
  <c r="N42" i="11"/>
  <c r="C42" i="11"/>
  <c r="C41" i="11"/>
  <c r="C89" i="11"/>
  <c r="D129" i="11"/>
  <c r="E129" i="11"/>
  <c r="F129" i="11"/>
  <c r="G129" i="11"/>
  <c r="H129" i="11"/>
  <c r="I129" i="11"/>
  <c r="J129" i="11"/>
  <c r="K129" i="11"/>
  <c r="L129" i="11"/>
  <c r="M129" i="11"/>
  <c r="N129" i="11"/>
  <c r="C129" i="11"/>
  <c r="D126" i="11"/>
  <c r="E126" i="11"/>
  <c r="F126" i="11"/>
  <c r="G126" i="11"/>
  <c r="H126" i="11"/>
  <c r="I126" i="11"/>
  <c r="J126" i="11"/>
  <c r="K126" i="11"/>
  <c r="L126" i="11"/>
  <c r="M126" i="11"/>
  <c r="N126" i="11"/>
  <c r="C126" i="11"/>
  <c r="D107" i="11"/>
  <c r="E107" i="11"/>
  <c r="F107" i="11"/>
  <c r="G107" i="11"/>
  <c r="H107" i="11"/>
  <c r="I107" i="11"/>
  <c r="J107" i="11"/>
  <c r="K107" i="11"/>
  <c r="L107" i="11"/>
  <c r="M107" i="11"/>
  <c r="N107" i="11"/>
  <c r="C107" i="11"/>
  <c r="D106" i="11"/>
  <c r="E106" i="11"/>
  <c r="F106" i="11"/>
  <c r="G106" i="11"/>
  <c r="H106" i="11"/>
  <c r="I106" i="11"/>
  <c r="J106" i="11"/>
  <c r="K106" i="11"/>
  <c r="L106" i="11"/>
  <c r="M106" i="11"/>
  <c r="N106" i="11"/>
  <c r="C106" i="11"/>
  <c r="D105" i="11"/>
  <c r="E105" i="11"/>
  <c r="F105" i="11"/>
  <c r="G105" i="11"/>
  <c r="H105" i="11"/>
  <c r="I105" i="11"/>
  <c r="J105" i="11"/>
  <c r="K105" i="11"/>
  <c r="L105" i="11"/>
  <c r="M105" i="11"/>
  <c r="N105" i="11"/>
  <c r="C105" i="11"/>
  <c r="H83" i="11"/>
  <c r="G82" i="11"/>
  <c r="D85" i="11"/>
  <c r="E85" i="11"/>
  <c r="F85" i="11"/>
  <c r="G85" i="11"/>
  <c r="H85" i="11"/>
  <c r="I85" i="11"/>
  <c r="J85" i="11"/>
  <c r="K85" i="11"/>
  <c r="L85" i="11"/>
  <c r="M85" i="11"/>
  <c r="N85" i="11"/>
  <c r="C85" i="11"/>
  <c r="D84" i="11"/>
  <c r="E84" i="11"/>
  <c r="F84" i="11"/>
  <c r="G84" i="11"/>
  <c r="H84" i="11"/>
  <c r="I84" i="11"/>
  <c r="J84" i="11"/>
  <c r="K84" i="11"/>
  <c r="L84" i="11"/>
  <c r="M84" i="11"/>
  <c r="N84" i="11"/>
  <c r="C84" i="11"/>
  <c r="D82" i="11"/>
  <c r="E82" i="11"/>
  <c r="F82" i="11"/>
  <c r="H82" i="11"/>
  <c r="I82" i="11"/>
  <c r="J82" i="11"/>
  <c r="K82" i="11"/>
  <c r="L82" i="11"/>
  <c r="M82" i="11"/>
  <c r="N82" i="11"/>
  <c r="C82" i="11"/>
  <c r="D83" i="11"/>
  <c r="E83" i="11"/>
  <c r="F83" i="11"/>
  <c r="G83" i="11"/>
  <c r="I83" i="11"/>
  <c r="J83" i="11"/>
  <c r="K83" i="11"/>
  <c r="L83" i="11"/>
  <c r="M83" i="11"/>
  <c r="N83" i="11"/>
  <c r="C83" i="11"/>
  <c r="D64" i="11"/>
  <c r="E64" i="11"/>
  <c r="F64" i="11"/>
  <c r="G64" i="11"/>
  <c r="H64" i="11"/>
  <c r="I64" i="11"/>
  <c r="J64" i="11"/>
  <c r="K64" i="11"/>
  <c r="L64" i="11"/>
  <c r="M64" i="11"/>
  <c r="N64" i="11"/>
  <c r="C64" i="11"/>
  <c r="D61" i="11"/>
  <c r="E61" i="11"/>
  <c r="F61" i="11"/>
  <c r="G61" i="11"/>
  <c r="H61" i="11"/>
  <c r="I61" i="11"/>
  <c r="J61" i="11"/>
  <c r="K61" i="11"/>
  <c r="L61" i="11"/>
  <c r="M61" i="11"/>
  <c r="N61" i="11"/>
  <c r="C61" i="11"/>
  <c r="D67" i="11"/>
  <c r="D40" i="11"/>
  <c r="E40" i="11"/>
  <c r="F40" i="11"/>
  <c r="G40" i="11"/>
  <c r="H40" i="11"/>
  <c r="I40" i="11"/>
  <c r="J40" i="11"/>
  <c r="K40" i="11"/>
  <c r="L40" i="11"/>
  <c r="M40" i="11"/>
  <c r="N40" i="11"/>
  <c r="C40" i="11"/>
  <c r="D43" i="11"/>
  <c r="E43" i="11"/>
  <c r="F43" i="11"/>
  <c r="G43" i="11"/>
  <c r="H43" i="11"/>
  <c r="I43" i="11"/>
  <c r="J43" i="11"/>
  <c r="K43" i="11"/>
  <c r="L43" i="11"/>
  <c r="M43" i="11"/>
  <c r="N43" i="11"/>
  <c r="C43" i="11"/>
  <c r="Q57" i="5"/>
  <c r="Q52" i="5"/>
  <c r="Q47" i="5"/>
  <c r="G88" i="5"/>
  <c r="H88" i="5"/>
  <c r="I88" i="5"/>
  <c r="J88" i="5"/>
  <c r="K88" i="5"/>
  <c r="L88" i="5"/>
  <c r="M88" i="5"/>
  <c r="N88" i="5"/>
  <c r="O88" i="5"/>
  <c r="P88" i="5"/>
  <c r="G87" i="5"/>
  <c r="H87" i="5"/>
  <c r="I87" i="5"/>
  <c r="J87" i="5"/>
  <c r="K87" i="5"/>
  <c r="L87" i="5"/>
  <c r="M87" i="5"/>
  <c r="N87" i="5"/>
  <c r="O87" i="5"/>
  <c r="P87" i="5"/>
  <c r="F87" i="5"/>
  <c r="E87" i="5"/>
  <c r="G85" i="5"/>
  <c r="H85" i="5"/>
  <c r="I85" i="5"/>
  <c r="J85" i="5"/>
  <c r="K85" i="5"/>
  <c r="L85" i="5"/>
  <c r="M85" i="5"/>
  <c r="N85" i="5"/>
  <c r="O85" i="5"/>
  <c r="P85" i="5"/>
  <c r="F85" i="5"/>
  <c r="F84" i="5"/>
  <c r="G84" i="5"/>
  <c r="H84" i="5"/>
  <c r="I84" i="5"/>
  <c r="J84" i="5"/>
  <c r="K84" i="5"/>
  <c r="L84" i="5"/>
  <c r="M84" i="5"/>
  <c r="N84" i="5"/>
  <c r="O84" i="5"/>
  <c r="P84" i="5"/>
  <c r="E84" i="5"/>
  <c r="P83" i="5"/>
  <c r="G83" i="5"/>
  <c r="H83" i="5"/>
  <c r="I83" i="5"/>
  <c r="J83" i="5"/>
  <c r="K83" i="5"/>
  <c r="L83" i="5"/>
  <c r="M83" i="5"/>
  <c r="N83" i="5"/>
  <c r="O83" i="5"/>
  <c r="F82" i="5"/>
  <c r="E82" i="5"/>
  <c r="Q56" i="5"/>
  <c r="Q54" i="5"/>
  <c r="Q51" i="5"/>
  <c r="Q49" i="5"/>
  <c r="Q46" i="5"/>
  <c r="Q44" i="5"/>
  <c r="Q41" i="5"/>
  <c r="Q39" i="5"/>
  <c r="Q42" i="5"/>
  <c r="G21" i="10"/>
  <c r="H12" i="10"/>
  <c r="P12" i="10"/>
  <c r="I12" i="10" s="1"/>
  <c r="H13" i="10"/>
  <c r="H14" i="10"/>
  <c r="H15" i="10"/>
  <c r="J15" i="10" s="1"/>
  <c r="H16" i="10"/>
  <c r="H17" i="10"/>
  <c r="H18" i="10"/>
  <c r="H20" i="10"/>
  <c r="J20" i="10" s="1"/>
  <c r="H19" i="10"/>
  <c r="P52" i="5"/>
  <c r="N124" i="11" s="1"/>
  <c r="O52" i="5"/>
  <c r="M124" i="11" s="1"/>
  <c r="N52" i="5"/>
  <c r="L124" i="11" s="1"/>
  <c r="M52" i="5"/>
  <c r="K124" i="11" s="1"/>
  <c r="L52" i="5"/>
  <c r="J124" i="11" s="1"/>
  <c r="K52" i="5"/>
  <c r="I124" i="11" s="1"/>
  <c r="J52" i="5"/>
  <c r="H124" i="11" s="1"/>
  <c r="I52" i="5"/>
  <c r="G124" i="11" s="1"/>
  <c r="H52" i="5"/>
  <c r="F124" i="11" s="1"/>
  <c r="G52" i="5"/>
  <c r="E124" i="11" s="1"/>
  <c r="F52" i="5"/>
  <c r="E52" i="5"/>
  <c r="C124" i="11" s="1"/>
  <c r="P47" i="5"/>
  <c r="O47" i="5"/>
  <c r="N47" i="5"/>
  <c r="M47" i="5"/>
  <c r="L47" i="5"/>
  <c r="K47" i="5"/>
  <c r="J47" i="5"/>
  <c r="I47" i="5"/>
  <c r="H47" i="5"/>
  <c r="G47" i="5"/>
  <c r="F47" i="5"/>
  <c r="E47" i="5"/>
  <c r="C103" i="11" s="1"/>
  <c r="F42" i="5"/>
  <c r="D81" i="11" s="1"/>
  <c r="G42" i="5"/>
  <c r="E81" i="11" s="1"/>
  <c r="H42" i="5"/>
  <c r="F81" i="11" s="1"/>
  <c r="I42" i="5"/>
  <c r="G81" i="11" s="1"/>
  <c r="J42" i="5"/>
  <c r="H81" i="11" s="1"/>
  <c r="K42" i="5"/>
  <c r="I81" i="11" s="1"/>
  <c r="L42" i="5"/>
  <c r="J81" i="11" s="1"/>
  <c r="M42" i="5"/>
  <c r="K81" i="11" s="1"/>
  <c r="N42" i="5"/>
  <c r="L81" i="11" s="1"/>
  <c r="O42" i="5"/>
  <c r="M81" i="11" s="1"/>
  <c r="P42" i="5"/>
  <c r="N81" i="11" s="1"/>
  <c r="E42" i="5"/>
  <c r="H91" i="8"/>
  <c r="F169" i="10"/>
  <c r="F141" i="10"/>
  <c r="F112" i="10"/>
  <c r="F83" i="10"/>
  <c r="F26" i="7"/>
  <c r="G26" i="7"/>
  <c r="H26" i="7"/>
  <c r="I26" i="7"/>
  <c r="J26" i="7"/>
  <c r="K26" i="7"/>
  <c r="A146" i="10"/>
  <c r="A147" i="10"/>
  <c r="A148" i="10"/>
  <c r="A158" i="10"/>
  <c r="A159" i="10"/>
  <c r="A160" i="10"/>
  <c r="A161" i="10"/>
  <c r="A162" i="10"/>
  <c r="A163" i="10"/>
  <c r="A164" i="10"/>
  <c r="A165" i="10"/>
  <c r="A166" i="10"/>
  <c r="A167" i="10"/>
  <c r="A168" i="10"/>
  <c r="A145"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16"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56" i="10"/>
  <c r="A28" i="10"/>
  <c r="A29" i="10"/>
  <c r="A30" i="10"/>
  <c r="A31" i="10"/>
  <c r="A32" i="10"/>
  <c r="A33" i="10"/>
  <c r="A34" i="10"/>
  <c r="A35" i="10"/>
  <c r="A36" i="10"/>
  <c r="A37" i="10"/>
  <c r="A38" i="10"/>
  <c r="A39" i="10"/>
  <c r="A40" i="10"/>
  <c r="A41" i="10"/>
  <c r="A49" i="10"/>
  <c r="A50" i="10"/>
  <c r="A51" i="10"/>
  <c r="A27" i="10"/>
  <c r="L27" i="10"/>
  <c r="E82" i="10"/>
  <c r="L56" i="10"/>
  <c r="J56" i="10" s="1"/>
  <c r="L88" i="10"/>
  <c r="J88" i="10" s="1"/>
  <c r="L111" i="10"/>
  <c r="E111" i="10" s="1"/>
  <c r="L87" i="10"/>
  <c r="J87" i="10" s="1"/>
  <c r="T117" i="10"/>
  <c r="T118" i="10"/>
  <c r="T119" i="10"/>
  <c r="T120" i="10"/>
  <c r="T121" i="10"/>
  <c r="T122" i="10"/>
  <c r="T123" i="10"/>
  <c r="L116" i="10"/>
  <c r="J116" i="10" s="1"/>
  <c r="L146" i="10"/>
  <c r="L168" i="10"/>
  <c r="L145" i="10"/>
  <c r="B2" i="11"/>
  <c r="H2" i="11"/>
  <c r="H3" i="11"/>
  <c r="H4" i="11"/>
  <c r="H5" i="11"/>
  <c r="H6" i="11"/>
  <c r="H7" i="11"/>
  <c r="B3" i="11"/>
  <c r="B4" i="11"/>
  <c r="B5" i="11"/>
  <c r="B6" i="11"/>
  <c r="B7" i="11"/>
  <c r="P26" i="7"/>
  <c r="O26" i="7"/>
  <c r="N26" i="7"/>
  <c r="M26" i="7"/>
  <c r="L26" i="7"/>
  <c r="E26" i="7"/>
  <c r="C26" i="7"/>
  <c r="Q23" i="7"/>
  <c r="P22" i="7"/>
  <c r="O22" i="7"/>
  <c r="N22" i="7"/>
  <c r="M22" i="7"/>
  <c r="L22" i="7"/>
  <c r="K22" i="7"/>
  <c r="J22" i="7"/>
  <c r="I22" i="7"/>
  <c r="H22" i="7"/>
  <c r="G22" i="7"/>
  <c r="F22" i="7"/>
  <c r="E22" i="7"/>
  <c r="C22" i="7"/>
  <c r="Q19" i="7"/>
  <c r="P18" i="7"/>
  <c r="O18" i="7"/>
  <c r="N18" i="7"/>
  <c r="M18" i="7"/>
  <c r="L18" i="7"/>
  <c r="K18" i="7"/>
  <c r="J18" i="7"/>
  <c r="I18" i="7"/>
  <c r="H18" i="7"/>
  <c r="G18" i="7"/>
  <c r="F18" i="7"/>
  <c r="E18" i="7"/>
  <c r="Z69" i="7" s="1"/>
  <c r="C18" i="7"/>
  <c r="Q15" i="7"/>
  <c r="P14" i="7"/>
  <c r="O14" i="7"/>
  <c r="N14" i="7"/>
  <c r="M14" i="7"/>
  <c r="L14" i="7"/>
  <c r="K14" i="7"/>
  <c r="J14" i="7"/>
  <c r="I14" i="7"/>
  <c r="H14" i="7"/>
  <c r="G14" i="7"/>
  <c r="F14" i="7"/>
  <c r="E14" i="7"/>
  <c r="C14" i="7"/>
  <c r="Q11" i="7"/>
  <c r="P10" i="7"/>
  <c r="O10" i="7"/>
  <c r="N10" i="7"/>
  <c r="M10" i="7"/>
  <c r="L10" i="7"/>
  <c r="K10" i="7"/>
  <c r="J10" i="7"/>
  <c r="I10" i="7"/>
  <c r="H10" i="7"/>
  <c r="G10" i="7"/>
  <c r="F10" i="7"/>
  <c r="E10" i="7"/>
  <c r="V69" i="7" s="1"/>
  <c r="C10" i="7"/>
  <c r="Q7" i="7"/>
  <c r="C75" i="5"/>
  <c r="E239" i="8"/>
  <c r="F239" i="8"/>
  <c r="G239" i="8"/>
  <c r="H239" i="8"/>
  <c r="I239" i="8"/>
  <c r="J239" i="8"/>
  <c r="K239" i="8"/>
  <c r="L239" i="8"/>
  <c r="M239" i="8"/>
  <c r="N239" i="8"/>
  <c r="O239" i="8"/>
  <c r="E240" i="8"/>
  <c r="F240" i="8"/>
  <c r="G240" i="8"/>
  <c r="H240" i="8"/>
  <c r="I240" i="8"/>
  <c r="J240" i="8"/>
  <c r="K240" i="8"/>
  <c r="L240" i="8"/>
  <c r="M240" i="8"/>
  <c r="N240" i="8"/>
  <c r="O240" i="8"/>
  <c r="D240" i="8"/>
  <c r="D239" i="8"/>
  <c r="O238" i="8"/>
  <c r="F238" i="8"/>
  <c r="G238" i="8"/>
  <c r="H238" i="8"/>
  <c r="I238" i="8"/>
  <c r="J238" i="8"/>
  <c r="K238" i="8"/>
  <c r="L238" i="8"/>
  <c r="M238" i="8"/>
  <c r="N238" i="8"/>
  <c r="D238" i="8"/>
  <c r="O43" i="9"/>
  <c r="N43" i="9"/>
  <c r="M43" i="9"/>
  <c r="L43" i="9"/>
  <c r="K43" i="9"/>
  <c r="J43" i="9"/>
  <c r="I43" i="9"/>
  <c r="H43" i="9"/>
  <c r="G43" i="9"/>
  <c r="F43" i="9"/>
  <c r="D43" i="9"/>
  <c r="P42" i="9"/>
  <c r="O41" i="9"/>
  <c r="N41" i="9"/>
  <c r="M41" i="9"/>
  <c r="L41" i="9"/>
  <c r="K41" i="9"/>
  <c r="J41" i="9"/>
  <c r="I41" i="9"/>
  <c r="H41" i="9"/>
  <c r="G41" i="9"/>
  <c r="F41" i="9"/>
  <c r="E41" i="9"/>
  <c r="D41" i="9"/>
  <c r="P39" i="9"/>
  <c r="P41" i="9" s="1"/>
  <c r="P38" i="9"/>
  <c r="O37" i="9"/>
  <c r="N37" i="9"/>
  <c r="M37" i="9"/>
  <c r="L37" i="9"/>
  <c r="K37" i="9"/>
  <c r="J37" i="9"/>
  <c r="I37" i="9"/>
  <c r="H37" i="9"/>
  <c r="G37" i="9"/>
  <c r="F37" i="9"/>
  <c r="E37" i="9"/>
  <c r="D37" i="9"/>
  <c r="P35" i="9"/>
  <c r="P37" i="9" s="1"/>
  <c r="O33" i="9"/>
  <c r="N33" i="9"/>
  <c r="M33" i="9"/>
  <c r="L33" i="9"/>
  <c r="K33" i="9"/>
  <c r="J33" i="9"/>
  <c r="I33" i="9"/>
  <c r="H33" i="9"/>
  <c r="G33" i="9"/>
  <c r="F33" i="9"/>
  <c r="D33" i="9"/>
  <c r="P31" i="9"/>
  <c r="O27" i="9"/>
  <c r="O234" i="8" s="1"/>
  <c r="N27" i="9"/>
  <c r="N234" i="8" s="1"/>
  <c r="M27" i="9"/>
  <c r="M234" i="8" s="1"/>
  <c r="L27" i="9"/>
  <c r="L234" i="8" s="1"/>
  <c r="K27" i="9"/>
  <c r="K234" i="8" s="1"/>
  <c r="J27" i="9"/>
  <c r="I27" i="9"/>
  <c r="I234" i="8" s="1"/>
  <c r="H27" i="9"/>
  <c r="H234" i="8" s="1"/>
  <c r="G27" i="9"/>
  <c r="G234" i="8" s="1"/>
  <c r="F27" i="9"/>
  <c r="F234" i="8" s="1"/>
  <c r="E27" i="9"/>
  <c r="E234" i="8" s="1"/>
  <c r="D27" i="9"/>
  <c r="D234" i="8" s="1"/>
  <c r="P24" i="9"/>
  <c r="O23" i="9"/>
  <c r="O233" i="8" s="1"/>
  <c r="N23" i="9"/>
  <c r="N233" i="8" s="1"/>
  <c r="M23" i="9"/>
  <c r="M233" i="8" s="1"/>
  <c r="L23" i="9"/>
  <c r="L233" i="8" s="1"/>
  <c r="K23" i="9"/>
  <c r="K233" i="8" s="1"/>
  <c r="J23" i="9"/>
  <c r="J233" i="8" s="1"/>
  <c r="I23" i="9"/>
  <c r="I233" i="8" s="1"/>
  <c r="H23" i="9"/>
  <c r="H233" i="8" s="1"/>
  <c r="G23" i="9"/>
  <c r="G233" i="8" s="1"/>
  <c r="F23" i="9"/>
  <c r="F233" i="8" s="1"/>
  <c r="E23" i="9"/>
  <c r="E233" i="8" s="1"/>
  <c r="D23" i="9"/>
  <c r="D233" i="8" s="1"/>
  <c r="P20" i="9"/>
  <c r="O19" i="9"/>
  <c r="O232" i="8" s="1"/>
  <c r="N19" i="9"/>
  <c r="N232" i="8" s="1"/>
  <c r="M19" i="9"/>
  <c r="M232" i="8" s="1"/>
  <c r="L19" i="9"/>
  <c r="L232" i="8" s="1"/>
  <c r="K19" i="9"/>
  <c r="K232" i="8" s="1"/>
  <c r="J19" i="9"/>
  <c r="J232" i="8" s="1"/>
  <c r="I19" i="9"/>
  <c r="I232" i="8" s="1"/>
  <c r="H19" i="9"/>
  <c r="H232" i="8" s="1"/>
  <c r="G19" i="9"/>
  <c r="G232" i="8" s="1"/>
  <c r="F19" i="9"/>
  <c r="F232" i="8" s="1"/>
  <c r="E19" i="9"/>
  <c r="E232" i="8" s="1"/>
  <c r="D19" i="9"/>
  <c r="D232" i="8" s="1"/>
  <c r="P16" i="9"/>
  <c r="O15" i="9"/>
  <c r="O231" i="8" s="1"/>
  <c r="N15" i="9"/>
  <c r="N231" i="8" s="1"/>
  <c r="M15" i="9"/>
  <c r="M231" i="8" s="1"/>
  <c r="L15" i="9"/>
  <c r="L231" i="8" s="1"/>
  <c r="K15" i="9"/>
  <c r="K231" i="8" s="1"/>
  <c r="J15" i="9"/>
  <c r="J231" i="8" s="1"/>
  <c r="I15" i="9"/>
  <c r="I231" i="8" s="1"/>
  <c r="H15" i="9"/>
  <c r="H231" i="8" s="1"/>
  <c r="G15" i="9"/>
  <c r="G231" i="8" s="1"/>
  <c r="F15" i="9"/>
  <c r="F231" i="8" s="1"/>
  <c r="E15" i="9"/>
  <c r="E231" i="8" s="1"/>
  <c r="D15" i="9"/>
  <c r="D231" i="8" s="1"/>
  <c r="P12" i="9"/>
  <c r="O11" i="9"/>
  <c r="O230" i="8" s="1"/>
  <c r="N11" i="9"/>
  <c r="N230" i="8" s="1"/>
  <c r="M11" i="9"/>
  <c r="M230" i="8" s="1"/>
  <c r="L11" i="9"/>
  <c r="L230" i="8" s="1"/>
  <c r="K11" i="9"/>
  <c r="J11" i="9"/>
  <c r="J230" i="8" s="1"/>
  <c r="I11" i="9"/>
  <c r="I230" i="8" s="1"/>
  <c r="H11" i="9"/>
  <c r="H230" i="8" s="1"/>
  <c r="G11" i="9"/>
  <c r="G230" i="8" s="1"/>
  <c r="F11" i="9"/>
  <c r="F230" i="8" s="1"/>
  <c r="E11" i="9"/>
  <c r="E230" i="8" s="1"/>
  <c r="D11" i="9"/>
  <c r="D230" i="8" s="1"/>
  <c r="P8" i="9"/>
  <c r="P10" i="9" s="1"/>
  <c r="F31" i="10"/>
  <c r="T31" i="10" s="1"/>
  <c r="F51" i="10"/>
  <c r="G2" i="10"/>
  <c r="H52" i="10"/>
  <c r="G52" i="10"/>
  <c r="P20" i="10"/>
  <c r="I20" i="10" s="1"/>
  <c r="P19" i="10"/>
  <c r="I19" i="10" s="1"/>
  <c r="P18" i="10"/>
  <c r="I18" i="10" s="1"/>
  <c r="P17" i="10"/>
  <c r="I17" i="10" s="1"/>
  <c r="P16" i="10"/>
  <c r="I16" i="10" s="1"/>
  <c r="P15" i="10"/>
  <c r="I15" i="10" s="1"/>
  <c r="P14" i="10"/>
  <c r="I14" i="10" s="1"/>
  <c r="P13" i="10"/>
  <c r="I13" i="10" s="1"/>
  <c r="R74" i="7"/>
  <c r="Y74" i="7" s="1"/>
  <c r="R75" i="7"/>
  <c r="W75" i="7" s="1"/>
  <c r="R76" i="7"/>
  <c r="R77" i="7"/>
  <c r="Q77" i="7" s="1"/>
  <c r="R78" i="7"/>
  <c r="W78" i="7" s="1"/>
  <c r="R79" i="7"/>
  <c r="Q79" i="7" s="1"/>
  <c r="R80" i="7"/>
  <c r="Y80" i="7" s="1"/>
  <c r="R81" i="7"/>
  <c r="R82" i="7"/>
  <c r="S82" i="7" s="1"/>
  <c r="R83" i="7"/>
  <c r="R84" i="7"/>
  <c r="R85" i="7"/>
  <c r="R86" i="7"/>
  <c r="R87" i="7"/>
  <c r="R88" i="7"/>
  <c r="R89" i="7"/>
  <c r="R73" i="7"/>
  <c r="U73" i="7" s="1"/>
  <c r="R32" i="7"/>
  <c r="R33" i="7"/>
  <c r="S33" i="7" s="1"/>
  <c r="R34" i="7"/>
  <c r="U34" i="7" s="1"/>
  <c r="R35" i="7"/>
  <c r="U35" i="7" s="1"/>
  <c r="R36" i="7"/>
  <c r="R37" i="7"/>
  <c r="R38" i="7"/>
  <c r="Q38" i="7" s="1"/>
  <c r="R39" i="7"/>
  <c r="R40" i="7"/>
  <c r="Q40" i="7" s="1"/>
  <c r="R41" i="7"/>
  <c r="Q41" i="7" s="1"/>
  <c r="R42" i="7"/>
  <c r="Q42" i="7" s="1"/>
  <c r="R43" i="7"/>
  <c r="Q43" i="7" s="1"/>
  <c r="R44" i="7"/>
  <c r="R45" i="7"/>
  <c r="R46" i="7"/>
  <c r="S46" i="7" s="1"/>
  <c r="R47" i="7"/>
  <c r="R48" i="7"/>
  <c r="Y48" i="7" s="1"/>
  <c r="R49" i="7"/>
  <c r="Q49" i="7" s="1"/>
  <c r="R50" i="7"/>
  <c r="U50" i="7" s="1"/>
  <c r="R51" i="7"/>
  <c r="U51" i="7" s="1"/>
  <c r="R52" i="7"/>
  <c r="U52" i="7" s="1"/>
  <c r="R53" i="7"/>
  <c r="R54" i="7"/>
  <c r="Q54" i="7" s="1"/>
  <c r="R55" i="7"/>
  <c r="Y55" i="7" s="1"/>
  <c r="R56" i="7"/>
  <c r="W56" i="7" s="1"/>
  <c r="R57" i="7"/>
  <c r="R58" i="7"/>
  <c r="R59" i="7"/>
  <c r="R60" i="7"/>
  <c r="U60" i="7" s="1"/>
  <c r="Y61" i="7"/>
  <c r="Q64" i="7"/>
  <c r="R68" i="7"/>
  <c r="R31" i="7"/>
  <c r="W31" i="7" s="1"/>
  <c r="B2" i="7"/>
  <c r="S73" i="7"/>
  <c r="S88" i="7"/>
  <c r="Y63" i="7"/>
  <c r="B5" i="8"/>
  <c r="B7" i="8"/>
  <c r="B6" i="8"/>
  <c r="B10" i="8"/>
  <c r="B4" i="8"/>
  <c r="B9" i="8"/>
  <c r="B3" i="8"/>
  <c r="B8" i="8"/>
  <c r="B2" i="8"/>
  <c r="B2" i="9"/>
  <c r="F58" i="5"/>
  <c r="G58" i="5"/>
  <c r="H58" i="5"/>
  <c r="I58" i="5"/>
  <c r="J58" i="5"/>
  <c r="K58" i="5"/>
  <c r="L58" i="5"/>
  <c r="M58" i="5"/>
  <c r="N58" i="5"/>
  <c r="O58" i="5"/>
  <c r="P58" i="5"/>
  <c r="E58" i="5"/>
  <c r="C73" i="5"/>
  <c r="Q67" i="5"/>
  <c r="Q63" i="5"/>
  <c r="C69" i="5"/>
  <c r="D77" i="5"/>
  <c r="I52" i="10"/>
  <c r="K286" i="8" l="1"/>
  <c r="G281" i="8"/>
  <c r="J286" i="8"/>
  <c r="G286" i="8"/>
  <c r="J285" i="8"/>
  <c r="E285" i="8"/>
  <c r="Y50" i="7"/>
  <c r="S85" i="7"/>
  <c r="F690" i="8" s="1"/>
  <c r="J18" i="10"/>
  <c r="J14" i="10"/>
  <c r="C133" i="8"/>
  <c r="T69" i="7"/>
  <c r="S81" i="7"/>
  <c r="X69" i="7"/>
  <c r="J17" i="10"/>
  <c r="J13" i="10"/>
  <c r="U85" i="7"/>
  <c r="E465" i="8" s="1"/>
  <c r="J19" i="10"/>
  <c r="J16" i="10"/>
  <c r="N18" i="8"/>
  <c r="W82" i="7"/>
  <c r="E537" i="8" s="1"/>
  <c r="S55" i="7"/>
  <c r="J661" i="8" s="1"/>
  <c r="Y85" i="7"/>
  <c r="I615" i="8" s="1"/>
  <c r="U81" i="7"/>
  <c r="H461" i="8" s="1"/>
  <c r="H291" i="8"/>
  <c r="H290" i="8"/>
  <c r="H295" i="8" s="1"/>
  <c r="U82" i="7"/>
  <c r="H462" i="8" s="1"/>
  <c r="Y81" i="7"/>
  <c r="J611" i="8" s="1"/>
  <c r="U89" i="7"/>
  <c r="W81" i="7"/>
  <c r="I536" i="8" s="1"/>
  <c r="K291" i="8"/>
  <c r="I291" i="8"/>
  <c r="I296" i="8" s="1"/>
  <c r="I290" i="8"/>
  <c r="I295" i="8" s="1"/>
  <c r="S35" i="7"/>
  <c r="H641" i="8" s="1"/>
  <c r="W35" i="7"/>
  <c r="G491" i="8" s="1"/>
  <c r="Y46" i="7"/>
  <c r="E577" i="8" s="1"/>
  <c r="Y38" i="7"/>
  <c r="G569" i="8" s="1"/>
  <c r="D124" i="11"/>
  <c r="D133" i="11" s="1"/>
  <c r="E133" i="11" s="1"/>
  <c r="F133" i="11" s="1"/>
  <c r="G133" i="11" s="1"/>
  <c r="H133" i="11" s="1"/>
  <c r="I133" i="11" s="1"/>
  <c r="J133" i="11" s="1"/>
  <c r="K133" i="11" s="1"/>
  <c r="L133" i="11" s="1"/>
  <c r="M133" i="11" s="1"/>
  <c r="N133" i="11" s="1"/>
  <c r="G103" i="11"/>
  <c r="F103" i="11"/>
  <c r="E103" i="11"/>
  <c r="M103" i="11"/>
  <c r="D103" i="11"/>
  <c r="D111" i="11" s="1"/>
  <c r="L103" i="11"/>
  <c r="H103" i="11"/>
  <c r="N103" i="11"/>
  <c r="J103" i="11"/>
  <c r="K103" i="11"/>
  <c r="I103" i="11"/>
  <c r="K202" i="8"/>
  <c r="K253" i="8" s="1"/>
  <c r="K223" i="8"/>
  <c r="K282" i="8" s="1"/>
  <c r="K283" i="8" s="1"/>
  <c r="K225" i="8"/>
  <c r="K292" i="8" s="1"/>
  <c r="K222" i="8"/>
  <c r="K278" i="8" s="1"/>
  <c r="K224" i="8"/>
  <c r="K287" i="8" s="1"/>
  <c r="L202" i="8"/>
  <c r="L223" i="8"/>
  <c r="L282" i="8" s="1"/>
  <c r="L283" i="8" s="1"/>
  <c r="L225" i="8"/>
  <c r="L292" i="8" s="1"/>
  <c r="L222" i="8"/>
  <c r="L278" i="8" s="1"/>
  <c r="L224" i="8"/>
  <c r="L287" i="8" s="1"/>
  <c r="L288" i="8" s="1"/>
  <c r="D202" i="8"/>
  <c r="D254" i="8" s="1"/>
  <c r="D222" i="8"/>
  <c r="D224" i="8"/>
  <c r="D223" i="8"/>
  <c r="D225" i="8"/>
  <c r="J291" i="8"/>
  <c r="J296" i="8" s="1"/>
  <c r="H296" i="8"/>
  <c r="J202" i="8"/>
  <c r="J253" i="8" s="1"/>
  <c r="J224" i="8"/>
  <c r="J287" i="8" s="1"/>
  <c r="J222" i="8"/>
  <c r="J278" i="8" s="1"/>
  <c r="J279" i="8" s="1"/>
  <c r="J223" i="8"/>
  <c r="J282" i="8" s="1"/>
  <c r="J283" i="8" s="1"/>
  <c r="J225" i="8"/>
  <c r="J292" i="8" s="1"/>
  <c r="M202" i="8"/>
  <c r="M253" i="8" s="1"/>
  <c r="M223" i="8"/>
  <c r="M282" i="8" s="1"/>
  <c r="M283" i="8" s="1"/>
  <c r="M225" i="8"/>
  <c r="M292" i="8" s="1"/>
  <c r="M222" i="8"/>
  <c r="M278" i="8" s="1"/>
  <c r="M224" i="8"/>
  <c r="M287" i="8" s="1"/>
  <c r="M288" i="8" s="1"/>
  <c r="N202" i="8"/>
  <c r="N254" i="8" s="1"/>
  <c r="N225" i="8"/>
  <c r="N292" i="8" s="1"/>
  <c r="N224" i="8"/>
  <c r="N287" i="8" s="1"/>
  <c r="N288" i="8" s="1"/>
  <c r="N222" i="8"/>
  <c r="N278" i="8" s="1"/>
  <c r="N223" i="8"/>
  <c r="N282" i="8" s="1"/>
  <c r="N283" i="8" s="1"/>
  <c r="O202" i="8"/>
  <c r="O254" i="8" s="1"/>
  <c r="O225" i="8"/>
  <c r="O292" i="8" s="1"/>
  <c r="O222" i="8"/>
  <c r="O278" i="8" s="1"/>
  <c r="O224" i="8"/>
  <c r="O287" i="8" s="1"/>
  <c r="O288" i="8" s="1"/>
  <c r="O223" i="8"/>
  <c r="O282" i="8" s="1"/>
  <c r="O283" i="8" s="1"/>
  <c r="G202" i="8"/>
  <c r="G254" i="8" s="1"/>
  <c r="G225" i="8"/>
  <c r="G292" i="8" s="1"/>
  <c r="G222" i="8"/>
  <c r="G278" i="8" s="1"/>
  <c r="G224" i="8"/>
  <c r="G287" i="8" s="1"/>
  <c r="G223" i="8"/>
  <c r="G282" i="8" s="1"/>
  <c r="M291" i="8"/>
  <c r="M296" i="8" s="1"/>
  <c r="E291" i="8"/>
  <c r="M290" i="8"/>
  <c r="M295" i="8" s="1"/>
  <c r="E290" i="8"/>
  <c r="E295" i="8" s="1"/>
  <c r="F202" i="8"/>
  <c r="F254" i="8" s="1"/>
  <c r="F225" i="8"/>
  <c r="F292" i="8" s="1"/>
  <c r="F222" i="8"/>
  <c r="F278" i="8" s="1"/>
  <c r="F279" i="8" s="1"/>
  <c r="F224" i="8"/>
  <c r="F287" i="8" s="1"/>
  <c r="F223" i="8"/>
  <c r="F282" i="8" s="1"/>
  <c r="F283" i="8" s="1"/>
  <c r="H202" i="8"/>
  <c r="H253" i="8" s="1"/>
  <c r="H224" i="8"/>
  <c r="H287" i="8" s="1"/>
  <c r="H288" i="8" s="1"/>
  <c r="H225" i="8"/>
  <c r="H292" i="8" s="1"/>
  <c r="H222" i="8"/>
  <c r="H278" i="8" s="1"/>
  <c r="H223" i="8"/>
  <c r="H282" i="8" s="1"/>
  <c r="H283" i="8" s="1"/>
  <c r="L291" i="8"/>
  <c r="L296" i="8" s="1"/>
  <c r="N291" i="8"/>
  <c r="N296" i="8" s="1"/>
  <c r="F291" i="8"/>
  <c r="F296" i="8" s="1"/>
  <c r="N290" i="8"/>
  <c r="N295" i="8" s="1"/>
  <c r="F290" i="8"/>
  <c r="E202" i="8"/>
  <c r="E254" i="8" s="1"/>
  <c r="E223" i="8"/>
  <c r="E282" i="8" s="1"/>
  <c r="E283" i="8" s="1"/>
  <c r="E225" i="8"/>
  <c r="E222" i="8"/>
  <c r="E278" i="8" s="1"/>
  <c r="E279" i="8" s="1"/>
  <c r="E224" i="8"/>
  <c r="E287" i="8" s="1"/>
  <c r="I202" i="8"/>
  <c r="I253" i="8" s="1"/>
  <c r="I222" i="8"/>
  <c r="I278" i="8" s="1"/>
  <c r="I224" i="8"/>
  <c r="I287" i="8" s="1"/>
  <c r="I288" i="8" s="1"/>
  <c r="I223" i="8"/>
  <c r="I282" i="8" s="1"/>
  <c r="I283" i="8" s="1"/>
  <c r="I225" i="8"/>
  <c r="I292" i="8" s="1"/>
  <c r="L290" i="8"/>
  <c r="M256" i="8"/>
  <c r="O291" i="8"/>
  <c r="O296" i="8" s="1"/>
  <c r="G291" i="8"/>
  <c r="G296" i="8" s="1"/>
  <c r="O290" i="8"/>
  <c r="O295" i="8" s="1"/>
  <c r="F285" i="8"/>
  <c r="C67" i="5"/>
  <c r="Q77" i="5"/>
  <c r="K290" i="8"/>
  <c r="G20" i="11"/>
  <c r="G13" i="11"/>
  <c r="G285" i="8"/>
  <c r="G290" i="8"/>
  <c r="M260" i="8"/>
  <c r="I260" i="8"/>
  <c r="E260" i="8"/>
  <c r="L260" i="8"/>
  <c r="H260" i="8"/>
  <c r="D260" i="8"/>
  <c r="D285" i="8"/>
  <c r="O260" i="8"/>
  <c r="K260" i="8"/>
  <c r="D291" i="8"/>
  <c r="D296" i="8" s="1"/>
  <c r="D290" i="8"/>
  <c r="N261" i="8"/>
  <c r="J261" i="8"/>
  <c r="F261" i="8"/>
  <c r="N260" i="8"/>
  <c r="J260" i="8"/>
  <c r="F260" i="8"/>
  <c r="K256" i="8"/>
  <c r="N256" i="8"/>
  <c r="J256" i="8"/>
  <c r="F256" i="8"/>
  <c r="I256" i="8"/>
  <c r="E256" i="8"/>
  <c r="L256" i="8"/>
  <c r="H256" i="8"/>
  <c r="D281" i="8"/>
  <c r="L252" i="8"/>
  <c r="M252" i="8"/>
  <c r="I252" i="8"/>
  <c r="E252" i="8"/>
  <c r="O252" i="8"/>
  <c r="K252" i="8"/>
  <c r="G252" i="8"/>
  <c r="H252" i="8"/>
  <c r="N252" i="8"/>
  <c r="J252" i="8"/>
  <c r="F252" i="8"/>
  <c r="F440" i="8"/>
  <c r="J440" i="8"/>
  <c r="N440" i="8"/>
  <c r="H440" i="8"/>
  <c r="G440" i="8"/>
  <c r="K440" i="8"/>
  <c r="O440" i="8"/>
  <c r="D440" i="8"/>
  <c r="E440" i="8"/>
  <c r="I440" i="8"/>
  <c r="M440" i="8"/>
  <c r="L440" i="8"/>
  <c r="S96" i="7"/>
  <c r="Y96" i="7"/>
  <c r="U96" i="7"/>
  <c r="W96" i="7"/>
  <c r="F432" i="8"/>
  <c r="J432" i="8"/>
  <c r="N432" i="8"/>
  <c r="L432" i="8"/>
  <c r="G432" i="8"/>
  <c r="K432" i="8"/>
  <c r="O432" i="8"/>
  <c r="H432" i="8"/>
  <c r="E432" i="8"/>
  <c r="I432" i="8"/>
  <c r="M432" i="8"/>
  <c r="D432" i="8"/>
  <c r="F586" i="8"/>
  <c r="J586" i="8"/>
  <c r="N586" i="8"/>
  <c r="G586" i="8"/>
  <c r="K586" i="8"/>
  <c r="O586" i="8"/>
  <c r="E586" i="8"/>
  <c r="I586" i="8"/>
  <c r="M586" i="8"/>
  <c r="H586" i="8"/>
  <c r="L586" i="8"/>
  <c r="D586" i="8"/>
  <c r="Y35" i="7"/>
  <c r="J566" i="8" s="1"/>
  <c r="Y82" i="7"/>
  <c r="F612" i="8" s="1"/>
  <c r="U48" i="7"/>
  <c r="J428" i="8" s="1"/>
  <c r="F652" i="8"/>
  <c r="J652" i="8"/>
  <c r="N652" i="8"/>
  <c r="G652" i="8"/>
  <c r="K652" i="8"/>
  <c r="O652" i="8"/>
  <c r="E652" i="8"/>
  <c r="I652" i="8"/>
  <c r="M652" i="8"/>
  <c r="H652" i="8"/>
  <c r="L652" i="8"/>
  <c r="D652" i="8"/>
  <c r="S98" i="7"/>
  <c r="U98" i="7"/>
  <c r="Y98" i="7"/>
  <c r="W98" i="7"/>
  <c r="F512" i="8"/>
  <c r="J512" i="8"/>
  <c r="N512" i="8"/>
  <c r="G512" i="8"/>
  <c r="K512" i="8"/>
  <c r="O512" i="8"/>
  <c r="E512" i="8"/>
  <c r="I512" i="8"/>
  <c r="M512" i="8"/>
  <c r="H512" i="8"/>
  <c r="L512" i="8"/>
  <c r="D512" i="8"/>
  <c r="F581" i="8"/>
  <c r="J581" i="8"/>
  <c r="N581" i="8"/>
  <c r="G581" i="8"/>
  <c r="K581" i="8"/>
  <c r="O581" i="8"/>
  <c r="E581" i="8"/>
  <c r="I581" i="8"/>
  <c r="M581" i="8"/>
  <c r="D581" i="8"/>
  <c r="H581" i="8"/>
  <c r="L581" i="8"/>
  <c r="F594" i="8"/>
  <c r="J594" i="8"/>
  <c r="N594" i="8"/>
  <c r="G594" i="8"/>
  <c r="K594" i="8"/>
  <c r="O594" i="8"/>
  <c r="E594" i="8"/>
  <c r="I594" i="8"/>
  <c r="M594" i="8"/>
  <c r="D594" i="8"/>
  <c r="H594" i="8"/>
  <c r="L594" i="8"/>
  <c r="S75" i="7"/>
  <c r="F592" i="8"/>
  <c r="J592" i="8"/>
  <c r="N592" i="8"/>
  <c r="G592" i="8"/>
  <c r="K592" i="8"/>
  <c r="O592" i="8"/>
  <c r="E592" i="8"/>
  <c r="I592" i="8"/>
  <c r="M592" i="8"/>
  <c r="L592" i="8"/>
  <c r="D592" i="8"/>
  <c r="H592" i="8"/>
  <c r="P11" i="9"/>
  <c r="W97" i="7"/>
  <c r="Y97" i="7"/>
  <c r="S97" i="7"/>
  <c r="U97" i="7"/>
  <c r="L266" i="8"/>
  <c r="F28" i="10"/>
  <c r="J28" i="10" s="1"/>
  <c r="T59" i="10"/>
  <c r="T57" i="10"/>
  <c r="K133" i="8"/>
  <c r="K138" i="8"/>
  <c r="D136" i="8"/>
  <c r="I136" i="8"/>
  <c r="F138" i="8"/>
  <c r="N266" i="8"/>
  <c r="F266" i="8"/>
  <c r="N265" i="8"/>
  <c r="F265" i="8"/>
  <c r="I205" i="8"/>
  <c r="I267" i="8" s="1"/>
  <c r="E246" i="8"/>
  <c r="I204" i="8"/>
  <c r="I262" i="8" s="1"/>
  <c r="E245" i="8"/>
  <c r="E203" i="8"/>
  <c r="E258" i="8" s="1"/>
  <c r="M244" i="8"/>
  <c r="M245" i="8"/>
  <c r="I243" i="8"/>
  <c r="I251" i="8" s="1"/>
  <c r="K266" i="8"/>
  <c r="I244" i="8"/>
  <c r="I245" i="8"/>
  <c r="I203" i="8"/>
  <c r="I257" i="8" s="1"/>
  <c r="I246" i="8"/>
  <c r="O243" i="8"/>
  <c r="O276" i="8" s="1"/>
  <c r="H246" i="8"/>
  <c r="T87" i="10"/>
  <c r="E266" i="8"/>
  <c r="Y56" i="7"/>
  <c r="Y31" i="7"/>
  <c r="N562" i="8" s="1"/>
  <c r="T56" i="10"/>
  <c r="N136" i="8"/>
  <c r="M135" i="8"/>
  <c r="H135" i="8"/>
  <c r="L138" i="8"/>
  <c r="H245" i="8"/>
  <c r="L245" i="8"/>
  <c r="F27" i="10"/>
  <c r="T27" i="10" s="1"/>
  <c r="G135" i="8"/>
  <c r="J266" i="8"/>
  <c r="H204" i="8"/>
  <c r="H262" i="8" s="1"/>
  <c r="G260" i="8"/>
  <c r="D256" i="8"/>
  <c r="R57" i="5"/>
  <c r="L244" i="8"/>
  <c r="L205" i="8"/>
  <c r="L267" i="8" s="1"/>
  <c r="E144" i="10"/>
  <c r="L243" i="8"/>
  <c r="L251" i="8" s="1"/>
  <c r="E244" i="8"/>
  <c r="M205" i="8"/>
  <c r="M267" i="8" s="1"/>
  <c r="L204" i="8"/>
  <c r="L262" i="8" s="1"/>
  <c r="D203" i="8"/>
  <c r="D246" i="8"/>
  <c r="G203" i="8"/>
  <c r="G258" i="8" s="1"/>
  <c r="D243" i="8"/>
  <c r="D251" i="8" s="1"/>
  <c r="D205" i="8"/>
  <c r="H203" i="8"/>
  <c r="H257" i="8" s="1"/>
  <c r="D244" i="8"/>
  <c r="D255" i="8" s="1"/>
  <c r="O129" i="11"/>
  <c r="H244" i="8"/>
  <c r="D245" i="8"/>
  <c r="D259" i="8" s="1"/>
  <c r="E243" i="8"/>
  <c r="E251" i="8" s="1"/>
  <c r="M243" i="8"/>
  <c r="M276" i="8" s="1"/>
  <c r="E205" i="8"/>
  <c r="D204" i="8"/>
  <c r="D262" i="8" s="1"/>
  <c r="H243" i="8"/>
  <c r="H251" i="8" s="1"/>
  <c r="L246" i="8"/>
  <c r="M246" i="8"/>
  <c r="H205" i="8"/>
  <c r="H267" i="8" s="1"/>
  <c r="E204" i="8"/>
  <c r="E262" i="8" s="1"/>
  <c r="S76" i="7"/>
  <c r="D681" i="8" s="1"/>
  <c r="U84" i="7"/>
  <c r="J464" i="8" s="1"/>
  <c r="Y76" i="7"/>
  <c r="I606" i="8" s="1"/>
  <c r="Y84" i="7"/>
  <c r="D614" i="8" s="1"/>
  <c r="Y88" i="7"/>
  <c r="F618" i="8" s="1"/>
  <c r="S89" i="7"/>
  <c r="D694" i="8" s="1"/>
  <c r="U76" i="7"/>
  <c r="M456" i="8" s="1"/>
  <c r="U58" i="7"/>
  <c r="S42" i="7"/>
  <c r="S58" i="7"/>
  <c r="Y52" i="7"/>
  <c r="W37" i="7"/>
  <c r="E493" i="8" s="1"/>
  <c r="S38" i="7"/>
  <c r="L644" i="8" s="1"/>
  <c r="U42" i="7"/>
  <c r="F422" i="8" s="1"/>
  <c r="W52" i="7"/>
  <c r="U43" i="7"/>
  <c r="K423" i="8" s="1"/>
  <c r="U33" i="7"/>
  <c r="G413" i="8" s="1"/>
  <c r="E133" i="8"/>
  <c r="S77" i="8"/>
  <c r="U77" i="8" s="1"/>
  <c r="P77" i="8"/>
  <c r="R77" i="8" s="1"/>
  <c r="M77" i="8"/>
  <c r="Q14" i="7"/>
  <c r="Q13" i="7" s="1"/>
  <c r="J77" i="8"/>
  <c r="K134" i="8"/>
  <c r="P169" i="10"/>
  <c r="H148" i="8" s="1"/>
  <c r="N169" i="10"/>
  <c r="F148" i="8" s="1"/>
  <c r="T169" i="10"/>
  <c r="L148" i="8" s="1"/>
  <c r="R169" i="10"/>
  <c r="J148" i="8" s="1"/>
  <c r="K28" i="9"/>
  <c r="C88" i="11"/>
  <c r="F134" i="8"/>
  <c r="L134" i="8"/>
  <c r="U91" i="8"/>
  <c r="M266" i="8"/>
  <c r="I266" i="8"/>
  <c r="E265" i="8"/>
  <c r="J244" i="8"/>
  <c r="F245" i="8"/>
  <c r="F244" i="8"/>
  <c r="M204" i="8"/>
  <c r="M262" i="8" s="1"/>
  <c r="M261" i="8"/>
  <c r="H261" i="8"/>
  <c r="D261" i="8"/>
  <c r="O261" i="8"/>
  <c r="K261" i="8"/>
  <c r="K271" i="8" s="1"/>
  <c r="G261" i="8"/>
  <c r="M203" i="8"/>
  <c r="L203" i="8"/>
  <c r="O266" i="8"/>
  <c r="G266" i="8"/>
  <c r="G265" i="8"/>
  <c r="W45" i="7"/>
  <c r="G501" i="8" s="1"/>
  <c r="Y33" i="7"/>
  <c r="E564" i="8" s="1"/>
  <c r="S32" i="7"/>
  <c r="N638" i="8" s="1"/>
  <c r="S60" i="7"/>
  <c r="U53" i="7"/>
  <c r="U78" i="7"/>
  <c r="H458" i="8" s="1"/>
  <c r="M133" i="8"/>
  <c r="I27" i="7"/>
  <c r="W49" i="7"/>
  <c r="F505" i="8" s="1"/>
  <c r="S74" i="7"/>
  <c r="E679" i="8" s="1"/>
  <c r="S56" i="7"/>
  <c r="Y79" i="7"/>
  <c r="G609" i="8" s="1"/>
  <c r="S40" i="7"/>
  <c r="L646" i="8" s="1"/>
  <c r="U79" i="7"/>
  <c r="H459" i="8" s="1"/>
  <c r="F133" i="8"/>
  <c r="G133" i="8"/>
  <c r="F27" i="7"/>
  <c r="F69" i="7" s="1"/>
  <c r="J27" i="7"/>
  <c r="J69" i="7" s="1"/>
  <c r="N27" i="7"/>
  <c r="N69" i="7" s="1"/>
  <c r="S68" i="7"/>
  <c r="F674" i="8" s="1"/>
  <c r="Y37" i="7"/>
  <c r="O568" i="8" s="1"/>
  <c r="Y64" i="7"/>
  <c r="U37" i="7"/>
  <c r="H417" i="8" s="1"/>
  <c r="H133" i="8"/>
  <c r="E27" i="7"/>
  <c r="W85" i="7"/>
  <c r="E540" i="8" s="1"/>
  <c r="J137" i="8"/>
  <c r="E137" i="8"/>
  <c r="C137" i="8"/>
  <c r="E13" i="10"/>
  <c r="T41" i="10"/>
  <c r="T37" i="10"/>
  <c r="T39" i="10"/>
  <c r="T40" i="10"/>
  <c r="T32" i="10"/>
  <c r="T33" i="10"/>
  <c r="T38" i="10"/>
  <c r="T34" i="10"/>
  <c r="T35" i="10"/>
  <c r="T36" i="10"/>
  <c r="F30" i="10"/>
  <c r="T30" i="10" s="1"/>
  <c r="U55" i="7"/>
  <c r="U39" i="7"/>
  <c r="G419" i="8" s="1"/>
  <c r="Y58" i="7"/>
  <c r="S50" i="7"/>
  <c r="Y51" i="7"/>
  <c r="S47" i="7"/>
  <c r="W73" i="7"/>
  <c r="G528" i="8" s="1"/>
  <c r="Y89" i="7"/>
  <c r="I619" i="8" s="1"/>
  <c r="Y78" i="7"/>
  <c r="D608" i="8" s="1"/>
  <c r="W79" i="7"/>
  <c r="F534" i="8" s="1"/>
  <c r="U54" i="7"/>
  <c r="U45" i="7"/>
  <c r="O425" i="8" s="1"/>
  <c r="U38" i="7"/>
  <c r="E418" i="8" s="1"/>
  <c r="U88" i="7"/>
  <c r="I468" i="8" s="1"/>
  <c r="W46" i="7"/>
  <c r="E502" i="8" s="1"/>
  <c r="W44" i="7"/>
  <c r="H500" i="8" s="1"/>
  <c r="W55" i="7"/>
  <c r="G134" i="8"/>
  <c r="C136" i="8"/>
  <c r="K137" i="8"/>
  <c r="G138" i="8"/>
  <c r="N135" i="8"/>
  <c r="J136" i="8"/>
  <c r="F137" i="8"/>
  <c r="M134" i="8"/>
  <c r="I135" i="8"/>
  <c r="E136" i="8"/>
  <c r="M138" i="8"/>
  <c r="H134" i="8"/>
  <c r="D135" i="8"/>
  <c r="L137" i="8"/>
  <c r="H138" i="8"/>
  <c r="F246" i="8"/>
  <c r="J245" i="8"/>
  <c r="N245" i="8"/>
  <c r="N244" i="8"/>
  <c r="F205" i="8"/>
  <c r="F204" i="8"/>
  <c r="J203" i="8"/>
  <c r="F203" i="8"/>
  <c r="C135" i="8"/>
  <c r="K136" i="8"/>
  <c r="G137" i="8"/>
  <c r="N134" i="8"/>
  <c r="J135" i="8"/>
  <c r="F136" i="8"/>
  <c r="N138" i="8"/>
  <c r="I134" i="8"/>
  <c r="E135" i="8"/>
  <c r="M137" i="8"/>
  <c r="I138" i="8"/>
  <c r="D134" i="8"/>
  <c r="L136" i="8"/>
  <c r="H137" i="8"/>
  <c r="D138" i="8"/>
  <c r="F243" i="8"/>
  <c r="F251" i="8" s="1"/>
  <c r="J243" i="8"/>
  <c r="J251" i="8" s="1"/>
  <c r="N246" i="8"/>
  <c r="J205" i="8"/>
  <c r="J204" i="8"/>
  <c r="J262" i="8" s="1"/>
  <c r="N203" i="8"/>
  <c r="C134" i="8"/>
  <c r="K135" i="8"/>
  <c r="G136" i="8"/>
  <c r="C138" i="8"/>
  <c r="J134" i="8"/>
  <c r="F135" i="8"/>
  <c r="N137" i="8"/>
  <c r="J138" i="8"/>
  <c r="E134" i="8"/>
  <c r="M136" i="8"/>
  <c r="I137" i="8"/>
  <c r="E138" i="8"/>
  <c r="L135" i="8"/>
  <c r="H136" i="8"/>
  <c r="D137" i="8"/>
  <c r="J246" i="8"/>
  <c r="N243" i="8"/>
  <c r="N276" i="8" s="1"/>
  <c r="N205" i="8"/>
  <c r="N267" i="8" s="1"/>
  <c r="N204" i="8"/>
  <c r="O203" i="8"/>
  <c r="K203" i="8"/>
  <c r="N351" i="8"/>
  <c r="D553" i="8"/>
  <c r="L353" i="8"/>
  <c r="F29" i="10"/>
  <c r="I112" i="10"/>
  <c r="I141" i="10"/>
  <c r="I169" i="10"/>
  <c r="D99" i="8"/>
  <c r="H99" i="8" s="1"/>
  <c r="I83" i="10"/>
  <c r="Y42" i="7"/>
  <c r="D573" i="8" s="1"/>
  <c r="S43" i="7"/>
  <c r="S78" i="7"/>
  <c r="O683" i="8" s="1"/>
  <c r="S79" i="7"/>
  <c r="K684" i="8" s="1"/>
  <c r="W87" i="7"/>
  <c r="D542" i="8" s="1"/>
  <c r="Y41" i="7"/>
  <c r="I572" i="8" s="1"/>
  <c r="Y32" i="7"/>
  <c r="M563" i="8" s="1"/>
  <c r="S48" i="7"/>
  <c r="U46" i="7"/>
  <c r="E426" i="8" s="1"/>
  <c r="U41" i="7"/>
  <c r="L421" i="8" s="1"/>
  <c r="U87" i="7"/>
  <c r="F467" i="8" s="1"/>
  <c r="W50" i="7"/>
  <c r="J133" i="8"/>
  <c r="L133" i="8"/>
  <c r="S53" i="7"/>
  <c r="W36" i="7"/>
  <c r="E492" i="8" s="1"/>
  <c r="W38" i="7"/>
  <c r="E494" i="8" s="1"/>
  <c r="W64" i="7"/>
  <c r="S31" i="7"/>
  <c r="S34" i="7"/>
  <c r="J640" i="8" s="1"/>
  <c r="S54" i="7"/>
  <c r="Y39" i="7"/>
  <c r="G570" i="8" s="1"/>
  <c r="S51" i="7"/>
  <c r="W33" i="7"/>
  <c r="M489" i="8" s="1"/>
  <c r="W53" i="7"/>
  <c r="W74" i="7"/>
  <c r="N529" i="8" s="1"/>
  <c r="S86" i="7"/>
  <c r="F691" i="8" s="1"/>
  <c r="S87" i="7"/>
  <c r="E692" i="8" s="1"/>
  <c r="Y60" i="7"/>
  <c r="Y53" i="7"/>
  <c r="S36" i="7"/>
  <c r="D642" i="8" s="1"/>
  <c r="Y40" i="7"/>
  <c r="D571" i="8" s="1"/>
  <c r="Y36" i="7"/>
  <c r="M567" i="8" s="1"/>
  <c r="U63" i="7"/>
  <c r="U32" i="7"/>
  <c r="G412" i="8" s="1"/>
  <c r="U80" i="7"/>
  <c r="E460" i="8" s="1"/>
  <c r="U74" i="7"/>
  <c r="H454" i="8" s="1"/>
  <c r="W34" i="7"/>
  <c r="E490" i="8" s="1"/>
  <c r="W58" i="7"/>
  <c r="W40" i="7"/>
  <c r="I496" i="8" s="1"/>
  <c r="Y87" i="7"/>
  <c r="N133" i="8"/>
  <c r="I133" i="8"/>
  <c r="D133" i="8"/>
  <c r="K27" i="7"/>
  <c r="K69" i="7" s="1"/>
  <c r="O27" i="7"/>
  <c r="O69" i="7" s="1"/>
  <c r="M27" i="7"/>
  <c r="M69" i="7" s="1"/>
  <c r="G27" i="7"/>
  <c r="G69" i="7" s="1"/>
  <c r="C45" i="11"/>
  <c r="C44" i="11" s="1"/>
  <c r="W63" i="7"/>
  <c r="W60" i="7"/>
  <c r="W51" i="7"/>
  <c r="W48" i="7"/>
  <c r="E504" i="8" s="1"/>
  <c r="W42" i="7"/>
  <c r="O498" i="8" s="1"/>
  <c r="W89" i="7"/>
  <c r="D544" i="8" s="1"/>
  <c r="W76" i="7"/>
  <c r="D531" i="8" s="1"/>
  <c r="Q10" i="7"/>
  <c r="Q9" i="7" s="1"/>
  <c r="Q22" i="7"/>
  <c r="Q21" i="7" s="1"/>
  <c r="L27" i="7"/>
  <c r="L69" i="7" s="1"/>
  <c r="P240" i="8"/>
  <c r="L265" i="8"/>
  <c r="G244" i="8"/>
  <c r="I261" i="8"/>
  <c r="P89" i="5"/>
  <c r="C66" i="11"/>
  <c r="D66" i="11" s="1"/>
  <c r="I28" i="9"/>
  <c r="I70" i="9" s="1"/>
  <c r="K230" i="8"/>
  <c r="H266" i="8"/>
  <c r="D266" i="8"/>
  <c r="H265" i="8"/>
  <c r="D265" i="8"/>
  <c r="P232" i="8"/>
  <c r="K265" i="8"/>
  <c r="P239" i="8"/>
  <c r="O28" i="9"/>
  <c r="P68" i="9"/>
  <c r="D54" i="8" s="1"/>
  <c r="G245" i="8"/>
  <c r="G259" i="8" s="1"/>
  <c r="K244" i="8"/>
  <c r="P15" i="9"/>
  <c r="P14" i="9" s="1"/>
  <c r="L28" i="9"/>
  <c r="G28" i="9"/>
  <c r="N28" i="9"/>
  <c r="O205" i="8"/>
  <c r="O267" i="8" s="1"/>
  <c r="K205" i="8"/>
  <c r="G205" i="8"/>
  <c r="O204" i="8"/>
  <c r="K204" i="8"/>
  <c r="G204" i="8"/>
  <c r="P191" i="8"/>
  <c r="G256" i="8"/>
  <c r="O256" i="8"/>
  <c r="G246" i="8"/>
  <c r="G264" i="8" s="1"/>
  <c r="K246" i="8"/>
  <c r="K245" i="8"/>
  <c r="O244" i="8"/>
  <c r="P19" i="9"/>
  <c r="P18" i="9" s="1"/>
  <c r="P27" i="9"/>
  <c r="P26" i="9" s="1"/>
  <c r="D28" i="9"/>
  <c r="P231" i="8"/>
  <c r="M52" i="8" s="1"/>
  <c r="G243" i="8"/>
  <c r="G276" i="8" s="1"/>
  <c r="K243" i="8"/>
  <c r="O246" i="8"/>
  <c r="O245" i="8"/>
  <c r="F28" i="9"/>
  <c r="O127" i="11"/>
  <c r="N89" i="5"/>
  <c r="R47" i="5"/>
  <c r="O89" i="5"/>
  <c r="K89" i="5"/>
  <c r="K351" i="8"/>
  <c r="G351" i="8"/>
  <c r="J89" i="5"/>
  <c r="E89" i="5"/>
  <c r="E91" i="5" s="1"/>
  <c r="R58" i="5"/>
  <c r="R42" i="5"/>
  <c r="R52" i="5"/>
  <c r="S52" i="5"/>
  <c r="J169" i="10"/>
  <c r="M169" i="10" s="1"/>
  <c r="E148" i="8" s="1"/>
  <c r="P21" i="10"/>
  <c r="I21" i="10"/>
  <c r="Q96" i="7"/>
  <c r="R99" i="7"/>
  <c r="Q98" i="7" s="1"/>
  <c r="Y73" i="7"/>
  <c r="I603" i="8" s="1"/>
  <c r="U31" i="7"/>
  <c r="G411" i="8" s="1"/>
  <c r="G89" i="5"/>
  <c r="Q18" i="7"/>
  <c r="Q17" i="7" s="1"/>
  <c r="P76" i="9"/>
  <c r="L261" i="8"/>
  <c r="O128" i="11"/>
  <c r="P193" i="8"/>
  <c r="O265" i="8"/>
  <c r="I265" i="8"/>
  <c r="P23" i="9"/>
  <c r="J28" i="9"/>
  <c r="M89" i="5"/>
  <c r="M265" i="8"/>
  <c r="M28" i="9"/>
  <c r="M70" i="9" s="1"/>
  <c r="F89" i="5"/>
  <c r="L89" i="5"/>
  <c r="H89" i="5"/>
  <c r="I89" i="5"/>
  <c r="S54" i="5"/>
  <c r="O353" i="8"/>
  <c r="K353" i="8"/>
  <c r="G353" i="8"/>
  <c r="S47" i="5"/>
  <c r="Q58" i="5"/>
  <c r="N16" i="8" s="1"/>
  <c r="C81" i="11"/>
  <c r="S42" i="5"/>
  <c r="E487" i="8"/>
  <c r="I487" i="8"/>
  <c r="M487" i="8"/>
  <c r="G487" i="8"/>
  <c r="K487" i="8"/>
  <c r="O487" i="8"/>
  <c r="D487" i="8"/>
  <c r="H487" i="8"/>
  <c r="L487" i="8"/>
  <c r="F487" i="8"/>
  <c r="J487" i="8"/>
  <c r="N487" i="8"/>
  <c r="J70" i="9"/>
  <c r="F610" i="8"/>
  <c r="J610" i="8"/>
  <c r="N610" i="8"/>
  <c r="G610" i="8"/>
  <c r="K610" i="8"/>
  <c r="O610" i="8"/>
  <c r="D610" i="8"/>
  <c r="H610" i="8"/>
  <c r="L610" i="8"/>
  <c r="E610" i="8"/>
  <c r="I610" i="8"/>
  <c r="M610" i="8"/>
  <c r="P233" i="8"/>
  <c r="E414" i="8"/>
  <c r="I414" i="8"/>
  <c r="M414" i="8"/>
  <c r="F414" i="8"/>
  <c r="K414" i="8"/>
  <c r="G414" i="8"/>
  <c r="L414" i="8"/>
  <c r="H414" i="8"/>
  <c r="N414" i="8"/>
  <c r="D414" i="8"/>
  <c r="J414" i="8"/>
  <c r="O414" i="8"/>
  <c r="Y34" i="7"/>
  <c r="S63" i="7"/>
  <c r="Y43" i="7"/>
  <c r="Y59" i="7"/>
  <c r="S39" i="7"/>
  <c r="S84" i="7"/>
  <c r="W41" i="7"/>
  <c r="W57" i="7"/>
  <c r="W86" i="7"/>
  <c r="F687" i="8"/>
  <c r="J687" i="8"/>
  <c r="N687" i="8"/>
  <c r="G687" i="8"/>
  <c r="K687" i="8"/>
  <c r="O687" i="8"/>
  <c r="D687" i="8"/>
  <c r="H687" i="8"/>
  <c r="L687" i="8"/>
  <c r="E687" i="8"/>
  <c r="I687" i="8"/>
  <c r="M687" i="8"/>
  <c r="S83" i="7"/>
  <c r="D619" i="8"/>
  <c r="M619" i="8"/>
  <c r="N619" i="8"/>
  <c r="E615" i="8"/>
  <c r="M615" i="8"/>
  <c r="O615" i="8"/>
  <c r="H615" i="8"/>
  <c r="Y77" i="7"/>
  <c r="S64" i="7"/>
  <c r="W80" i="7"/>
  <c r="Y49" i="7"/>
  <c r="E533" i="8"/>
  <c r="I533" i="8"/>
  <c r="M533" i="8"/>
  <c r="F533" i="8"/>
  <c r="J533" i="8"/>
  <c r="N533" i="8"/>
  <c r="G533" i="8"/>
  <c r="K533" i="8"/>
  <c r="O533" i="8"/>
  <c r="D533" i="8"/>
  <c r="H533" i="8"/>
  <c r="L533" i="8"/>
  <c r="Y45" i="7"/>
  <c r="W83" i="7"/>
  <c r="S52" i="7"/>
  <c r="S44" i="7"/>
  <c r="Y44" i="7"/>
  <c r="U68" i="7"/>
  <c r="U64" i="7"/>
  <c r="U56" i="7"/>
  <c r="U44" i="7"/>
  <c r="U40" i="7"/>
  <c r="U36" i="7"/>
  <c r="U86" i="7"/>
  <c r="L462" i="8"/>
  <c r="O462" i="8"/>
  <c r="M454" i="8"/>
  <c r="N454" i="8"/>
  <c r="O491" i="8"/>
  <c r="I491" i="8"/>
  <c r="D69" i="8"/>
  <c r="H69" i="8" s="1"/>
  <c r="D63" i="8"/>
  <c r="D65" i="8"/>
  <c r="Q50" i="7"/>
  <c r="S45" i="7"/>
  <c r="W43" i="7"/>
  <c r="S41" i="7"/>
  <c r="W39" i="7"/>
  <c r="S37" i="7"/>
  <c r="D60" i="8"/>
  <c r="W32" i="7"/>
  <c r="W88" i="7"/>
  <c r="Y86" i="7"/>
  <c r="W84" i="7"/>
  <c r="D73" i="8"/>
  <c r="Q78" i="7"/>
  <c r="J234" i="8"/>
  <c r="J265" i="8" s="1"/>
  <c r="J141" i="10"/>
  <c r="T116" i="10"/>
  <c r="Y54" i="7"/>
  <c r="Y47" i="7"/>
  <c r="S59" i="7"/>
  <c r="E693" i="8"/>
  <c r="I693" i="8"/>
  <c r="M693" i="8"/>
  <c r="F693" i="8"/>
  <c r="J693" i="8"/>
  <c r="N693" i="8"/>
  <c r="G693" i="8"/>
  <c r="K693" i="8"/>
  <c r="O693" i="8"/>
  <c r="D693" i="8"/>
  <c r="H693" i="8"/>
  <c r="L693" i="8"/>
  <c r="K501" i="8"/>
  <c r="N618" i="8"/>
  <c r="I691" i="8"/>
  <c r="M691" i="8"/>
  <c r="G691" i="8"/>
  <c r="O691" i="8"/>
  <c r="N528" i="8"/>
  <c r="H694" i="8"/>
  <c r="L694" i="8"/>
  <c r="E694" i="8"/>
  <c r="M694" i="8"/>
  <c r="F694" i="8"/>
  <c r="J694" i="8"/>
  <c r="G694" i="8"/>
  <c r="K694" i="8"/>
  <c r="O694" i="8"/>
  <c r="F686" i="8"/>
  <c r="J686" i="8"/>
  <c r="N686" i="8"/>
  <c r="G686" i="8"/>
  <c r="K686" i="8"/>
  <c r="O686" i="8"/>
  <c r="D686" i="8"/>
  <c r="H686" i="8"/>
  <c r="L686" i="8"/>
  <c r="E686" i="8"/>
  <c r="I686" i="8"/>
  <c r="M686" i="8"/>
  <c r="Y57" i="7"/>
  <c r="Y83" i="7"/>
  <c r="H571" i="8"/>
  <c r="Y68" i="7"/>
  <c r="U59" i="7"/>
  <c r="G431" i="8"/>
  <c r="K431" i="8"/>
  <c r="O431" i="8"/>
  <c r="H431" i="8"/>
  <c r="M431" i="8"/>
  <c r="D431" i="8"/>
  <c r="I431" i="8"/>
  <c r="N431" i="8"/>
  <c r="E431" i="8"/>
  <c r="J431" i="8"/>
  <c r="F431" i="8"/>
  <c r="L431" i="8"/>
  <c r="U47" i="7"/>
  <c r="O423" i="8"/>
  <c r="D423" i="8"/>
  <c r="H419" i="8"/>
  <c r="D415" i="8"/>
  <c r="H415" i="8"/>
  <c r="L415" i="8"/>
  <c r="E415" i="8"/>
  <c r="I415" i="8"/>
  <c r="M415" i="8"/>
  <c r="F415" i="8"/>
  <c r="J415" i="8"/>
  <c r="N415" i="8"/>
  <c r="G415" i="8"/>
  <c r="K415" i="8"/>
  <c r="O415" i="8"/>
  <c r="E469" i="8"/>
  <c r="I469" i="8"/>
  <c r="M469" i="8"/>
  <c r="G469" i="8"/>
  <c r="L469" i="8"/>
  <c r="H469" i="8"/>
  <c r="N469" i="8"/>
  <c r="D469" i="8"/>
  <c r="J469" i="8"/>
  <c r="O469" i="8"/>
  <c r="F469" i="8"/>
  <c r="K469" i="8"/>
  <c r="I465" i="8"/>
  <c r="F465" i="8"/>
  <c r="N465" i="8"/>
  <c r="K465" i="8"/>
  <c r="L465" i="8"/>
  <c r="O465" i="8"/>
  <c r="D461" i="8"/>
  <c r="L461" i="8"/>
  <c r="I461" i="8"/>
  <c r="F461" i="8"/>
  <c r="N461" i="8"/>
  <c r="K461" i="8"/>
  <c r="U77" i="7"/>
  <c r="W68" i="7"/>
  <c r="W59" i="7"/>
  <c r="S57" i="7"/>
  <c r="W54" i="7"/>
  <c r="D66" i="8"/>
  <c r="S49" i="7"/>
  <c r="W47" i="7"/>
  <c r="D67" i="8"/>
  <c r="D72" i="8"/>
  <c r="H72" i="8" s="1"/>
  <c r="Q73" i="7"/>
  <c r="W77" i="7"/>
  <c r="Y75" i="7"/>
  <c r="C27" i="7"/>
  <c r="H27" i="7"/>
  <c r="H69" i="7" s="1"/>
  <c r="P27" i="7"/>
  <c r="P69" i="7" s="1"/>
  <c r="Q26" i="7"/>
  <c r="J644" i="8"/>
  <c r="N644" i="8"/>
  <c r="G566" i="8"/>
  <c r="H566" i="8"/>
  <c r="E566" i="8"/>
  <c r="M566" i="8"/>
  <c r="N566" i="8"/>
  <c r="E598" i="8"/>
  <c r="I598" i="8"/>
  <c r="M598" i="8"/>
  <c r="F598" i="8"/>
  <c r="J598" i="8"/>
  <c r="N598" i="8"/>
  <c r="G598" i="8"/>
  <c r="K598" i="8"/>
  <c r="O598" i="8"/>
  <c r="D598" i="8"/>
  <c r="H598" i="8"/>
  <c r="L598" i="8"/>
  <c r="J505" i="8"/>
  <c r="N614" i="8"/>
  <c r="H614" i="8"/>
  <c r="I614" i="8"/>
  <c r="D680" i="8"/>
  <c r="H680" i="8"/>
  <c r="L680" i="8"/>
  <c r="E680" i="8"/>
  <c r="I680" i="8"/>
  <c r="M680" i="8"/>
  <c r="F680" i="8"/>
  <c r="J680" i="8"/>
  <c r="N680" i="8"/>
  <c r="G680" i="8"/>
  <c r="K680" i="8"/>
  <c r="O680" i="8"/>
  <c r="D678" i="8"/>
  <c r="H678" i="8"/>
  <c r="L678" i="8"/>
  <c r="E678" i="8"/>
  <c r="I678" i="8"/>
  <c r="M678" i="8"/>
  <c r="F678" i="8"/>
  <c r="J678" i="8"/>
  <c r="N678" i="8"/>
  <c r="G678" i="8"/>
  <c r="K678" i="8"/>
  <c r="O678" i="8"/>
  <c r="M690" i="8"/>
  <c r="F611" i="8"/>
  <c r="N611" i="8"/>
  <c r="K611" i="8"/>
  <c r="D611" i="8"/>
  <c r="L611" i="8"/>
  <c r="I611" i="8"/>
  <c r="F530" i="8"/>
  <c r="J530" i="8"/>
  <c r="N530" i="8"/>
  <c r="G530" i="8"/>
  <c r="K530" i="8"/>
  <c r="O530" i="8"/>
  <c r="D530" i="8"/>
  <c r="H530" i="8"/>
  <c r="L530" i="8"/>
  <c r="E530" i="8"/>
  <c r="I530" i="8"/>
  <c r="M530" i="8"/>
  <c r="E534" i="8"/>
  <c r="I534" i="8"/>
  <c r="M534" i="8"/>
  <c r="J534" i="8"/>
  <c r="N534" i="8"/>
  <c r="G534" i="8"/>
  <c r="O534" i="8"/>
  <c r="D534" i="8"/>
  <c r="H534" i="8"/>
  <c r="D579" i="8"/>
  <c r="H579" i="8"/>
  <c r="L579" i="8"/>
  <c r="E579" i="8"/>
  <c r="I579" i="8"/>
  <c r="M579" i="8"/>
  <c r="J579" i="8"/>
  <c r="K579" i="8"/>
  <c r="F579" i="8"/>
  <c r="N579" i="8"/>
  <c r="G579" i="8"/>
  <c r="O579" i="8"/>
  <c r="M646" i="8"/>
  <c r="G430" i="8"/>
  <c r="K430" i="8"/>
  <c r="O430" i="8"/>
  <c r="D430" i="8"/>
  <c r="I430" i="8"/>
  <c r="N430" i="8"/>
  <c r="E430" i="8"/>
  <c r="J430" i="8"/>
  <c r="F430" i="8"/>
  <c r="L430" i="8"/>
  <c r="H430" i="8"/>
  <c r="M430" i="8"/>
  <c r="I426" i="8"/>
  <c r="F426" i="8"/>
  <c r="N426" i="8"/>
  <c r="K426" i="8"/>
  <c r="D426" i="8"/>
  <c r="L426" i="8"/>
  <c r="E468" i="8"/>
  <c r="M468" i="8"/>
  <c r="H468" i="8"/>
  <c r="N468" i="8"/>
  <c r="J468" i="8"/>
  <c r="O468" i="8"/>
  <c r="F468" i="8"/>
  <c r="G468" i="8"/>
  <c r="L468" i="8"/>
  <c r="F453" i="8"/>
  <c r="J453" i="8"/>
  <c r="N453" i="8"/>
  <c r="E453" i="8"/>
  <c r="K453" i="8"/>
  <c r="G453" i="8"/>
  <c r="L453" i="8"/>
  <c r="H453" i="8"/>
  <c r="M453" i="8"/>
  <c r="D453" i="8"/>
  <c r="I453" i="8"/>
  <c r="O453" i="8"/>
  <c r="L500" i="8"/>
  <c r="F500" i="8"/>
  <c r="J500" i="8"/>
  <c r="N500" i="8"/>
  <c r="K500" i="8"/>
  <c r="I500" i="8"/>
  <c r="D498" i="8"/>
  <c r="H498" i="8"/>
  <c r="M496" i="8"/>
  <c r="H496" i="8"/>
  <c r="N494" i="8"/>
  <c r="I494" i="8"/>
  <c r="K494" i="8"/>
  <c r="G639" i="8"/>
  <c r="K639" i="8"/>
  <c r="O639" i="8"/>
  <c r="F639" i="8"/>
  <c r="L639" i="8"/>
  <c r="H639" i="8"/>
  <c r="M639" i="8"/>
  <c r="D639" i="8"/>
  <c r="I639" i="8"/>
  <c r="N639" i="8"/>
  <c r="E639" i="8"/>
  <c r="J639" i="8"/>
  <c r="I544" i="8"/>
  <c r="E617" i="8"/>
  <c r="I617" i="8"/>
  <c r="M617" i="8"/>
  <c r="F617" i="8"/>
  <c r="J617" i="8"/>
  <c r="N617" i="8"/>
  <c r="G617" i="8"/>
  <c r="K617" i="8"/>
  <c r="O617" i="8"/>
  <c r="D617" i="8"/>
  <c r="H617" i="8"/>
  <c r="L617" i="8"/>
  <c r="D74" i="8"/>
  <c r="H74" i="8" s="1"/>
  <c r="H28" i="9"/>
  <c r="E28" i="9"/>
  <c r="D89" i="11"/>
  <c r="D577" i="8"/>
  <c r="H577" i="8"/>
  <c r="L577" i="8"/>
  <c r="I577" i="8"/>
  <c r="M577" i="8"/>
  <c r="J577" i="8"/>
  <c r="K577" i="8"/>
  <c r="F577" i="8"/>
  <c r="N577" i="8"/>
  <c r="G577" i="8"/>
  <c r="E570" i="8"/>
  <c r="S80" i="7"/>
  <c r="G683" i="8"/>
  <c r="K683" i="8"/>
  <c r="D683" i="8"/>
  <c r="H683" i="8"/>
  <c r="L683" i="8"/>
  <c r="I683" i="8"/>
  <c r="M683" i="8"/>
  <c r="F683" i="8"/>
  <c r="N683" i="8"/>
  <c r="S61" i="7"/>
  <c r="O684" i="8"/>
  <c r="S77" i="7"/>
  <c r="G542" i="8"/>
  <c r="H542" i="8"/>
  <c r="L542" i="8"/>
  <c r="I542" i="8"/>
  <c r="M542" i="8"/>
  <c r="O572" i="8"/>
  <c r="D572" i="8"/>
  <c r="I608" i="8"/>
  <c r="M608" i="8"/>
  <c r="F609" i="8"/>
  <c r="J609" i="8"/>
  <c r="N609" i="8"/>
  <c r="K609" i="8"/>
  <c r="O609" i="8"/>
  <c r="D609" i="8"/>
  <c r="L609" i="8"/>
  <c r="E609" i="8"/>
  <c r="I609" i="8"/>
  <c r="K642" i="8"/>
  <c r="G567" i="8"/>
  <c r="U61" i="7"/>
  <c r="U57" i="7"/>
  <c r="U49" i="7"/>
  <c r="K421" i="8"/>
  <c r="E421" i="8"/>
  <c r="L417" i="8"/>
  <c r="M417" i="8"/>
  <c r="K417" i="8"/>
  <c r="J467" i="8"/>
  <c r="N467" i="8"/>
  <c r="E467" i="8"/>
  <c r="G467" i="8"/>
  <c r="L467" i="8"/>
  <c r="H467" i="8"/>
  <c r="D467" i="8"/>
  <c r="I467" i="8"/>
  <c r="O467" i="8"/>
  <c r="U83" i="7"/>
  <c r="U75" i="7"/>
  <c r="W61" i="7"/>
  <c r="F502" i="8"/>
  <c r="D502" i="8"/>
  <c r="M536" i="8"/>
  <c r="J536" i="8"/>
  <c r="G536" i="8"/>
  <c r="H536" i="8"/>
  <c r="D64" i="8"/>
  <c r="H64" i="8" s="1"/>
  <c r="D61" i="8"/>
  <c r="D62" i="8"/>
  <c r="D75" i="8"/>
  <c r="D604" i="8"/>
  <c r="H604" i="8"/>
  <c r="L604" i="8"/>
  <c r="E604" i="8"/>
  <c r="I604" i="8"/>
  <c r="M604" i="8"/>
  <c r="F604" i="8"/>
  <c r="J604" i="8"/>
  <c r="N604" i="8"/>
  <c r="G604" i="8"/>
  <c r="K604" i="8"/>
  <c r="O604" i="8"/>
  <c r="E46" i="11"/>
  <c r="E67" i="11"/>
  <c r="F67" i="11" s="1"/>
  <c r="D95" i="8"/>
  <c r="S95" i="8" s="1"/>
  <c r="U95" i="8" s="1"/>
  <c r="D98" i="8"/>
  <c r="H98" i="8" s="1"/>
  <c r="D96" i="8"/>
  <c r="H96" i="8" s="1"/>
  <c r="S55" i="5"/>
  <c r="D97" i="8"/>
  <c r="P198" i="8"/>
  <c r="P197" i="8"/>
  <c r="P190" i="8"/>
  <c r="E351" i="8"/>
  <c r="I353" i="8"/>
  <c r="L253" i="8"/>
  <c r="L254" i="8"/>
  <c r="D253" i="8"/>
  <c r="P189" i="8"/>
  <c r="O350" i="8"/>
  <c r="N350" i="8"/>
  <c r="M350" i="8"/>
  <c r="L350" i="8"/>
  <c r="K350" i="8"/>
  <c r="J350" i="8"/>
  <c r="I350" i="8"/>
  <c r="H350" i="8"/>
  <c r="G350" i="8"/>
  <c r="F350" i="8"/>
  <c r="E350" i="8"/>
  <c r="D350" i="8"/>
  <c r="O352" i="8"/>
  <c r="N352" i="8"/>
  <c r="M352" i="8"/>
  <c r="L352" i="8"/>
  <c r="K352" i="8"/>
  <c r="J352" i="8"/>
  <c r="I352" i="8"/>
  <c r="H352" i="8"/>
  <c r="G352" i="8"/>
  <c r="F352" i="8"/>
  <c r="E352" i="8"/>
  <c r="D352" i="8"/>
  <c r="P199" i="8"/>
  <c r="P192" i="8"/>
  <c r="H612" i="8" l="1"/>
  <c r="G612" i="8"/>
  <c r="M612" i="8"/>
  <c r="H690" i="8"/>
  <c r="G690" i="8"/>
  <c r="D690" i="8"/>
  <c r="I690" i="8"/>
  <c r="I540" i="8"/>
  <c r="O690" i="8"/>
  <c r="J690" i="8"/>
  <c r="E690" i="8"/>
  <c r="G615" i="8"/>
  <c r="N690" i="8"/>
  <c r="L690" i="8"/>
  <c r="K690" i="8"/>
  <c r="J615" i="8"/>
  <c r="K296" i="8"/>
  <c r="K288" i="8"/>
  <c r="E464" i="8"/>
  <c r="K537" i="8"/>
  <c r="N537" i="8"/>
  <c r="F537" i="8"/>
  <c r="L537" i="8"/>
  <c r="J462" i="8"/>
  <c r="G464" i="8"/>
  <c r="D464" i="8"/>
  <c r="N464" i="8"/>
  <c r="J288" i="8"/>
  <c r="G283" i="8"/>
  <c r="J290" i="8"/>
  <c r="J295" i="8" s="1"/>
  <c r="O536" i="8"/>
  <c r="E536" i="8"/>
  <c r="J618" i="8"/>
  <c r="G428" i="8"/>
  <c r="E612" i="8"/>
  <c r="J612" i="8"/>
  <c r="D537" i="8"/>
  <c r="I537" i="8"/>
  <c r="I462" i="8"/>
  <c r="O612" i="8"/>
  <c r="G462" i="8"/>
  <c r="D462" i="8"/>
  <c r="I428" i="8"/>
  <c r="H428" i="8"/>
  <c r="D428" i="8"/>
  <c r="E661" i="8"/>
  <c r="L661" i="8"/>
  <c r="D661" i="8"/>
  <c r="N661" i="8"/>
  <c r="H661" i="8"/>
  <c r="O661" i="8"/>
  <c r="F661" i="8"/>
  <c r="M661" i="8"/>
  <c r="G661" i="8"/>
  <c r="L536" i="8"/>
  <c r="D536" i="8"/>
  <c r="K536" i="8"/>
  <c r="N536" i="8"/>
  <c r="F536" i="8"/>
  <c r="M611" i="8"/>
  <c r="E611" i="8"/>
  <c r="C611" i="8" s="1"/>
  <c r="H611" i="8"/>
  <c r="O611" i="8"/>
  <c r="G611" i="8"/>
  <c r="O461" i="8"/>
  <c r="G461" i="8"/>
  <c r="J461" i="8"/>
  <c r="M461" i="8"/>
  <c r="E461" i="8"/>
  <c r="C461" i="8" s="1"/>
  <c r="G465" i="8"/>
  <c r="D465" i="8"/>
  <c r="H465" i="8"/>
  <c r="J465" i="8"/>
  <c r="M465" i="8"/>
  <c r="L615" i="8"/>
  <c r="D615" i="8"/>
  <c r="K615" i="8"/>
  <c r="N615" i="8"/>
  <c r="F615" i="8"/>
  <c r="I612" i="8"/>
  <c r="L612" i="8"/>
  <c r="D612" i="8"/>
  <c r="K612" i="8"/>
  <c r="N612" i="8"/>
  <c r="H537" i="8"/>
  <c r="O537" i="8"/>
  <c r="G537" i="8"/>
  <c r="J537" i="8"/>
  <c r="M537" i="8"/>
  <c r="M462" i="8"/>
  <c r="K462" i="8"/>
  <c r="N462" i="8"/>
  <c r="F462" i="8"/>
  <c r="E462" i="8"/>
  <c r="D413" i="8"/>
  <c r="K413" i="8"/>
  <c r="I293" i="8"/>
  <c r="H603" i="8"/>
  <c r="G459" i="8"/>
  <c r="L608" i="8"/>
  <c r="N572" i="8"/>
  <c r="H544" i="8"/>
  <c r="G498" i="8"/>
  <c r="M418" i="8"/>
  <c r="E644" i="8"/>
  <c r="H691" i="8"/>
  <c r="N691" i="8"/>
  <c r="E691" i="8"/>
  <c r="N458" i="8"/>
  <c r="I661" i="8"/>
  <c r="K661" i="8"/>
  <c r="H293" i="8"/>
  <c r="N19" i="8"/>
  <c r="G608" i="8"/>
  <c r="E498" i="8"/>
  <c r="D644" i="8"/>
  <c r="G603" i="8"/>
  <c r="D691" i="8"/>
  <c r="J691" i="8"/>
  <c r="K618" i="8"/>
  <c r="P352" i="8"/>
  <c r="J27" i="10"/>
  <c r="J52" i="10" s="1"/>
  <c r="C144" i="8" s="1"/>
  <c r="P350" i="8"/>
  <c r="K297" i="8"/>
  <c r="G642" i="8"/>
  <c r="E641" i="8"/>
  <c r="F644" i="8"/>
  <c r="L641" i="8"/>
  <c r="G641" i="8"/>
  <c r="G644" i="8"/>
  <c r="I418" i="8"/>
  <c r="E428" i="8"/>
  <c r="D425" i="8"/>
  <c r="F419" i="8"/>
  <c r="K428" i="8"/>
  <c r="N428" i="8"/>
  <c r="K491" i="8"/>
  <c r="M491" i="8"/>
  <c r="I492" i="8"/>
  <c r="F498" i="8"/>
  <c r="L491" i="8"/>
  <c r="F493" i="8"/>
  <c r="M493" i="8"/>
  <c r="N498" i="8"/>
  <c r="D491" i="8"/>
  <c r="H569" i="8"/>
  <c r="K566" i="8"/>
  <c r="L573" i="8"/>
  <c r="N569" i="8"/>
  <c r="K569" i="8"/>
  <c r="O577" i="8"/>
  <c r="D566" i="8"/>
  <c r="D606" i="8"/>
  <c r="F456" i="8"/>
  <c r="N531" i="8"/>
  <c r="I531" i="8"/>
  <c r="I642" i="8"/>
  <c r="M641" i="8"/>
  <c r="I641" i="8"/>
  <c r="G646" i="8"/>
  <c r="I569" i="8"/>
  <c r="O569" i="8"/>
  <c r="O642" i="8"/>
  <c r="N641" i="8"/>
  <c r="H646" i="8"/>
  <c r="O419" i="8"/>
  <c r="J569" i="8"/>
  <c r="D569" i="8"/>
  <c r="H491" i="8"/>
  <c r="E491" i="8"/>
  <c r="O428" i="8"/>
  <c r="L428" i="8"/>
  <c r="I563" i="8"/>
  <c r="E569" i="8"/>
  <c r="F491" i="8"/>
  <c r="M428" i="8"/>
  <c r="J641" i="8"/>
  <c r="L569" i="8"/>
  <c r="J491" i="8"/>
  <c r="F428" i="8"/>
  <c r="O641" i="8"/>
  <c r="F641" i="8"/>
  <c r="D641" i="8"/>
  <c r="H422" i="8"/>
  <c r="K563" i="8"/>
  <c r="M569" i="8"/>
  <c r="H642" i="8"/>
  <c r="K641" i="8"/>
  <c r="K418" i="8"/>
  <c r="N571" i="8"/>
  <c r="F569" i="8"/>
  <c r="N491" i="8"/>
  <c r="G253" i="8"/>
  <c r="L293" i="8"/>
  <c r="E111" i="11"/>
  <c r="F111" i="11" s="1"/>
  <c r="G111" i="11" s="1"/>
  <c r="H111" i="11" s="1"/>
  <c r="I111" i="11" s="1"/>
  <c r="J111" i="11" s="1"/>
  <c r="K111" i="11" s="1"/>
  <c r="L111" i="11" s="1"/>
  <c r="M111" i="11" s="1"/>
  <c r="N111" i="11" s="1"/>
  <c r="R57" i="10"/>
  <c r="I254" i="8"/>
  <c r="N253" i="8"/>
  <c r="I271" i="8"/>
  <c r="M271" i="8"/>
  <c r="F566" i="8"/>
  <c r="O566" i="8"/>
  <c r="L566" i="8"/>
  <c r="I566" i="8"/>
  <c r="E573" i="8"/>
  <c r="J573" i="8"/>
  <c r="N573" i="8"/>
  <c r="I573" i="8"/>
  <c r="G573" i="8"/>
  <c r="K567" i="8"/>
  <c r="F573" i="8"/>
  <c r="D567" i="8"/>
  <c r="F567" i="8"/>
  <c r="I562" i="8"/>
  <c r="N567" i="8"/>
  <c r="K573" i="8"/>
  <c r="J567" i="8"/>
  <c r="O573" i="8"/>
  <c r="M573" i="8"/>
  <c r="H567" i="8"/>
  <c r="H573" i="8"/>
  <c r="M494" i="8"/>
  <c r="F494" i="8"/>
  <c r="G494" i="8"/>
  <c r="J494" i="8"/>
  <c r="H494" i="8"/>
  <c r="L494" i="8"/>
  <c r="O494" i="8"/>
  <c r="D494" i="8"/>
  <c r="O502" i="8"/>
  <c r="E500" i="8"/>
  <c r="F288" i="8"/>
  <c r="F253" i="8"/>
  <c r="M254" i="8"/>
  <c r="P57" i="10"/>
  <c r="E253" i="8"/>
  <c r="E267" i="8"/>
  <c r="I297" i="8"/>
  <c r="I298" i="8" s="1"/>
  <c r="H254" i="8"/>
  <c r="I272" i="8"/>
  <c r="N297" i="8"/>
  <c r="N298" i="8" s="1"/>
  <c r="O253" i="8"/>
  <c r="G288" i="8"/>
  <c r="F293" i="8"/>
  <c r="M297" i="8"/>
  <c r="M298" i="8" s="1"/>
  <c r="L271" i="8"/>
  <c r="J289" i="8"/>
  <c r="N270" i="8"/>
  <c r="L279" i="8"/>
  <c r="L297" i="8"/>
  <c r="M279" i="8"/>
  <c r="G297" i="8"/>
  <c r="K254" i="8"/>
  <c r="N279" i="8"/>
  <c r="K279" i="8"/>
  <c r="M293" i="8"/>
  <c r="D278" i="8"/>
  <c r="D279" i="8" s="1"/>
  <c r="P222" i="8"/>
  <c r="L54" i="8" s="1"/>
  <c r="L55" i="8" s="1"/>
  <c r="L295" i="8"/>
  <c r="I279" i="8"/>
  <c r="F297" i="8"/>
  <c r="J297" i="8"/>
  <c r="G279" i="8"/>
  <c r="H279" i="8"/>
  <c r="H297" i="8"/>
  <c r="H298" i="8" s="1"/>
  <c r="D287" i="8"/>
  <c r="D288" i="8" s="1"/>
  <c r="P224" i="8"/>
  <c r="O293" i="8"/>
  <c r="O271" i="8"/>
  <c r="O297" i="8"/>
  <c r="O298" i="8" s="1"/>
  <c r="E292" i="8"/>
  <c r="E297" i="8" s="1"/>
  <c r="N293" i="8"/>
  <c r="O279" i="8"/>
  <c r="D282" i="8"/>
  <c r="D283" i="8" s="1"/>
  <c r="P223" i="8"/>
  <c r="O54" i="8" s="1"/>
  <c r="O55" i="8" s="1"/>
  <c r="P225" i="8"/>
  <c r="P202" i="8"/>
  <c r="K54" i="8" s="1"/>
  <c r="E270" i="8"/>
  <c r="J254" i="8"/>
  <c r="J293" i="8"/>
  <c r="F295" i="8"/>
  <c r="K562" i="8"/>
  <c r="L564" i="8"/>
  <c r="O563" i="8"/>
  <c r="F563" i="8"/>
  <c r="D562" i="8"/>
  <c r="E562" i="8"/>
  <c r="K564" i="8"/>
  <c r="L563" i="8"/>
  <c r="N563" i="8"/>
  <c r="E563" i="8"/>
  <c r="O562" i="8"/>
  <c r="F564" i="8"/>
  <c r="D563" i="8"/>
  <c r="J563" i="8"/>
  <c r="H272" i="8"/>
  <c r="K294" i="8"/>
  <c r="D267" i="8"/>
  <c r="K295" i="8"/>
  <c r="K293" i="8"/>
  <c r="C51" i="11"/>
  <c r="K264" i="8"/>
  <c r="K289" i="8"/>
  <c r="N255" i="8"/>
  <c r="N280" i="8"/>
  <c r="G271" i="8"/>
  <c r="H271" i="8"/>
  <c r="F259" i="8"/>
  <c r="F284" i="8"/>
  <c r="M264" i="8"/>
  <c r="M289" i="8"/>
  <c r="H255" i="8"/>
  <c r="H280" i="8"/>
  <c r="E255" i="8"/>
  <c r="E280" i="8"/>
  <c r="L255" i="8"/>
  <c r="L280" i="8"/>
  <c r="H264" i="8"/>
  <c r="H289" i="8"/>
  <c r="J271" i="8"/>
  <c r="M294" i="8"/>
  <c r="N294" i="8"/>
  <c r="G294" i="8"/>
  <c r="N259" i="8"/>
  <c r="N284" i="8"/>
  <c r="J255" i="8"/>
  <c r="J280" i="8"/>
  <c r="L264" i="8"/>
  <c r="L289" i="8"/>
  <c r="L259" i="8"/>
  <c r="L284" i="8"/>
  <c r="I259" i="8"/>
  <c r="I284" i="8"/>
  <c r="M259" i="8"/>
  <c r="M284" i="8"/>
  <c r="N271" i="8"/>
  <c r="G289" i="8"/>
  <c r="H294" i="8"/>
  <c r="O259" i="8"/>
  <c r="O284" i="8"/>
  <c r="O255" i="8"/>
  <c r="O280" i="8"/>
  <c r="G255" i="8"/>
  <c r="G280" i="8"/>
  <c r="N264" i="8"/>
  <c r="N289" i="8"/>
  <c r="J259" i="8"/>
  <c r="J284" i="8"/>
  <c r="H259" i="8"/>
  <c r="H284" i="8"/>
  <c r="I255" i="8"/>
  <c r="I280" i="8"/>
  <c r="M255" i="8"/>
  <c r="M280" i="8"/>
  <c r="E264" i="8"/>
  <c r="E289" i="8"/>
  <c r="F294" i="8"/>
  <c r="O294" i="8"/>
  <c r="O264" i="8"/>
  <c r="O289" i="8"/>
  <c r="K259" i="8"/>
  <c r="K284" i="8"/>
  <c r="K255" i="8"/>
  <c r="K280" i="8"/>
  <c r="F264" i="8"/>
  <c r="F289" i="8"/>
  <c r="D271" i="8"/>
  <c r="F255" i="8"/>
  <c r="F280" i="8"/>
  <c r="D264" i="8"/>
  <c r="D292" i="8"/>
  <c r="I264" i="8"/>
  <c r="I289" i="8"/>
  <c r="D295" i="8"/>
  <c r="F271" i="8"/>
  <c r="I294" i="8"/>
  <c r="J294" i="8"/>
  <c r="G284" i="8"/>
  <c r="L294" i="8"/>
  <c r="N59" i="10"/>
  <c r="G293" i="8"/>
  <c r="G295" i="8"/>
  <c r="I270" i="8"/>
  <c r="F270" i="8"/>
  <c r="L77" i="8"/>
  <c r="K77" i="8"/>
  <c r="N52" i="8"/>
  <c r="H54" i="8"/>
  <c r="M270" i="8"/>
  <c r="K270" i="8"/>
  <c r="L270" i="8"/>
  <c r="H270" i="8"/>
  <c r="J270" i="8"/>
  <c r="D294" i="8"/>
  <c r="D289" i="8"/>
  <c r="F436" i="8"/>
  <c r="J436" i="8"/>
  <c r="N436" i="8"/>
  <c r="H436" i="8"/>
  <c r="G436" i="8"/>
  <c r="K436" i="8"/>
  <c r="O436" i="8"/>
  <c r="L436" i="8"/>
  <c r="E436" i="8"/>
  <c r="I436" i="8"/>
  <c r="M436" i="8"/>
  <c r="D436" i="8"/>
  <c r="F654" i="8"/>
  <c r="J654" i="8"/>
  <c r="N654" i="8"/>
  <c r="G654" i="8"/>
  <c r="K654" i="8"/>
  <c r="O654" i="8"/>
  <c r="E654" i="8"/>
  <c r="I654" i="8"/>
  <c r="M654" i="8"/>
  <c r="H654" i="8"/>
  <c r="D654" i="8"/>
  <c r="L654" i="8"/>
  <c r="F508" i="8"/>
  <c r="J508" i="8"/>
  <c r="N508" i="8"/>
  <c r="G508" i="8"/>
  <c r="K508" i="8"/>
  <c r="O508" i="8"/>
  <c r="E508" i="8"/>
  <c r="I508" i="8"/>
  <c r="M508" i="8"/>
  <c r="H508" i="8"/>
  <c r="L508" i="8"/>
  <c r="D508" i="8"/>
  <c r="F583" i="8"/>
  <c r="J583" i="8"/>
  <c r="N583" i="8"/>
  <c r="G583" i="8"/>
  <c r="K583" i="8"/>
  <c r="O583" i="8"/>
  <c r="E583" i="8"/>
  <c r="I583" i="8"/>
  <c r="M583" i="8"/>
  <c r="L583" i="8"/>
  <c r="H583" i="8"/>
  <c r="D583" i="8"/>
  <c r="L531" i="8"/>
  <c r="L502" i="8"/>
  <c r="F459" i="8"/>
  <c r="G564" i="8"/>
  <c r="F655" i="8"/>
  <c r="J655" i="8"/>
  <c r="N655" i="8"/>
  <c r="G655" i="8"/>
  <c r="K655" i="8"/>
  <c r="O655" i="8"/>
  <c r="E655" i="8"/>
  <c r="I655" i="8"/>
  <c r="M655" i="8"/>
  <c r="D655" i="8"/>
  <c r="H655" i="8"/>
  <c r="L655" i="8"/>
  <c r="E571" i="8"/>
  <c r="J571" i="8"/>
  <c r="N603" i="8"/>
  <c r="F665" i="8"/>
  <c r="J665" i="8"/>
  <c r="N665" i="8"/>
  <c r="L665" i="8"/>
  <c r="G665" i="8"/>
  <c r="K665" i="8"/>
  <c r="O665" i="8"/>
  <c r="H665" i="8"/>
  <c r="E665" i="8"/>
  <c r="I665" i="8"/>
  <c r="M665" i="8"/>
  <c r="D665" i="8"/>
  <c r="I458" i="8"/>
  <c r="F444" i="8"/>
  <c r="J444" i="8"/>
  <c r="N444" i="8"/>
  <c r="L444" i="8"/>
  <c r="G444" i="8"/>
  <c r="K444" i="8"/>
  <c r="O444" i="8"/>
  <c r="D444" i="8"/>
  <c r="E444" i="8"/>
  <c r="I444" i="8"/>
  <c r="M444" i="8"/>
  <c r="H444" i="8"/>
  <c r="F658" i="8"/>
  <c r="J658" i="8"/>
  <c r="G658" i="8"/>
  <c r="K658" i="8"/>
  <c r="E658" i="8"/>
  <c r="I658" i="8"/>
  <c r="M658" i="8"/>
  <c r="N658" i="8"/>
  <c r="H658" i="8"/>
  <c r="D658" i="8"/>
  <c r="O658" i="8"/>
  <c r="L658" i="8"/>
  <c r="F513" i="8"/>
  <c r="J513" i="8"/>
  <c r="N513" i="8"/>
  <c r="G513" i="8"/>
  <c r="K513" i="8"/>
  <c r="O513" i="8"/>
  <c r="E513" i="8"/>
  <c r="I513" i="8"/>
  <c r="M513" i="8"/>
  <c r="L513" i="8"/>
  <c r="H513" i="8"/>
  <c r="D513" i="8"/>
  <c r="F590" i="8"/>
  <c r="J590" i="8"/>
  <c r="N590" i="8"/>
  <c r="G590" i="8"/>
  <c r="K590" i="8"/>
  <c r="O590" i="8"/>
  <c r="E590" i="8"/>
  <c r="I590" i="8"/>
  <c r="M590" i="8"/>
  <c r="D590" i="8"/>
  <c r="H590" i="8"/>
  <c r="L590" i="8"/>
  <c r="F516" i="8"/>
  <c r="J516" i="8"/>
  <c r="N516" i="8"/>
  <c r="G516" i="8"/>
  <c r="K516" i="8"/>
  <c r="O516" i="8"/>
  <c r="E516" i="8"/>
  <c r="I516" i="8"/>
  <c r="M516" i="8"/>
  <c r="H516" i="8"/>
  <c r="L516" i="8"/>
  <c r="D516" i="8"/>
  <c r="F514" i="8"/>
  <c r="J514" i="8"/>
  <c r="N514" i="8"/>
  <c r="G514" i="8"/>
  <c r="K514" i="8"/>
  <c r="O514" i="8"/>
  <c r="E514" i="8"/>
  <c r="I514" i="8"/>
  <c r="M514" i="8"/>
  <c r="D514" i="8"/>
  <c r="L514" i="8"/>
  <c r="H514" i="8"/>
  <c r="F657" i="8"/>
  <c r="J657" i="8"/>
  <c r="N657" i="8"/>
  <c r="G657" i="8"/>
  <c r="K657" i="8"/>
  <c r="O657" i="8"/>
  <c r="E657" i="8"/>
  <c r="I657" i="8"/>
  <c r="M657" i="8"/>
  <c r="L657" i="8"/>
  <c r="H657" i="8"/>
  <c r="D657" i="8"/>
  <c r="F659" i="8"/>
  <c r="J659" i="8"/>
  <c r="N659" i="8"/>
  <c r="L659" i="8"/>
  <c r="G659" i="8"/>
  <c r="K659" i="8"/>
  <c r="O659" i="8"/>
  <c r="D659" i="8"/>
  <c r="E659" i="8"/>
  <c r="I659" i="8"/>
  <c r="M659" i="8"/>
  <c r="H659" i="8"/>
  <c r="F653" i="8"/>
  <c r="J653" i="8"/>
  <c r="N653" i="8"/>
  <c r="G653" i="8"/>
  <c r="K653" i="8"/>
  <c r="O653" i="8"/>
  <c r="E653" i="8"/>
  <c r="I653" i="8"/>
  <c r="M653" i="8"/>
  <c r="L653" i="8"/>
  <c r="H653" i="8"/>
  <c r="D653" i="8"/>
  <c r="E752" i="8"/>
  <c r="F433" i="8"/>
  <c r="J433" i="8"/>
  <c r="N433" i="8"/>
  <c r="H433" i="8"/>
  <c r="G433" i="8"/>
  <c r="K433" i="8"/>
  <c r="O433" i="8"/>
  <c r="L433" i="8"/>
  <c r="E433" i="8"/>
  <c r="I433" i="8"/>
  <c r="M433" i="8"/>
  <c r="D433" i="8"/>
  <c r="F664" i="8"/>
  <c r="J664" i="8"/>
  <c r="N664" i="8"/>
  <c r="L664" i="8"/>
  <c r="G664" i="8"/>
  <c r="K664" i="8"/>
  <c r="O664" i="8"/>
  <c r="H664" i="8"/>
  <c r="E664" i="8"/>
  <c r="I664" i="8"/>
  <c r="M664" i="8"/>
  <c r="D664" i="8"/>
  <c r="O752" i="8"/>
  <c r="F507" i="8"/>
  <c r="J507" i="8"/>
  <c r="N507" i="8"/>
  <c r="G507" i="8"/>
  <c r="K507" i="8"/>
  <c r="O507" i="8"/>
  <c r="E507" i="8"/>
  <c r="I507" i="8"/>
  <c r="M507" i="8"/>
  <c r="D507" i="8"/>
  <c r="H507" i="8"/>
  <c r="L507" i="8"/>
  <c r="F434" i="8"/>
  <c r="J434" i="8"/>
  <c r="N434" i="8"/>
  <c r="H434" i="8"/>
  <c r="G434" i="8"/>
  <c r="K434" i="8"/>
  <c r="O434" i="8"/>
  <c r="L434" i="8"/>
  <c r="E434" i="8"/>
  <c r="I434" i="8"/>
  <c r="M434" i="8"/>
  <c r="D434" i="8"/>
  <c r="F589" i="8"/>
  <c r="J589" i="8"/>
  <c r="N589" i="8"/>
  <c r="G589" i="8"/>
  <c r="K589" i="8"/>
  <c r="O589" i="8"/>
  <c r="E589" i="8"/>
  <c r="I589" i="8"/>
  <c r="M589" i="8"/>
  <c r="D589" i="8"/>
  <c r="L589" i="8"/>
  <c r="H589" i="8"/>
  <c r="F595" i="8"/>
  <c r="J595" i="8"/>
  <c r="N595" i="8"/>
  <c r="G595" i="8"/>
  <c r="K595" i="8"/>
  <c r="O595" i="8"/>
  <c r="E595" i="8"/>
  <c r="I595" i="8"/>
  <c r="M595" i="8"/>
  <c r="H595" i="8"/>
  <c r="L595" i="8"/>
  <c r="D595" i="8"/>
  <c r="K502" i="8"/>
  <c r="G606" i="8"/>
  <c r="O496" i="8"/>
  <c r="O456" i="8"/>
  <c r="H564" i="8"/>
  <c r="G752" i="8"/>
  <c r="F515" i="8"/>
  <c r="J515" i="8"/>
  <c r="N515" i="8"/>
  <c r="G515" i="8"/>
  <c r="K515" i="8"/>
  <c r="O515" i="8"/>
  <c r="E515" i="8"/>
  <c r="I515" i="8"/>
  <c r="M515" i="8"/>
  <c r="D515" i="8"/>
  <c r="H515" i="8"/>
  <c r="L515" i="8"/>
  <c r="I528" i="8"/>
  <c r="N502" i="8"/>
  <c r="G502" i="8"/>
  <c r="L459" i="8"/>
  <c r="J496" i="8"/>
  <c r="N564" i="8"/>
  <c r="F524" i="8"/>
  <c r="J524" i="8"/>
  <c r="N524" i="8"/>
  <c r="G524" i="8"/>
  <c r="K524" i="8"/>
  <c r="O524" i="8"/>
  <c r="E524" i="8"/>
  <c r="I524" i="8"/>
  <c r="M524" i="8"/>
  <c r="H524" i="8"/>
  <c r="L524" i="8"/>
  <c r="D524" i="8"/>
  <c r="L571" i="8"/>
  <c r="F603" i="8"/>
  <c r="D692" i="8"/>
  <c r="D528" i="8"/>
  <c r="F651" i="8"/>
  <c r="J651" i="8"/>
  <c r="N651" i="8"/>
  <c r="G651" i="8"/>
  <c r="K651" i="8"/>
  <c r="O651" i="8"/>
  <c r="E651" i="8"/>
  <c r="I651" i="8"/>
  <c r="M651" i="8"/>
  <c r="D651" i="8"/>
  <c r="H651" i="8"/>
  <c r="L651" i="8"/>
  <c r="G458" i="8"/>
  <c r="F448" i="8"/>
  <c r="J448" i="8"/>
  <c r="N448" i="8"/>
  <c r="L448" i="8"/>
  <c r="G448" i="8"/>
  <c r="K448" i="8"/>
  <c r="O448" i="8"/>
  <c r="D448" i="8"/>
  <c r="E448" i="8"/>
  <c r="I448" i="8"/>
  <c r="M448" i="8"/>
  <c r="H448" i="8"/>
  <c r="F670" i="8"/>
  <c r="J670" i="8"/>
  <c r="N670" i="8"/>
  <c r="D670" i="8"/>
  <c r="G670" i="8"/>
  <c r="K670" i="8"/>
  <c r="O670" i="8"/>
  <c r="H670" i="8"/>
  <c r="E670" i="8"/>
  <c r="I670" i="8"/>
  <c r="M670" i="8"/>
  <c r="L670" i="8"/>
  <c r="F519" i="8"/>
  <c r="J519" i="8"/>
  <c r="N519" i="8"/>
  <c r="G519" i="8"/>
  <c r="K519" i="8"/>
  <c r="O519" i="8"/>
  <c r="E519" i="8"/>
  <c r="I519" i="8"/>
  <c r="M519" i="8"/>
  <c r="D519" i="8"/>
  <c r="H519" i="8"/>
  <c r="L519" i="8"/>
  <c r="F511" i="8"/>
  <c r="J511" i="8"/>
  <c r="N511" i="8"/>
  <c r="G511" i="8"/>
  <c r="K511" i="8"/>
  <c r="O511" i="8"/>
  <c r="E511" i="8"/>
  <c r="I511" i="8"/>
  <c r="M511" i="8"/>
  <c r="D511" i="8"/>
  <c r="H511" i="8"/>
  <c r="L511" i="8"/>
  <c r="F435" i="8"/>
  <c r="J435" i="8"/>
  <c r="N435" i="8"/>
  <c r="H435" i="8"/>
  <c r="G435" i="8"/>
  <c r="K435" i="8"/>
  <c r="O435" i="8"/>
  <c r="L435" i="8"/>
  <c r="E435" i="8"/>
  <c r="I435" i="8"/>
  <c r="M435" i="8"/>
  <c r="D435" i="8"/>
  <c r="F666" i="8"/>
  <c r="J666" i="8"/>
  <c r="N666" i="8"/>
  <c r="L666" i="8"/>
  <c r="G666" i="8"/>
  <c r="K666" i="8"/>
  <c r="O666" i="8"/>
  <c r="H666" i="8"/>
  <c r="E666" i="8"/>
  <c r="I666" i="8"/>
  <c r="M666" i="8"/>
  <c r="D666" i="8"/>
  <c r="F648" i="8"/>
  <c r="J648" i="8"/>
  <c r="N648" i="8"/>
  <c r="G648" i="8"/>
  <c r="K648" i="8"/>
  <c r="O648" i="8"/>
  <c r="E648" i="8"/>
  <c r="I648" i="8"/>
  <c r="M648" i="8"/>
  <c r="H648" i="8"/>
  <c r="L648" i="8"/>
  <c r="D648" i="8"/>
  <c r="J112" i="10"/>
  <c r="C146" i="8" s="1"/>
  <c r="F437" i="8"/>
  <c r="J437" i="8"/>
  <c r="N437" i="8"/>
  <c r="H437" i="8"/>
  <c r="G437" i="8"/>
  <c r="K437" i="8"/>
  <c r="O437" i="8"/>
  <c r="L437" i="8"/>
  <c r="E437" i="8"/>
  <c r="I437" i="8"/>
  <c r="M437" i="8"/>
  <c r="D437" i="8"/>
  <c r="F647" i="8"/>
  <c r="J647" i="8"/>
  <c r="N647" i="8"/>
  <c r="G647" i="8"/>
  <c r="K647" i="8"/>
  <c r="O647" i="8"/>
  <c r="E647" i="8"/>
  <c r="I647" i="8"/>
  <c r="M647" i="8"/>
  <c r="D647" i="8"/>
  <c r="H647" i="8"/>
  <c r="L647" i="8"/>
  <c r="F587" i="8"/>
  <c r="J587" i="8"/>
  <c r="N587" i="8"/>
  <c r="G587" i="8"/>
  <c r="K587" i="8"/>
  <c r="O587" i="8"/>
  <c r="E587" i="8"/>
  <c r="I587" i="8"/>
  <c r="M587" i="8"/>
  <c r="L587" i="8"/>
  <c r="H587" i="8"/>
  <c r="D587" i="8"/>
  <c r="F531" i="8"/>
  <c r="M502" i="8"/>
  <c r="O459" i="8"/>
  <c r="F441" i="8"/>
  <c r="J441" i="8"/>
  <c r="N441" i="8"/>
  <c r="H441" i="8"/>
  <c r="G441" i="8"/>
  <c r="K441" i="8"/>
  <c r="O441" i="8"/>
  <c r="D441" i="8"/>
  <c r="E441" i="8"/>
  <c r="I441" i="8"/>
  <c r="M441" i="8"/>
  <c r="L441" i="8"/>
  <c r="F667" i="8"/>
  <c r="J667" i="8"/>
  <c r="N667" i="8"/>
  <c r="L667" i="8"/>
  <c r="G667" i="8"/>
  <c r="K667" i="8"/>
  <c r="O667" i="8"/>
  <c r="H667" i="8"/>
  <c r="E667" i="8"/>
  <c r="I667" i="8"/>
  <c r="M667" i="8"/>
  <c r="D667" i="8"/>
  <c r="N492" i="8"/>
  <c r="D460" i="8"/>
  <c r="M564" i="8"/>
  <c r="D603" i="8"/>
  <c r="H531" i="8"/>
  <c r="I502" i="8"/>
  <c r="J459" i="8"/>
  <c r="N606" i="8"/>
  <c r="K496" i="8"/>
  <c r="H456" i="8"/>
  <c r="I460" i="8"/>
  <c r="I564" i="8"/>
  <c r="D564" i="8"/>
  <c r="F439" i="8"/>
  <c r="J439" i="8"/>
  <c r="N439" i="8"/>
  <c r="H439" i="8"/>
  <c r="G439" i="8"/>
  <c r="K439" i="8"/>
  <c r="O439" i="8"/>
  <c r="D439" i="8"/>
  <c r="E439" i="8"/>
  <c r="I439" i="8"/>
  <c r="M439" i="8"/>
  <c r="L439" i="8"/>
  <c r="K458" i="8"/>
  <c r="F443" i="8"/>
  <c r="J443" i="8"/>
  <c r="N443" i="8"/>
  <c r="H443" i="8"/>
  <c r="G443" i="8"/>
  <c r="K443" i="8"/>
  <c r="O443" i="8"/>
  <c r="D443" i="8"/>
  <c r="E443" i="8"/>
  <c r="I443" i="8"/>
  <c r="M443" i="8"/>
  <c r="L443" i="8"/>
  <c r="F584" i="8"/>
  <c r="J584" i="8"/>
  <c r="N584" i="8"/>
  <c r="G584" i="8"/>
  <c r="K584" i="8"/>
  <c r="O584" i="8"/>
  <c r="E584" i="8"/>
  <c r="I584" i="8"/>
  <c r="M584" i="8"/>
  <c r="D584" i="8"/>
  <c r="L584" i="8"/>
  <c r="H584" i="8"/>
  <c r="F520" i="8"/>
  <c r="J520" i="8"/>
  <c r="N520" i="8"/>
  <c r="G520" i="8"/>
  <c r="K520" i="8"/>
  <c r="O520" i="8"/>
  <c r="E520" i="8"/>
  <c r="I520" i="8"/>
  <c r="M520" i="8"/>
  <c r="H520" i="8"/>
  <c r="L520" i="8"/>
  <c r="D520" i="8"/>
  <c r="F649" i="8"/>
  <c r="J649" i="8"/>
  <c r="N649" i="8"/>
  <c r="G649" i="8"/>
  <c r="K649" i="8"/>
  <c r="O649" i="8"/>
  <c r="E649" i="8"/>
  <c r="I649" i="8"/>
  <c r="M649" i="8"/>
  <c r="L649" i="8"/>
  <c r="H649" i="8"/>
  <c r="D649" i="8"/>
  <c r="F582" i="8"/>
  <c r="J582" i="8"/>
  <c r="N582" i="8"/>
  <c r="G582" i="8"/>
  <c r="K582" i="8"/>
  <c r="O582" i="8"/>
  <c r="E582" i="8"/>
  <c r="I582" i="8"/>
  <c r="M582" i="8"/>
  <c r="H582" i="8"/>
  <c r="L582" i="8"/>
  <c r="D582" i="8"/>
  <c r="M531" i="8"/>
  <c r="G531" i="8"/>
  <c r="H502" i="8"/>
  <c r="J502" i="8"/>
  <c r="F517" i="8"/>
  <c r="J517" i="8"/>
  <c r="N517" i="8"/>
  <c r="G517" i="8"/>
  <c r="K517" i="8"/>
  <c r="O517" i="8"/>
  <c r="E517" i="8"/>
  <c r="I517" i="8"/>
  <c r="M517" i="8"/>
  <c r="L517" i="8"/>
  <c r="H517" i="8"/>
  <c r="D517" i="8"/>
  <c r="M459" i="8"/>
  <c r="M467" i="8"/>
  <c r="K467" i="8"/>
  <c r="F421" i="8"/>
  <c r="E642" i="8"/>
  <c r="M609" i="8"/>
  <c r="C609" i="8" s="1"/>
  <c r="H609" i="8"/>
  <c r="H568" i="8"/>
  <c r="H608" i="8"/>
  <c r="G572" i="8"/>
  <c r="J683" i="8"/>
  <c r="E683" i="8"/>
  <c r="M606" i="8"/>
  <c r="J540" i="8"/>
  <c r="G492" i="8"/>
  <c r="F496" i="8"/>
  <c r="G496" i="8"/>
  <c r="L498" i="8"/>
  <c r="I498" i="8"/>
  <c r="L456" i="8"/>
  <c r="O464" i="8"/>
  <c r="I464" i="8"/>
  <c r="K468" i="8"/>
  <c r="D468" i="8"/>
  <c r="F418" i="8"/>
  <c r="G418" i="8"/>
  <c r="I646" i="8"/>
  <c r="L534" i="8"/>
  <c r="K534" i="8"/>
  <c r="O564" i="8"/>
  <c r="J564" i="8"/>
  <c r="H681" i="8"/>
  <c r="O644" i="8"/>
  <c r="F510" i="8"/>
  <c r="J510" i="8"/>
  <c r="N510" i="8"/>
  <c r="G510" i="8"/>
  <c r="K510" i="8"/>
  <c r="O510" i="8"/>
  <c r="E510" i="8"/>
  <c r="I510" i="8"/>
  <c r="M510" i="8"/>
  <c r="D510" i="8"/>
  <c r="L510" i="8"/>
  <c r="H510" i="8"/>
  <c r="K571" i="8"/>
  <c r="H563" i="8"/>
  <c r="G563" i="8"/>
  <c r="F588" i="8"/>
  <c r="G588" i="8"/>
  <c r="E588" i="8"/>
  <c r="J588" i="8"/>
  <c r="N588" i="8"/>
  <c r="D588" i="8"/>
  <c r="K588" i="8"/>
  <c r="O588" i="8"/>
  <c r="I588" i="8"/>
  <c r="M588" i="8"/>
  <c r="L588" i="8"/>
  <c r="H588" i="8"/>
  <c r="N694" i="8"/>
  <c r="I694" i="8"/>
  <c r="M603" i="8"/>
  <c r="I692" i="8"/>
  <c r="L691" i="8"/>
  <c r="K691" i="8"/>
  <c r="O618" i="8"/>
  <c r="E618" i="8"/>
  <c r="F585" i="8"/>
  <c r="J585" i="8"/>
  <c r="N585" i="8"/>
  <c r="G585" i="8"/>
  <c r="K585" i="8"/>
  <c r="O585" i="8"/>
  <c r="E585" i="8"/>
  <c r="I585" i="8"/>
  <c r="M585" i="8"/>
  <c r="D585" i="8"/>
  <c r="H585" i="8"/>
  <c r="L585" i="8"/>
  <c r="F458" i="8"/>
  <c r="L458" i="8"/>
  <c r="F669" i="8"/>
  <c r="J669" i="8"/>
  <c r="N669" i="8"/>
  <c r="G669" i="8"/>
  <c r="K669" i="8"/>
  <c r="O669" i="8"/>
  <c r="H669" i="8"/>
  <c r="E669" i="8"/>
  <c r="I669" i="8"/>
  <c r="M669" i="8"/>
  <c r="D669" i="8"/>
  <c r="L669" i="8"/>
  <c r="F591" i="8"/>
  <c r="J591" i="8"/>
  <c r="N591" i="8"/>
  <c r="G591" i="8"/>
  <c r="K591" i="8"/>
  <c r="O591" i="8"/>
  <c r="E591" i="8"/>
  <c r="I591" i="8"/>
  <c r="M591" i="8"/>
  <c r="H591" i="8"/>
  <c r="L591" i="8"/>
  <c r="D591" i="8"/>
  <c r="F509" i="8"/>
  <c r="J509" i="8"/>
  <c r="N509" i="8"/>
  <c r="G509" i="8"/>
  <c r="K509" i="8"/>
  <c r="O509" i="8"/>
  <c r="E509" i="8"/>
  <c r="I509" i="8"/>
  <c r="M509" i="8"/>
  <c r="L509" i="8"/>
  <c r="H509" i="8"/>
  <c r="D509" i="8"/>
  <c r="F660" i="8"/>
  <c r="J660" i="8"/>
  <c r="N660" i="8"/>
  <c r="L660" i="8"/>
  <c r="G660" i="8"/>
  <c r="K660" i="8"/>
  <c r="O660" i="8"/>
  <c r="D660" i="8"/>
  <c r="E660" i="8"/>
  <c r="I660" i="8"/>
  <c r="M660" i="8"/>
  <c r="H660" i="8"/>
  <c r="F656" i="8"/>
  <c r="J656" i="8"/>
  <c r="N656" i="8"/>
  <c r="G656" i="8"/>
  <c r="K656" i="8"/>
  <c r="O656" i="8"/>
  <c r="E656" i="8"/>
  <c r="I656" i="8"/>
  <c r="M656" i="8"/>
  <c r="H656" i="8"/>
  <c r="L656" i="8"/>
  <c r="D656" i="8"/>
  <c r="M752" i="8"/>
  <c r="F662" i="8"/>
  <c r="J662" i="8"/>
  <c r="N662" i="8"/>
  <c r="L662" i="8"/>
  <c r="G662" i="8"/>
  <c r="K662" i="8"/>
  <c r="O662" i="8"/>
  <c r="H662" i="8"/>
  <c r="E662" i="8"/>
  <c r="I662" i="8"/>
  <c r="M662" i="8"/>
  <c r="D662" i="8"/>
  <c r="F438" i="8"/>
  <c r="J438" i="8"/>
  <c r="N438" i="8"/>
  <c r="H438" i="8"/>
  <c r="G438" i="8"/>
  <c r="K438" i="8"/>
  <c r="O438" i="8"/>
  <c r="E438" i="8"/>
  <c r="I438" i="8"/>
  <c r="M438" i="8"/>
  <c r="D438" i="8"/>
  <c r="L438" i="8"/>
  <c r="F663" i="8"/>
  <c r="J663" i="8"/>
  <c r="N663" i="8"/>
  <c r="L663" i="8"/>
  <c r="G663" i="8"/>
  <c r="K663" i="8"/>
  <c r="O663" i="8"/>
  <c r="H663" i="8"/>
  <c r="E663" i="8"/>
  <c r="I663" i="8"/>
  <c r="M663" i="8"/>
  <c r="D663" i="8"/>
  <c r="F650" i="8"/>
  <c r="J650" i="8"/>
  <c r="N650" i="8"/>
  <c r="G650" i="8"/>
  <c r="K650" i="8"/>
  <c r="O650" i="8"/>
  <c r="E650" i="8"/>
  <c r="I650" i="8"/>
  <c r="M650" i="8"/>
  <c r="H650" i="8"/>
  <c r="D650" i="8"/>
  <c r="L650" i="8"/>
  <c r="F580" i="8"/>
  <c r="J580" i="8"/>
  <c r="N580" i="8"/>
  <c r="G580" i="8"/>
  <c r="K580" i="8"/>
  <c r="O580" i="8"/>
  <c r="E580" i="8"/>
  <c r="I580" i="8"/>
  <c r="M580" i="8"/>
  <c r="D580" i="8"/>
  <c r="L580" i="8"/>
  <c r="H580" i="8"/>
  <c r="F506" i="8"/>
  <c r="J506" i="8"/>
  <c r="N506" i="8"/>
  <c r="G506" i="8"/>
  <c r="K506" i="8"/>
  <c r="O506" i="8"/>
  <c r="D506" i="8"/>
  <c r="E506" i="8"/>
  <c r="I506" i="8"/>
  <c r="M506" i="8"/>
  <c r="L506" i="8"/>
  <c r="H506" i="8"/>
  <c r="D284" i="8"/>
  <c r="J276" i="8"/>
  <c r="D280" i="8"/>
  <c r="L276" i="8"/>
  <c r="H276" i="8"/>
  <c r="I276" i="8"/>
  <c r="D276" i="8"/>
  <c r="E276" i="8"/>
  <c r="F276" i="8"/>
  <c r="K276" i="8"/>
  <c r="J264" i="8"/>
  <c r="H269" i="8"/>
  <c r="L269" i="8"/>
  <c r="N269" i="8"/>
  <c r="O269" i="8"/>
  <c r="I269" i="8"/>
  <c r="F269" i="8"/>
  <c r="G269" i="8"/>
  <c r="M269" i="8"/>
  <c r="M251" i="8"/>
  <c r="O251" i="8"/>
  <c r="J269" i="8"/>
  <c r="P230" i="8"/>
  <c r="J52" i="8" s="1"/>
  <c r="K269" i="8"/>
  <c r="K251" i="8"/>
  <c r="G251" i="8"/>
  <c r="N251" i="8"/>
  <c r="D269" i="8"/>
  <c r="N57" i="10"/>
  <c r="P59" i="10"/>
  <c r="R59" i="10"/>
  <c r="E69" i="7"/>
  <c r="D77" i="8"/>
  <c r="N70" i="9"/>
  <c r="D270" i="8"/>
  <c r="E257" i="8"/>
  <c r="D258" i="8"/>
  <c r="I263" i="8"/>
  <c r="G257" i="8"/>
  <c r="H258" i="8"/>
  <c r="E268" i="8"/>
  <c r="I268" i="8"/>
  <c r="D257" i="8"/>
  <c r="D268" i="8"/>
  <c r="I258" i="8"/>
  <c r="G703" i="8"/>
  <c r="F606" i="8"/>
  <c r="K606" i="8"/>
  <c r="J606" i="8"/>
  <c r="O606" i="8"/>
  <c r="L606" i="8"/>
  <c r="H606" i="8"/>
  <c r="E606" i="8"/>
  <c r="K456" i="8"/>
  <c r="G456" i="8"/>
  <c r="E456" i="8"/>
  <c r="D456" i="8"/>
  <c r="I456" i="8"/>
  <c r="N456" i="8"/>
  <c r="J456" i="8"/>
  <c r="L568" i="8"/>
  <c r="J568" i="8"/>
  <c r="N568" i="8"/>
  <c r="D568" i="8"/>
  <c r="J572" i="8"/>
  <c r="G562" i="8"/>
  <c r="M562" i="8"/>
  <c r="E568" i="8"/>
  <c r="G568" i="8"/>
  <c r="L572" i="8"/>
  <c r="L562" i="8"/>
  <c r="F562" i="8"/>
  <c r="M571" i="8"/>
  <c r="I568" i="8"/>
  <c r="M568" i="8"/>
  <c r="K568" i="8"/>
  <c r="J562" i="8"/>
  <c r="H562" i="8"/>
  <c r="E572" i="8"/>
  <c r="F568" i="8"/>
  <c r="M572" i="8"/>
  <c r="F572" i="8"/>
  <c r="F571" i="8"/>
  <c r="J493" i="8"/>
  <c r="H493" i="8"/>
  <c r="I493" i="8"/>
  <c r="G493" i="8"/>
  <c r="K493" i="8"/>
  <c r="N493" i="8"/>
  <c r="O493" i="8"/>
  <c r="D493" i="8"/>
  <c r="L493" i="8"/>
  <c r="O417" i="8"/>
  <c r="E417" i="8"/>
  <c r="I421" i="8"/>
  <c r="E422" i="8"/>
  <c r="I417" i="8"/>
  <c r="M421" i="8"/>
  <c r="G421" i="8"/>
  <c r="M422" i="8"/>
  <c r="O421" i="8"/>
  <c r="J417" i="8"/>
  <c r="N421" i="8"/>
  <c r="D421" i="8"/>
  <c r="J422" i="8"/>
  <c r="N419" i="8"/>
  <c r="F417" i="8"/>
  <c r="H421" i="8"/>
  <c r="G422" i="8"/>
  <c r="J421" i="8"/>
  <c r="N417" i="8"/>
  <c r="D417" i="8"/>
  <c r="G417" i="8"/>
  <c r="O422" i="8"/>
  <c r="D646" i="8"/>
  <c r="N646" i="8"/>
  <c r="K646" i="8"/>
  <c r="E646" i="8"/>
  <c r="O646" i="8"/>
  <c r="N674" i="8"/>
  <c r="J646" i="8"/>
  <c r="F646" i="8"/>
  <c r="K674" i="8"/>
  <c r="L263" i="8"/>
  <c r="J83" i="10"/>
  <c r="C145" i="8" s="1"/>
  <c r="K553" i="8"/>
  <c r="D263" i="8"/>
  <c r="H263" i="8"/>
  <c r="D88" i="11"/>
  <c r="E88" i="11" s="1"/>
  <c r="F88" i="11" s="1"/>
  <c r="G88" i="11" s="1"/>
  <c r="G86" i="11" s="1"/>
  <c r="P56" i="10"/>
  <c r="N56" i="10"/>
  <c r="R56" i="10"/>
  <c r="R87" i="10"/>
  <c r="P87" i="10"/>
  <c r="N87" i="10"/>
  <c r="P88" i="10"/>
  <c r="N88" i="10"/>
  <c r="R88" i="10"/>
  <c r="T88" i="10"/>
  <c r="T112" i="10" s="1"/>
  <c r="L146" i="8" s="1"/>
  <c r="T58" i="10"/>
  <c r="T83" i="10" s="1"/>
  <c r="L145" i="8" s="1"/>
  <c r="P58" i="10"/>
  <c r="N58" i="10"/>
  <c r="R58" i="10"/>
  <c r="P116" i="10"/>
  <c r="P141" i="10" s="1"/>
  <c r="H147" i="8" s="1"/>
  <c r="N116" i="10"/>
  <c r="N141" i="10" s="1"/>
  <c r="F147" i="8" s="1"/>
  <c r="R116" i="10"/>
  <c r="R141" i="10" s="1"/>
  <c r="J147" i="8" s="1"/>
  <c r="H425" i="8"/>
  <c r="J413" i="8"/>
  <c r="I422" i="8"/>
  <c r="L422" i="8"/>
  <c r="D422" i="8"/>
  <c r="K422" i="8"/>
  <c r="N422" i="8"/>
  <c r="H426" i="8"/>
  <c r="O426" i="8"/>
  <c r="G426" i="8"/>
  <c r="J426" i="8"/>
  <c r="M426" i="8"/>
  <c r="J419" i="8"/>
  <c r="E419" i="8"/>
  <c r="D419" i="8"/>
  <c r="K419" i="8"/>
  <c r="F642" i="8"/>
  <c r="J642" i="8"/>
  <c r="N642" i="8"/>
  <c r="M642" i="8"/>
  <c r="L642" i="8"/>
  <c r="G674" i="8"/>
  <c r="J674" i="8"/>
  <c r="T29" i="10"/>
  <c r="N29" i="10"/>
  <c r="P29" i="10"/>
  <c r="R29" i="10"/>
  <c r="P203" i="8"/>
  <c r="N54" i="8" s="1"/>
  <c r="M268" i="8"/>
  <c r="L268" i="8"/>
  <c r="H268" i="8"/>
  <c r="M263" i="8"/>
  <c r="D684" i="8"/>
  <c r="M540" i="8"/>
  <c r="L544" i="8"/>
  <c r="H460" i="8"/>
  <c r="M460" i="8"/>
  <c r="L614" i="8"/>
  <c r="F614" i="8"/>
  <c r="L681" i="8"/>
  <c r="H692" i="8"/>
  <c r="M692" i="8"/>
  <c r="F619" i="8"/>
  <c r="E531" i="8"/>
  <c r="J531" i="8"/>
  <c r="K459" i="8"/>
  <c r="E608" i="8"/>
  <c r="E542" i="8"/>
  <c r="H684" i="8"/>
  <c r="F540" i="8"/>
  <c r="E544" i="8"/>
  <c r="L460" i="8"/>
  <c r="F460" i="8"/>
  <c r="L464" i="8"/>
  <c r="E614" i="8"/>
  <c r="J614" i="8"/>
  <c r="E681" i="8"/>
  <c r="J603" i="8"/>
  <c r="L692" i="8"/>
  <c r="F692" i="8"/>
  <c r="G618" i="8"/>
  <c r="E454" i="8"/>
  <c r="M458" i="8"/>
  <c r="J619" i="8"/>
  <c r="L684" i="8"/>
  <c r="J460" i="8"/>
  <c r="I681" i="8"/>
  <c r="N540" i="8"/>
  <c r="M544" i="8"/>
  <c r="N460" i="8"/>
  <c r="G614" i="8"/>
  <c r="K531" i="8"/>
  <c r="I459" i="8"/>
  <c r="F608" i="8"/>
  <c r="K608" i="8"/>
  <c r="F542" i="8"/>
  <c r="K542" i="8"/>
  <c r="I684" i="8"/>
  <c r="N684" i="8"/>
  <c r="G540" i="8"/>
  <c r="H540" i="8"/>
  <c r="F544" i="8"/>
  <c r="K544" i="8"/>
  <c r="G460" i="8"/>
  <c r="H464" i="8"/>
  <c r="M464" i="8"/>
  <c r="L679" i="8"/>
  <c r="K614" i="8"/>
  <c r="F681" i="8"/>
  <c r="K681" i="8"/>
  <c r="K603" i="8"/>
  <c r="L603" i="8"/>
  <c r="G692" i="8"/>
  <c r="D618" i="8"/>
  <c r="I618" i="8"/>
  <c r="F454" i="8"/>
  <c r="E458" i="8"/>
  <c r="K619" i="8"/>
  <c r="L619" i="8"/>
  <c r="J684" i="8"/>
  <c r="D540" i="8"/>
  <c r="G544" i="8"/>
  <c r="G681" i="8"/>
  <c r="G619" i="8"/>
  <c r="N459" i="8"/>
  <c r="J608" i="8"/>
  <c r="O608" i="8"/>
  <c r="O542" i="8"/>
  <c r="M684" i="8"/>
  <c r="G684" i="8"/>
  <c r="K540" i="8"/>
  <c r="L540" i="8"/>
  <c r="J544" i="8"/>
  <c r="O544" i="8"/>
  <c r="K460" i="8"/>
  <c r="K464" i="8"/>
  <c r="F464" i="8"/>
  <c r="F679" i="8"/>
  <c r="O614" i="8"/>
  <c r="J681" i="8"/>
  <c r="O681" i="8"/>
  <c r="O603" i="8"/>
  <c r="E603" i="8"/>
  <c r="K692" i="8"/>
  <c r="H618" i="8"/>
  <c r="M618" i="8"/>
  <c r="K454" i="8"/>
  <c r="J458" i="8"/>
  <c r="D458" i="8"/>
  <c r="O619" i="8"/>
  <c r="E619" i="8"/>
  <c r="F684" i="8"/>
  <c r="J692" i="8"/>
  <c r="E684" i="8"/>
  <c r="M614" i="8"/>
  <c r="M681" i="8"/>
  <c r="N692" i="8"/>
  <c r="H619" i="8"/>
  <c r="O531" i="8"/>
  <c r="D459" i="8"/>
  <c r="J542" i="8"/>
  <c r="E459" i="8"/>
  <c r="N608" i="8"/>
  <c r="N542" i="8"/>
  <c r="O540" i="8"/>
  <c r="N544" i="8"/>
  <c r="O460" i="8"/>
  <c r="K679" i="8"/>
  <c r="N681" i="8"/>
  <c r="O692" i="8"/>
  <c r="L618" i="8"/>
  <c r="G454" i="8"/>
  <c r="O458" i="8"/>
  <c r="E638" i="8"/>
  <c r="O674" i="8"/>
  <c r="E674" i="8"/>
  <c r="D674" i="8"/>
  <c r="I674" i="8"/>
  <c r="H674" i="8"/>
  <c r="M674" i="8"/>
  <c r="L674" i="8"/>
  <c r="G505" i="8"/>
  <c r="D501" i="8"/>
  <c r="F425" i="8"/>
  <c r="J418" i="8"/>
  <c r="L505" i="8"/>
  <c r="O505" i="8"/>
  <c r="L423" i="8"/>
  <c r="F423" i="8"/>
  <c r="I501" i="8"/>
  <c r="L501" i="8"/>
  <c r="O504" i="8"/>
  <c r="I425" i="8"/>
  <c r="N425" i="8"/>
  <c r="K572" i="8"/>
  <c r="D496" i="8"/>
  <c r="J498" i="8"/>
  <c r="M498" i="8"/>
  <c r="G500" i="8"/>
  <c r="N418" i="8"/>
  <c r="D418" i="8"/>
  <c r="D505" i="8"/>
  <c r="E505" i="8"/>
  <c r="K644" i="8"/>
  <c r="L419" i="8"/>
  <c r="E423" i="8"/>
  <c r="J423" i="8"/>
  <c r="I571" i="8"/>
  <c r="G571" i="8"/>
  <c r="M501" i="8"/>
  <c r="F501" i="8"/>
  <c r="L425" i="8"/>
  <c r="E501" i="8"/>
  <c r="J425" i="8"/>
  <c r="F504" i="8"/>
  <c r="G425" i="8"/>
  <c r="N505" i="8"/>
  <c r="K505" i="8"/>
  <c r="E425" i="8"/>
  <c r="O418" i="8"/>
  <c r="I423" i="8"/>
  <c r="J501" i="8"/>
  <c r="H504" i="8"/>
  <c r="K425" i="8"/>
  <c r="H572" i="8"/>
  <c r="N570" i="8"/>
  <c r="L496" i="8"/>
  <c r="E496" i="8"/>
  <c r="K498" i="8"/>
  <c r="O500" i="8"/>
  <c r="D500" i="8"/>
  <c r="L418" i="8"/>
  <c r="M505" i="8"/>
  <c r="M644" i="8"/>
  <c r="H644" i="8"/>
  <c r="I419" i="8"/>
  <c r="M423" i="8"/>
  <c r="G423" i="8"/>
  <c r="O571" i="8"/>
  <c r="N501" i="8"/>
  <c r="O501" i="8"/>
  <c r="H505" i="8"/>
  <c r="H423" i="8"/>
  <c r="H501" i="8"/>
  <c r="M425" i="8"/>
  <c r="H418" i="8"/>
  <c r="I505" i="8"/>
  <c r="N423" i="8"/>
  <c r="H570" i="8"/>
  <c r="N496" i="8"/>
  <c r="M500" i="8"/>
  <c r="I644" i="8"/>
  <c r="M419" i="8"/>
  <c r="M492" i="8"/>
  <c r="F492" i="8"/>
  <c r="I413" i="8"/>
  <c r="O413" i="8"/>
  <c r="J638" i="8"/>
  <c r="I567" i="8"/>
  <c r="O567" i="8"/>
  <c r="O492" i="8"/>
  <c r="J492" i="8"/>
  <c r="N413" i="8"/>
  <c r="E413" i="8"/>
  <c r="O638" i="8"/>
  <c r="D638" i="8"/>
  <c r="K492" i="8"/>
  <c r="K638" i="8"/>
  <c r="L567" i="8"/>
  <c r="H492" i="8"/>
  <c r="L413" i="8"/>
  <c r="G638" i="8"/>
  <c r="L638" i="8"/>
  <c r="F638" i="8"/>
  <c r="E567" i="8"/>
  <c r="L492" i="8"/>
  <c r="H413" i="8"/>
  <c r="M638" i="8"/>
  <c r="I638" i="8"/>
  <c r="D492" i="8"/>
  <c r="F413" i="8"/>
  <c r="H638" i="8"/>
  <c r="M413" i="8"/>
  <c r="I489" i="8"/>
  <c r="N70" i="7"/>
  <c r="M753" i="8" s="1"/>
  <c r="L70" i="7"/>
  <c r="K753" i="8" s="1"/>
  <c r="K752" i="8"/>
  <c r="E70" i="7"/>
  <c r="D753" i="8" s="1"/>
  <c r="D752" i="8"/>
  <c r="J70" i="7"/>
  <c r="I753" i="8" s="1"/>
  <c r="I752" i="8"/>
  <c r="K70" i="7"/>
  <c r="J753" i="8" s="1"/>
  <c r="J752" i="8"/>
  <c r="O70" i="7"/>
  <c r="N753" i="8" s="1"/>
  <c r="N752" i="8"/>
  <c r="G70" i="7"/>
  <c r="F753" i="8" s="1"/>
  <c r="F752" i="8"/>
  <c r="M70" i="7"/>
  <c r="L753" i="8" s="1"/>
  <c r="L752" i="8"/>
  <c r="F70" i="7"/>
  <c r="E753" i="8" s="1"/>
  <c r="T141" i="10"/>
  <c r="L147" i="8" s="1"/>
  <c r="D70" i="9"/>
  <c r="G70" i="9"/>
  <c r="P28" i="9"/>
  <c r="D52" i="8" s="1"/>
  <c r="L70" i="9"/>
  <c r="G270" i="8"/>
  <c r="K70" i="9"/>
  <c r="O70" i="9"/>
  <c r="C86" i="11"/>
  <c r="C87" i="11" s="1"/>
  <c r="C98" i="11"/>
  <c r="C99" i="11" s="1"/>
  <c r="C100" i="11" s="1"/>
  <c r="S57" i="5"/>
  <c r="O703" i="8"/>
  <c r="K703" i="8"/>
  <c r="N553" i="8"/>
  <c r="G553" i="8"/>
  <c r="O412" i="8"/>
  <c r="E412" i="8"/>
  <c r="M412" i="8"/>
  <c r="N489" i="8"/>
  <c r="O489" i="8"/>
  <c r="F411" i="8"/>
  <c r="I411" i="8"/>
  <c r="O411" i="8"/>
  <c r="E640" i="8"/>
  <c r="G354" i="8"/>
  <c r="K354" i="8"/>
  <c r="F553" i="8"/>
  <c r="F351" i="8"/>
  <c r="D703" i="8"/>
  <c r="D353" i="8"/>
  <c r="N703" i="8"/>
  <c r="N353" i="8"/>
  <c r="N354" i="8" s="1"/>
  <c r="M553" i="8"/>
  <c r="M351" i="8"/>
  <c r="O553" i="8"/>
  <c r="O351" i="8"/>
  <c r="O354" i="8" s="1"/>
  <c r="H553" i="8"/>
  <c r="H351" i="8"/>
  <c r="F703" i="8"/>
  <c r="F353" i="8"/>
  <c r="D351" i="8"/>
  <c r="M353" i="8"/>
  <c r="J351" i="8"/>
  <c r="I553" i="8"/>
  <c r="I351" i="8"/>
  <c r="I354" i="8" s="1"/>
  <c r="H703" i="8"/>
  <c r="H353" i="8"/>
  <c r="E703" i="8"/>
  <c r="E353" i="8"/>
  <c r="E354" i="8" s="1"/>
  <c r="J703" i="8"/>
  <c r="J353" i="8"/>
  <c r="L553" i="8"/>
  <c r="L351" i="8"/>
  <c r="L354" i="8" s="1"/>
  <c r="D454" i="8"/>
  <c r="H637" i="8"/>
  <c r="D637" i="8"/>
  <c r="O270" i="8"/>
  <c r="L257" i="8"/>
  <c r="L272" i="8" s="1"/>
  <c r="K490" i="8"/>
  <c r="L490" i="8"/>
  <c r="F490" i="8"/>
  <c r="G679" i="8"/>
  <c r="M679" i="8"/>
  <c r="H679" i="8"/>
  <c r="N679" i="8"/>
  <c r="I679" i="8"/>
  <c r="D679" i="8"/>
  <c r="O679" i="8"/>
  <c r="J679" i="8"/>
  <c r="E529" i="8"/>
  <c r="J529" i="8"/>
  <c r="Q53" i="8"/>
  <c r="P52" i="8"/>
  <c r="K257" i="8"/>
  <c r="O257" i="8"/>
  <c r="L258" i="8"/>
  <c r="J454" i="8"/>
  <c r="I454" i="8"/>
  <c r="I69" i="7"/>
  <c r="M640" i="8"/>
  <c r="F640" i="8"/>
  <c r="J528" i="8"/>
  <c r="E528" i="8"/>
  <c r="O528" i="8"/>
  <c r="F528" i="8"/>
  <c r="L528" i="8"/>
  <c r="K528" i="8"/>
  <c r="M528" i="8"/>
  <c r="H528" i="8"/>
  <c r="O529" i="8"/>
  <c r="L454" i="8"/>
  <c r="O454" i="8"/>
  <c r="E637" i="8"/>
  <c r="N637" i="8"/>
  <c r="K637" i="8"/>
  <c r="L640" i="8"/>
  <c r="O640" i="8"/>
  <c r="H640" i="8"/>
  <c r="G640" i="8"/>
  <c r="I640" i="8"/>
  <c r="N640" i="8"/>
  <c r="K640" i="8"/>
  <c r="D640" i="8"/>
  <c r="J412" i="8"/>
  <c r="D412" i="8"/>
  <c r="F412" i="8"/>
  <c r="L411" i="8"/>
  <c r="N411" i="8"/>
  <c r="H411" i="8"/>
  <c r="N412" i="8"/>
  <c r="H412" i="8"/>
  <c r="K412" i="8"/>
  <c r="J411" i="8"/>
  <c r="D411" i="8"/>
  <c r="K411" i="8"/>
  <c r="I412" i="8"/>
  <c r="L412" i="8"/>
  <c r="E411" i="8"/>
  <c r="M411" i="8"/>
  <c r="L489" i="8"/>
  <c r="K489" i="8"/>
  <c r="E489" i="8"/>
  <c r="J489" i="8"/>
  <c r="H489" i="8"/>
  <c r="G489" i="8"/>
  <c r="F489" i="8"/>
  <c r="D489" i="8"/>
  <c r="G637" i="8"/>
  <c r="J637" i="8"/>
  <c r="I637" i="8"/>
  <c r="F637" i="8"/>
  <c r="L637" i="8"/>
  <c r="M637" i="8"/>
  <c r="O637" i="8"/>
  <c r="O258" i="8"/>
  <c r="M257" i="8"/>
  <c r="M272" i="8" s="1"/>
  <c r="M258" i="8"/>
  <c r="K258" i="8"/>
  <c r="N268" i="8"/>
  <c r="J263" i="8"/>
  <c r="S53" i="8"/>
  <c r="Q97" i="7"/>
  <c r="E139" i="8"/>
  <c r="E40" i="8" s="1"/>
  <c r="C139" i="8"/>
  <c r="C40" i="8" s="1"/>
  <c r="O137" i="8"/>
  <c r="D139" i="8"/>
  <c r="D40" i="8" s="1"/>
  <c r="F139" i="8"/>
  <c r="F40" i="8" s="1"/>
  <c r="K139" i="8"/>
  <c r="K40" i="8" s="1"/>
  <c r="O134" i="8"/>
  <c r="C446" i="8"/>
  <c r="O135" i="8"/>
  <c r="J139" i="8"/>
  <c r="J40" i="8" s="1"/>
  <c r="O136" i="8"/>
  <c r="N139" i="8"/>
  <c r="N40" i="8" s="1"/>
  <c r="O138" i="8"/>
  <c r="H139" i="8"/>
  <c r="H40" i="8" s="1"/>
  <c r="M139" i="8"/>
  <c r="M40" i="8" s="1"/>
  <c r="G139" i="8"/>
  <c r="G40" i="8" s="1"/>
  <c r="L139" i="8"/>
  <c r="L40" i="8" s="1"/>
  <c r="N263" i="8"/>
  <c r="N262" i="8"/>
  <c r="J257" i="8"/>
  <c r="J258" i="8"/>
  <c r="J267" i="8"/>
  <c r="J268" i="8"/>
  <c r="F262" i="8"/>
  <c r="F263" i="8"/>
  <c r="N258" i="8"/>
  <c r="N257" i="8"/>
  <c r="N272" i="8" s="1"/>
  <c r="F257" i="8"/>
  <c r="F258" i="8"/>
  <c r="I139" i="8"/>
  <c r="I40" i="8" s="1"/>
  <c r="F267" i="8"/>
  <c r="F268" i="8"/>
  <c r="C639" i="8"/>
  <c r="L703" i="8"/>
  <c r="M703" i="8"/>
  <c r="J553" i="8"/>
  <c r="O169" i="10"/>
  <c r="G148" i="8" s="1"/>
  <c r="C148" i="8"/>
  <c r="Q169" i="10"/>
  <c r="I148" i="8" s="1"/>
  <c r="S169" i="10"/>
  <c r="K148" i="8" s="1"/>
  <c r="O133" i="8"/>
  <c r="C430" i="8"/>
  <c r="C592" i="8"/>
  <c r="C617" i="8"/>
  <c r="C594" i="8"/>
  <c r="C581" i="8"/>
  <c r="C610" i="8"/>
  <c r="C521" i="8"/>
  <c r="C536" i="8"/>
  <c r="C586" i="8"/>
  <c r="C686" i="8"/>
  <c r="C523" i="8"/>
  <c r="D504" i="8"/>
  <c r="M504" i="8"/>
  <c r="K504" i="8"/>
  <c r="L570" i="8"/>
  <c r="O570" i="8"/>
  <c r="J570" i="8"/>
  <c r="H490" i="8"/>
  <c r="D490" i="8"/>
  <c r="M490" i="8"/>
  <c r="L529" i="8"/>
  <c r="K529" i="8"/>
  <c r="F529" i="8"/>
  <c r="C604" i="8"/>
  <c r="D45" i="11"/>
  <c r="N504" i="8"/>
  <c r="I504" i="8"/>
  <c r="G504" i="8"/>
  <c r="D570" i="8"/>
  <c r="K570" i="8"/>
  <c r="F570" i="8"/>
  <c r="O490" i="8"/>
  <c r="N490" i="8"/>
  <c r="I490" i="8"/>
  <c r="M529" i="8"/>
  <c r="H529" i="8"/>
  <c r="G529" i="8"/>
  <c r="L504" i="8"/>
  <c r="J504" i="8"/>
  <c r="M570" i="8"/>
  <c r="I570" i="8"/>
  <c r="G490" i="8"/>
  <c r="J490" i="8"/>
  <c r="I529" i="8"/>
  <c r="D529" i="8"/>
  <c r="C65" i="11"/>
  <c r="C72" i="11" s="1"/>
  <c r="P246" i="8"/>
  <c r="S54" i="8" s="1"/>
  <c r="P204" i="8"/>
  <c r="Q54" i="8" s="1"/>
  <c r="P205" i="8"/>
  <c r="T54" i="8" s="1"/>
  <c r="P245" i="8"/>
  <c r="P243" i="8"/>
  <c r="J54" i="8" s="1"/>
  <c r="P244" i="8"/>
  <c r="M54" i="8" s="1"/>
  <c r="M55" i="8" s="1"/>
  <c r="F91" i="5"/>
  <c r="G91" i="5" s="1"/>
  <c r="H91" i="5" s="1"/>
  <c r="I91" i="5" s="1"/>
  <c r="J91" i="5" s="1"/>
  <c r="K91" i="5" s="1"/>
  <c r="L91" i="5" s="1"/>
  <c r="M91" i="5" s="1"/>
  <c r="N91" i="5" s="1"/>
  <c r="O91" i="5" s="1"/>
  <c r="P91" i="5" s="1"/>
  <c r="P234" i="8"/>
  <c r="S52" i="8" s="1"/>
  <c r="O268" i="8"/>
  <c r="Q52" i="8"/>
  <c r="G268" i="8"/>
  <c r="G267" i="8"/>
  <c r="G262" i="8"/>
  <c r="G263" i="8"/>
  <c r="K268" i="8"/>
  <c r="K267" i="8"/>
  <c r="F70" i="9"/>
  <c r="K262" i="8"/>
  <c r="K263" i="8"/>
  <c r="O262" i="8"/>
  <c r="O263" i="8"/>
  <c r="E66" i="11"/>
  <c r="D65" i="11"/>
  <c r="D72" i="11" s="1"/>
  <c r="R28" i="10"/>
  <c r="P28" i="10"/>
  <c r="N27" i="10"/>
  <c r="P27" i="10"/>
  <c r="R27" i="10"/>
  <c r="E12" i="10"/>
  <c r="T28" i="10"/>
  <c r="N28" i="10"/>
  <c r="D71" i="8"/>
  <c r="H71" i="8" s="1"/>
  <c r="Q27" i="7"/>
  <c r="Q25" i="7"/>
  <c r="C106" i="8"/>
  <c r="P22" i="9"/>
  <c r="D314" i="8"/>
  <c r="S58" i="5"/>
  <c r="G67" i="11"/>
  <c r="H97" i="8"/>
  <c r="D429" i="8"/>
  <c r="H429" i="8"/>
  <c r="L429" i="8"/>
  <c r="E429" i="8"/>
  <c r="I429" i="8"/>
  <c r="M429" i="8"/>
  <c r="G429" i="8"/>
  <c r="K429" i="8"/>
  <c r="O429" i="8"/>
  <c r="F429" i="8"/>
  <c r="J429" i="8"/>
  <c r="N429" i="8"/>
  <c r="C671" i="8"/>
  <c r="E553" i="8"/>
  <c r="I703" i="8"/>
  <c r="F685" i="8"/>
  <c r="J685" i="8"/>
  <c r="N685" i="8"/>
  <c r="G685" i="8"/>
  <c r="K685" i="8"/>
  <c r="O685" i="8"/>
  <c r="D685" i="8"/>
  <c r="H685" i="8"/>
  <c r="L685" i="8"/>
  <c r="E685" i="8"/>
  <c r="I685" i="8"/>
  <c r="M685" i="8"/>
  <c r="C678" i="8"/>
  <c r="E457" i="8"/>
  <c r="I457" i="8"/>
  <c r="M457" i="8"/>
  <c r="D457" i="8"/>
  <c r="J457" i="8"/>
  <c r="O457" i="8"/>
  <c r="F457" i="8"/>
  <c r="K457" i="8"/>
  <c r="G457" i="8"/>
  <c r="L457" i="8"/>
  <c r="H457" i="8"/>
  <c r="N457" i="8"/>
  <c r="C469" i="8"/>
  <c r="C431" i="8"/>
  <c r="F613" i="8"/>
  <c r="J613" i="8"/>
  <c r="N613" i="8"/>
  <c r="G613" i="8"/>
  <c r="K613" i="8"/>
  <c r="O613" i="8"/>
  <c r="D613" i="8"/>
  <c r="H613" i="8"/>
  <c r="L613" i="8"/>
  <c r="E613" i="8"/>
  <c r="I613" i="8"/>
  <c r="M613" i="8"/>
  <c r="C693" i="8"/>
  <c r="C147" i="8"/>
  <c r="Q141" i="10"/>
  <c r="I147" i="8" s="1"/>
  <c r="M99" i="8" s="1"/>
  <c r="O99" i="8" s="1"/>
  <c r="C112" i="8"/>
  <c r="H73" i="8"/>
  <c r="E488" i="8"/>
  <c r="I488" i="8"/>
  <c r="M488" i="8"/>
  <c r="G488" i="8"/>
  <c r="K488" i="8"/>
  <c r="O488" i="8"/>
  <c r="D488" i="8"/>
  <c r="H488" i="8"/>
  <c r="L488" i="8"/>
  <c r="J488" i="8"/>
  <c r="N488" i="8"/>
  <c r="F488" i="8"/>
  <c r="F495" i="8"/>
  <c r="J495" i="8"/>
  <c r="N495" i="8"/>
  <c r="D495" i="8"/>
  <c r="H495" i="8"/>
  <c r="L495" i="8"/>
  <c r="E495" i="8"/>
  <c r="I495" i="8"/>
  <c r="M495" i="8"/>
  <c r="K495" i="8"/>
  <c r="O495" i="8"/>
  <c r="G495" i="8"/>
  <c r="D416" i="8"/>
  <c r="H416" i="8"/>
  <c r="L416" i="8"/>
  <c r="E416" i="8"/>
  <c r="I416" i="8"/>
  <c r="M416" i="8"/>
  <c r="F416" i="8"/>
  <c r="J416" i="8"/>
  <c r="N416" i="8"/>
  <c r="G416" i="8"/>
  <c r="K416" i="8"/>
  <c r="O416" i="8"/>
  <c r="E535" i="8"/>
  <c r="I535" i="8"/>
  <c r="M535" i="8"/>
  <c r="F535" i="8"/>
  <c r="J535" i="8"/>
  <c r="N535" i="8"/>
  <c r="G535" i="8"/>
  <c r="K535" i="8"/>
  <c r="O535" i="8"/>
  <c r="D535" i="8"/>
  <c r="H535" i="8"/>
  <c r="L535" i="8"/>
  <c r="D541" i="8"/>
  <c r="H541" i="8"/>
  <c r="L541" i="8"/>
  <c r="E541" i="8"/>
  <c r="I541" i="8"/>
  <c r="M541" i="8"/>
  <c r="F541" i="8"/>
  <c r="J541" i="8"/>
  <c r="N541" i="8"/>
  <c r="G541" i="8"/>
  <c r="K541" i="8"/>
  <c r="O541" i="8"/>
  <c r="G645" i="8"/>
  <c r="K645" i="8"/>
  <c r="O645" i="8"/>
  <c r="H645" i="8"/>
  <c r="M645" i="8"/>
  <c r="D645" i="8"/>
  <c r="I645" i="8"/>
  <c r="N645" i="8"/>
  <c r="E645" i="8"/>
  <c r="J645" i="8"/>
  <c r="F645" i="8"/>
  <c r="L645" i="8"/>
  <c r="C414" i="8"/>
  <c r="D100" i="8"/>
  <c r="H95" i="8"/>
  <c r="C111" i="8"/>
  <c r="H75" i="8"/>
  <c r="C103" i="8"/>
  <c r="H61" i="8"/>
  <c r="E455" i="8"/>
  <c r="I455" i="8"/>
  <c r="M455" i="8"/>
  <c r="G455" i="8"/>
  <c r="L455" i="8"/>
  <c r="H455" i="8"/>
  <c r="N455" i="8"/>
  <c r="D455" i="8"/>
  <c r="J455" i="8"/>
  <c r="O455" i="8"/>
  <c r="F455" i="8"/>
  <c r="K455" i="8"/>
  <c r="C577" i="8"/>
  <c r="C596" i="8"/>
  <c r="H70" i="7"/>
  <c r="G753" i="8" s="1"/>
  <c r="D605" i="8"/>
  <c r="H605" i="8"/>
  <c r="L605" i="8"/>
  <c r="E605" i="8"/>
  <c r="I605" i="8"/>
  <c r="M605" i="8"/>
  <c r="F605" i="8"/>
  <c r="J605" i="8"/>
  <c r="N605" i="8"/>
  <c r="G605" i="8"/>
  <c r="K605" i="8"/>
  <c r="O605" i="8"/>
  <c r="C109" i="8"/>
  <c r="H67" i="8"/>
  <c r="C415" i="8"/>
  <c r="D427" i="8"/>
  <c r="H427" i="8"/>
  <c r="L427" i="8"/>
  <c r="E427" i="8"/>
  <c r="I427" i="8"/>
  <c r="M427" i="8"/>
  <c r="F427" i="8"/>
  <c r="J427" i="8"/>
  <c r="N427" i="8"/>
  <c r="G427" i="8"/>
  <c r="K427" i="8"/>
  <c r="O427" i="8"/>
  <c r="D539" i="8"/>
  <c r="H539" i="8"/>
  <c r="L539" i="8"/>
  <c r="E539" i="8"/>
  <c r="I539" i="8"/>
  <c r="M539" i="8"/>
  <c r="F539" i="8"/>
  <c r="J539" i="8"/>
  <c r="N539" i="8"/>
  <c r="G539" i="8"/>
  <c r="K539" i="8"/>
  <c r="O539" i="8"/>
  <c r="C107" i="8"/>
  <c r="H65" i="8"/>
  <c r="G420" i="8"/>
  <c r="K420" i="8"/>
  <c r="O420" i="8"/>
  <c r="D420" i="8"/>
  <c r="H420" i="8"/>
  <c r="L420" i="8"/>
  <c r="E420" i="8"/>
  <c r="I420" i="8"/>
  <c r="M420" i="8"/>
  <c r="F420" i="8"/>
  <c r="J420" i="8"/>
  <c r="N420" i="8"/>
  <c r="D538" i="8"/>
  <c r="H538" i="8"/>
  <c r="L538" i="8"/>
  <c r="E538" i="8"/>
  <c r="I538" i="8"/>
  <c r="M538" i="8"/>
  <c r="F538" i="8"/>
  <c r="J538" i="8"/>
  <c r="N538" i="8"/>
  <c r="G538" i="8"/>
  <c r="K538" i="8"/>
  <c r="O538" i="8"/>
  <c r="G565" i="8"/>
  <c r="K565" i="8"/>
  <c r="O565" i="8"/>
  <c r="D565" i="8"/>
  <c r="H565" i="8"/>
  <c r="L565" i="8"/>
  <c r="E565" i="8"/>
  <c r="I565" i="8"/>
  <c r="M565" i="8"/>
  <c r="F565" i="8"/>
  <c r="J565" i="8"/>
  <c r="N565" i="8"/>
  <c r="C432" i="8"/>
  <c r="D463" i="8"/>
  <c r="H463" i="8"/>
  <c r="F463" i="8"/>
  <c r="J463" i="8"/>
  <c r="N463" i="8"/>
  <c r="G463" i="8"/>
  <c r="K463" i="8"/>
  <c r="O463" i="8"/>
  <c r="I463" i="8"/>
  <c r="L463" i="8"/>
  <c r="M463" i="8"/>
  <c r="E463" i="8"/>
  <c r="C445" i="8"/>
  <c r="G682" i="8"/>
  <c r="K682" i="8"/>
  <c r="O682" i="8"/>
  <c r="D682" i="8"/>
  <c r="H682" i="8"/>
  <c r="L682" i="8"/>
  <c r="E682" i="8"/>
  <c r="I682" i="8"/>
  <c r="M682" i="8"/>
  <c r="F682" i="8"/>
  <c r="J682" i="8"/>
  <c r="N682" i="8"/>
  <c r="C453" i="8"/>
  <c r="C530" i="8"/>
  <c r="F46" i="11"/>
  <c r="F532" i="8"/>
  <c r="J532" i="8"/>
  <c r="N532" i="8"/>
  <c r="G532" i="8"/>
  <c r="K532" i="8"/>
  <c r="O532" i="8"/>
  <c r="D532" i="8"/>
  <c r="H532" i="8"/>
  <c r="L532" i="8"/>
  <c r="E532" i="8"/>
  <c r="I532" i="8"/>
  <c r="M532" i="8"/>
  <c r="C108" i="8"/>
  <c r="H66" i="8"/>
  <c r="C447" i="8"/>
  <c r="H70" i="9"/>
  <c r="E616" i="8"/>
  <c r="I616" i="8"/>
  <c r="M616" i="8"/>
  <c r="F616" i="8"/>
  <c r="J616" i="8"/>
  <c r="N616" i="8"/>
  <c r="G616" i="8"/>
  <c r="K616" i="8"/>
  <c r="O616" i="8"/>
  <c r="D616" i="8"/>
  <c r="H616" i="8"/>
  <c r="L616" i="8"/>
  <c r="C102" i="8"/>
  <c r="H60" i="8"/>
  <c r="E499" i="8"/>
  <c r="I499" i="8"/>
  <c r="M499" i="8"/>
  <c r="G499" i="8"/>
  <c r="K499" i="8"/>
  <c r="O499" i="8"/>
  <c r="D499" i="8"/>
  <c r="H499" i="8"/>
  <c r="L499" i="8"/>
  <c r="J499" i="8"/>
  <c r="N499" i="8"/>
  <c r="F499" i="8"/>
  <c r="F424" i="8"/>
  <c r="J424" i="8"/>
  <c r="N424" i="8"/>
  <c r="G424" i="8"/>
  <c r="K424" i="8"/>
  <c r="O424" i="8"/>
  <c r="D424" i="8"/>
  <c r="H424" i="8"/>
  <c r="L424" i="8"/>
  <c r="E424" i="8"/>
  <c r="I424" i="8"/>
  <c r="M424" i="8"/>
  <c r="E575" i="8"/>
  <c r="I575" i="8"/>
  <c r="M575" i="8"/>
  <c r="F575" i="8"/>
  <c r="J575" i="8"/>
  <c r="N575" i="8"/>
  <c r="K575" i="8"/>
  <c r="D575" i="8"/>
  <c r="L575" i="8"/>
  <c r="G575" i="8"/>
  <c r="O575" i="8"/>
  <c r="H575" i="8"/>
  <c r="E576" i="8"/>
  <c r="I576" i="8"/>
  <c r="M576" i="8"/>
  <c r="F576" i="8"/>
  <c r="J576" i="8"/>
  <c r="N576" i="8"/>
  <c r="G576" i="8"/>
  <c r="O576" i="8"/>
  <c r="H576" i="8"/>
  <c r="K576" i="8"/>
  <c r="D576" i="8"/>
  <c r="L576" i="8"/>
  <c r="C533" i="8"/>
  <c r="G607" i="8"/>
  <c r="K607" i="8"/>
  <c r="O607" i="8"/>
  <c r="D607" i="8"/>
  <c r="H607" i="8"/>
  <c r="L607" i="8"/>
  <c r="E607" i="8"/>
  <c r="I607" i="8"/>
  <c r="M607" i="8"/>
  <c r="F607" i="8"/>
  <c r="J607" i="8"/>
  <c r="N607" i="8"/>
  <c r="C687" i="8"/>
  <c r="E497" i="8"/>
  <c r="I497" i="8"/>
  <c r="M497" i="8"/>
  <c r="G497" i="8"/>
  <c r="K497" i="8"/>
  <c r="O497" i="8"/>
  <c r="D497" i="8"/>
  <c r="H497" i="8"/>
  <c r="L497" i="8"/>
  <c r="F497" i="8"/>
  <c r="J497" i="8"/>
  <c r="N497" i="8"/>
  <c r="E574" i="8"/>
  <c r="I574" i="8"/>
  <c r="M574" i="8"/>
  <c r="F574" i="8"/>
  <c r="J574" i="8"/>
  <c r="N574" i="8"/>
  <c r="G574" i="8"/>
  <c r="O574" i="8"/>
  <c r="H574" i="8"/>
  <c r="K574" i="8"/>
  <c r="D574" i="8"/>
  <c r="L574" i="8"/>
  <c r="C512" i="8"/>
  <c r="C487" i="8"/>
  <c r="C104" i="8"/>
  <c r="H62" i="8"/>
  <c r="C579" i="8"/>
  <c r="C680" i="8"/>
  <c r="C598" i="8"/>
  <c r="G503" i="8"/>
  <c r="K503" i="8"/>
  <c r="O503" i="8"/>
  <c r="E503" i="8"/>
  <c r="I503" i="8"/>
  <c r="M503" i="8"/>
  <c r="F503" i="8"/>
  <c r="J503" i="8"/>
  <c r="N503" i="8"/>
  <c r="D503" i="8"/>
  <c r="H503" i="8"/>
  <c r="L503" i="8"/>
  <c r="E599" i="8"/>
  <c r="I599" i="8"/>
  <c r="M599" i="8"/>
  <c r="F599" i="8"/>
  <c r="J599" i="8"/>
  <c r="N599" i="8"/>
  <c r="G599" i="8"/>
  <c r="K599" i="8"/>
  <c r="O599" i="8"/>
  <c r="D599" i="8"/>
  <c r="H599" i="8"/>
  <c r="L599" i="8"/>
  <c r="D578" i="8"/>
  <c r="H578" i="8"/>
  <c r="L578" i="8"/>
  <c r="E578" i="8"/>
  <c r="I578" i="8"/>
  <c r="M578" i="8"/>
  <c r="F578" i="8"/>
  <c r="N578" i="8"/>
  <c r="G578" i="8"/>
  <c r="O578" i="8"/>
  <c r="J578" i="8"/>
  <c r="K578" i="8"/>
  <c r="C673" i="8"/>
  <c r="E89" i="11"/>
  <c r="G543" i="8"/>
  <c r="K543" i="8"/>
  <c r="O543" i="8"/>
  <c r="D543" i="8"/>
  <c r="H543" i="8"/>
  <c r="L543" i="8"/>
  <c r="E543" i="8"/>
  <c r="I543" i="8"/>
  <c r="M543" i="8"/>
  <c r="F543" i="8"/>
  <c r="J543" i="8"/>
  <c r="N543" i="8"/>
  <c r="D643" i="8"/>
  <c r="H643" i="8"/>
  <c r="L643" i="8"/>
  <c r="F643" i="8"/>
  <c r="K643" i="8"/>
  <c r="G643" i="8"/>
  <c r="M643" i="8"/>
  <c r="I643" i="8"/>
  <c r="N643" i="8"/>
  <c r="E643" i="8"/>
  <c r="J643" i="8"/>
  <c r="O643" i="8"/>
  <c r="C105" i="8"/>
  <c r="H63" i="8"/>
  <c r="E466" i="8"/>
  <c r="I466" i="8"/>
  <c r="F466" i="8"/>
  <c r="J466" i="8"/>
  <c r="N466" i="8"/>
  <c r="D466" i="8"/>
  <c r="L466" i="8"/>
  <c r="G466" i="8"/>
  <c r="M466" i="8"/>
  <c r="H466" i="8"/>
  <c r="O466" i="8"/>
  <c r="K466" i="8"/>
  <c r="C440" i="8"/>
  <c r="F688" i="8"/>
  <c r="J688" i="8"/>
  <c r="N688" i="8"/>
  <c r="G688" i="8"/>
  <c r="K688" i="8"/>
  <c r="O688" i="8"/>
  <c r="D688" i="8"/>
  <c r="H688" i="8"/>
  <c r="L688" i="8"/>
  <c r="E688" i="8"/>
  <c r="I688" i="8"/>
  <c r="M688" i="8"/>
  <c r="F689" i="8"/>
  <c r="J689" i="8"/>
  <c r="N689" i="8"/>
  <c r="G689" i="8"/>
  <c r="K689" i="8"/>
  <c r="O689" i="8"/>
  <c r="D689" i="8"/>
  <c r="H689" i="8"/>
  <c r="L689" i="8"/>
  <c r="E689" i="8"/>
  <c r="I689" i="8"/>
  <c r="M689" i="8"/>
  <c r="C652" i="8"/>
  <c r="D628" i="8"/>
  <c r="H628" i="8"/>
  <c r="L628" i="8"/>
  <c r="D478" i="8"/>
  <c r="D357" i="8" s="1"/>
  <c r="H478" i="8"/>
  <c r="H357" i="8" s="1"/>
  <c r="J478" i="8"/>
  <c r="J357" i="8" s="1"/>
  <c r="N478" i="8"/>
  <c r="N357" i="8" s="1"/>
  <c r="F628" i="8"/>
  <c r="J628" i="8"/>
  <c r="N628" i="8"/>
  <c r="F478" i="8"/>
  <c r="F357" i="8" s="1"/>
  <c r="L478" i="8"/>
  <c r="L357" i="8" s="1"/>
  <c r="K52" i="8"/>
  <c r="E628" i="8"/>
  <c r="G628" i="8"/>
  <c r="I628" i="8"/>
  <c r="K628" i="8"/>
  <c r="M628" i="8"/>
  <c r="O628" i="8"/>
  <c r="E478" i="8"/>
  <c r="E357" i="8" s="1"/>
  <c r="G478" i="8"/>
  <c r="G357" i="8" s="1"/>
  <c r="I478" i="8"/>
  <c r="I357" i="8" s="1"/>
  <c r="K478" i="8"/>
  <c r="K357" i="8" s="1"/>
  <c r="M478" i="8"/>
  <c r="M357" i="8" s="1"/>
  <c r="O478" i="8"/>
  <c r="O357" i="8" s="1"/>
  <c r="T52" i="8"/>
  <c r="C52" i="8"/>
  <c r="C53" i="8"/>
  <c r="T53" i="8"/>
  <c r="C465" i="8" l="1"/>
  <c r="C690" i="8"/>
  <c r="C537" i="8"/>
  <c r="C462" i="8"/>
  <c r="M141" i="10"/>
  <c r="E147" i="8" s="1"/>
  <c r="S99" i="8" s="1"/>
  <c r="U99" i="8" s="1"/>
  <c r="J298" i="8"/>
  <c r="C612" i="8"/>
  <c r="C661" i="8"/>
  <c r="C615" i="8"/>
  <c r="O141" i="10"/>
  <c r="G147" i="8" s="1"/>
  <c r="J99" i="8" s="1"/>
  <c r="L99" i="8" s="1"/>
  <c r="S141" i="10"/>
  <c r="K147" i="8" s="1"/>
  <c r="P99" i="8" s="1"/>
  <c r="R99" i="8" s="1"/>
  <c r="P353" i="8"/>
  <c r="P351" i="8"/>
  <c r="K298" i="8"/>
  <c r="O40" i="8"/>
  <c r="C491" i="8"/>
  <c r="C641" i="8"/>
  <c r="C428" i="8"/>
  <c r="C569" i="8"/>
  <c r="C566" i="8"/>
  <c r="C573" i="8"/>
  <c r="C683" i="8"/>
  <c r="C694" i="8"/>
  <c r="D622" i="8"/>
  <c r="C494" i="8"/>
  <c r="C189" i="8"/>
  <c r="C468" i="8"/>
  <c r="C467" i="8"/>
  <c r="E272" i="8"/>
  <c r="C691" i="8"/>
  <c r="J55" i="8"/>
  <c r="E293" i="8"/>
  <c r="R54" i="8"/>
  <c r="R55" i="8" s="1"/>
  <c r="U54" i="8"/>
  <c r="U55" i="8" s="1"/>
  <c r="G298" i="8"/>
  <c r="D272" i="8"/>
  <c r="C564" i="8"/>
  <c r="D297" i="8"/>
  <c r="D298" i="8" s="1"/>
  <c r="F298" i="8"/>
  <c r="L298" i="8"/>
  <c r="N55" i="8"/>
  <c r="F272" i="8"/>
  <c r="G272" i="8"/>
  <c r="K272" i="8"/>
  <c r="O272" i="8"/>
  <c r="D293" i="8"/>
  <c r="J272" i="8"/>
  <c r="D273" i="8"/>
  <c r="C104" i="11"/>
  <c r="C110" i="11" s="1"/>
  <c r="C119" i="11" s="1"/>
  <c r="C120" i="11" s="1"/>
  <c r="C94" i="11"/>
  <c r="C95" i="11" s="1"/>
  <c r="C96" i="11" s="1"/>
  <c r="C97" i="11" s="1"/>
  <c r="H52" i="8"/>
  <c r="C563" i="8"/>
  <c r="C534" i="8"/>
  <c r="C509" i="8"/>
  <c r="C520" i="8"/>
  <c r="C502" i="8"/>
  <c r="C519" i="8"/>
  <c r="C508" i="8"/>
  <c r="R69" i="7"/>
  <c r="W69" i="7" s="1"/>
  <c r="C190" i="8"/>
  <c r="E704" i="8"/>
  <c r="G554" i="8"/>
  <c r="G331" i="8"/>
  <c r="M314" i="8"/>
  <c r="I273" i="8"/>
  <c r="K331" i="8"/>
  <c r="E314" i="8"/>
  <c r="C493" i="8"/>
  <c r="C562" i="8"/>
  <c r="C618" i="8"/>
  <c r="C657" i="8"/>
  <c r="C511" i="8"/>
  <c r="L554" i="8"/>
  <c r="G704" i="8"/>
  <c r="C642" i="8"/>
  <c r="C433" i="8"/>
  <c r="C568" i="8"/>
  <c r="C426" i="8"/>
  <c r="C435" i="8"/>
  <c r="C606" i="8"/>
  <c r="C707" i="8"/>
  <c r="H273" i="8"/>
  <c r="C649" i="8"/>
  <c r="C646" i="8"/>
  <c r="C421" i="8"/>
  <c r="C587" i="8"/>
  <c r="C417" i="8"/>
  <c r="E554" i="8"/>
  <c r="H704" i="8"/>
  <c r="C456" i="8"/>
  <c r="C589" i="8"/>
  <c r="C595" i="8"/>
  <c r="C659" i="8"/>
  <c r="E15" i="10"/>
  <c r="E14" i="10"/>
  <c r="L704" i="8"/>
  <c r="E86" i="11"/>
  <c r="K704" i="8"/>
  <c r="K705" i="8" s="1"/>
  <c r="M554" i="8"/>
  <c r="E331" i="8"/>
  <c r="H554" i="8"/>
  <c r="K554" i="8"/>
  <c r="M331" i="8"/>
  <c r="O314" i="8"/>
  <c r="S112" i="10"/>
  <c r="K146" i="8" s="1"/>
  <c r="P98" i="8" s="1"/>
  <c r="E16" i="10"/>
  <c r="K314" i="8"/>
  <c r="D86" i="11"/>
  <c r="D87" i="11" s="1"/>
  <c r="R112" i="10"/>
  <c r="N83" i="10"/>
  <c r="C422" i="8"/>
  <c r="P112" i="10"/>
  <c r="R83" i="10"/>
  <c r="P83" i="10"/>
  <c r="C619" i="8"/>
  <c r="N112" i="10"/>
  <c r="C514" i="8"/>
  <c r="C572" i="8"/>
  <c r="C516" i="8"/>
  <c r="C608" i="8"/>
  <c r="C638" i="8"/>
  <c r="C567" i="8"/>
  <c r="C505" i="8"/>
  <c r="C692" i="8"/>
  <c r="S83" i="10"/>
  <c r="K145" i="8" s="1"/>
  <c r="P97" i="8" s="1"/>
  <c r="C492" i="8"/>
  <c r="C653" i="8"/>
  <c r="C571" i="8"/>
  <c r="C498" i="8"/>
  <c r="C506" i="8"/>
  <c r="C501" i="8"/>
  <c r="C464" i="8"/>
  <c r="H472" i="8"/>
  <c r="C583" i="8"/>
  <c r="C614" i="8"/>
  <c r="C684" i="8"/>
  <c r="F554" i="8"/>
  <c r="C500" i="8"/>
  <c r="C425" i="8"/>
  <c r="N52" i="10"/>
  <c r="M273" i="8"/>
  <c r="C413" i="8"/>
  <c r="C544" i="8"/>
  <c r="C681" i="8"/>
  <c r="C644" i="8"/>
  <c r="O622" i="8"/>
  <c r="F472" i="8"/>
  <c r="M472" i="8"/>
  <c r="C419" i="8"/>
  <c r="C591" i="8"/>
  <c r="C507" i="8"/>
  <c r="C582" i="8"/>
  <c r="C434" i="8"/>
  <c r="C423" i="8"/>
  <c r="C418" i="8"/>
  <c r="C664" i="8"/>
  <c r="C438" i="8"/>
  <c r="C496" i="8"/>
  <c r="C459" i="8"/>
  <c r="C603" i="8"/>
  <c r="C542" i="8"/>
  <c r="C531" i="8"/>
  <c r="J697" i="8"/>
  <c r="C458" i="8"/>
  <c r="C528" i="8"/>
  <c r="O331" i="8"/>
  <c r="I314" i="8"/>
  <c r="O704" i="8"/>
  <c r="O705" i="8" s="1"/>
  <c r="C674" i="8"/>
  <c r="C540" i="8"/>
  <c r="C460" i="8"/>
  <c r="K74" i="8" s="1"/>
  <c r="L697" i="8"/>
  <c r="I622" i="8"/>
  <c r="K472" i="8"/>
  <c r="G472" i="8"/>
  <c r="L472" i="8"/>
  <c r="E697" i="8"/>
  <c r="M622" i="8"/>
  <c r="O472" i="8"/>
  <c r="I472" i="8"/>
  <c r="M697" i="8"/>
  <c r="E622" i="8"/>
  <c r="D472" i="8"/>
  <c r="F622" i="8"/>
  <c r="N472" i="8"/>
  <c r="F697" i="8"/>
  <c r="N622" i="8"/>
  <c r="D547" i="8"/>
  <c r="G547" i="8"/>
  <c r="H697" i="8"/>
  <c r="I547" i="8"/>
  <c r="N547" i="8"/>
  <c r="K697" i="8"/>
  <c r="G622" i="8"/>
  <c r="H622" i="8"/>
  <c r="J472" i="8"/>
  <c r="E472" i="8"/>
  <c r="D697" i="8"/>
  <c r="I697" i="8"/>
  <c r="G697" i="8"/>
  <c r="J622" i="8"/>
  <c r="N697" i="8"/>
  <c r="K622" i="8"/>
  <c r="L622" i="8"/>
  <c r="O697" i="8"/>
  <c r="C662" i="8"/>
  <c r="C648" i="8"/>
  <c r="C656" i="8"/>
  <c r="C654" i="8"/>
  <c r="C666" i="8"/>
  <c r="C660" i="8"/>
  <c r="I70" i="7"/>
  <c r="H753" i="8" s="1"/>
  <c r="H752" i="8"/>
  <c r="C752" i="8" s="1"/>
  <c r="P52" i="10"/>
  <c r="R52" i="10"/>
  <c r="T52" i="10"/>
  <c r="C90" i="11"/>
  <c r="F704" i="8"/>
  <c r="O554" i="8"/>
  <c r="G314" i="8"/>
  <c r="I554" i="8"/>
  <c r="I555" i="8" s="1"/>
  <c r="C557" i="8"/>
  <c r="N554" i="8"/>
  <c r="J554" i="8"/>
  <c r="J555" i="8" s="1"/>
  <c r="N314" i="8"/>
  <c r="K547" i="8"/>
  <c r="E547" i="8"/>
  <c r="L547" i="8"/>
  <c r="J547" i="8"/>
  <c r="H547" i="8"/>
  <c r="F547" i="8"/>
  <c r="M547" i="8"/>
  <c r="O547" i="8"/>
  <c r="Q74" i="8"/>
  <c r="Q99" i="8"/>
  <c r="K99" i="8"/>
  <c r="N99" i="8"/>
  <c r="P553" i="8"/>
  <c r="K273" i="8"/>
  <c r="D354" i="8"/>
  <c r="M354" i="8"/>
  <c r="F354" i="8"/>
  <c r="H354" i="8"/>
  <c r="J354" i="8"/>
  <c r="O322" i="8"/>
  <c r="J314" i="8"/>
  <c r="N331" i="8"/>
  <c r="F314" i="8"/>
  <c r="L331" i="8"/>
  <c r="L314" i="8"/>
  <c r="H314" i="8"/>
  <c r="D322" i="8"/>
  <c r="H331" i="8"/>
  <c r="D331" i="8"/>
  <c r="I331" i="8"/>
  <c r="J331" i="8"/>
  <c r="F331" i="8"/>
  <c r="F273" i="8"/>
  <c r="J273" i="8"/>
  <c r="L273" i="8"/>
  <c r="G273" i="8"/>
  <c r="N273" i="8"/>
  <c r="O273" i="8"/>
  <c r="O306" i="8"/>
  <c r="O780" i="8"/>
  <c r="O340" i="8" s="1"/>
  <c r="I780" i="8"/>
  <c r="L780" i="8"/>
  <c r="N780" i="8"/>
  <c r="H780" i="8"/>
  <c r="D780" i="8"/>
  <c r="G780" i="8"/>
  <c r="E780" i="8"/>
  <c r="J780" i="8"/>
  <c r="M780" i="8"/>
  <c r="F780" i="8"/>
  <c r="K780" i="8"/>
  <c r="C679" i="8"/>
  <c r="C454" i="8"/>
  <c r="C412" i="8"/>
  <c r="C489" i="8"/>
  <c r="C411" i="8"/>
  <c r="C640" i="8"/>
  <c r="C637" i="8"/>
  <c r="E45" i="11"/>
  <c r="C52" i="11"/>
  <c r="C53" i="11" s="1"/>
  <c r="C54" i="11" s="1"/>
  <c r="M704" i="8"/>
  <c r="O139" i="8"/>
  <c r="D44" i="11"/>
  <c r="C76" i="11"/>
  <c r="C77" i="11" s="1"/>
  <c r="C78" i="11" s="1"/>
  <c r="J704" i="8"/>
  <c r="P703" i="8"/>
  <c r="N704" i="8"/>
  <c r="I704" i="8"/>
  <c r="S55" i="8"/>
  <c r="E17" i="10"/>
  <c r="M148" i="8"/>
  <c r="C55" i="11"/>
  <c r="C56" i="11" s="1"/>
  <c r="C57" i="11" s="1"/>
  <c r="C599" i="8"/>
  <c r="C524" i="8"/>
  <c r="C73" i="11"/>
  <c r="C74" i="11" s="1"/>
  <c r="C75" i="11" s="1"/>
  <c r="C576" i="8"/>
  <c r="C672" i="8"/>
  <c r="C647" i="8"/>
  <c r="C529" i="8"/>
  <c r="C443" i="8"/>
  <c r="C570" i="8"/>
  <c r="C490" i="8"/>
  <c r="C504" i="8"/>
  <c r="C584" i="8"/>
  <c r="C191" i="8"/>
  <c r="C234" i="8"/>
  <c r="D76" i="11"/>
  <c r="Q55" i="8"/>
  <c r="C231" i="8"/>
  <c r="C193" i="8"/>
  <c r="H88" i="11"/>
  <c r="I88" i="11" s="1"/>
  <c r="C54" i="8"/>
  <c r="C55" i="8" s="1"/>
  <c r="D73" i="11"/>
  <c r="P54" i="8"/>
  <c r="F86" i="11"/>
  <c r="C230" i="8"/>
  <c r="E65" i="11"/>
  <c r="E72" i="11" s="1"/>
  <c r="F66" i="11"/>
  <c r="E18" i="10"/>
  <c r="C669" i="8"/>
  <c r="C580" i="8"/>
  <c r="C650" i="8"/>
  <c r="C466" i="8"/>
  <c r="C643" i="8"/>
  <c r="C607" i="8"/>
  <c r="C439" i="8"/>
  <c r="C682" i="8"/>
  <c r="C513" i="8"/>
  <c r="C538" i="8"/>
  <c r="C541" i="8"/>
  <c r="C444" i="8"/>
  <c r="C416" i="8"/>
  <c r="C113" i="8"/>
  <c r="H77" i="8"/>
  <c r="T99" i="8"/>
  <c r="C457" i="8"/>
  <c r="C437" i="8"/>
  <c r="C689" i="8"/>
  <c r="C688" i="8"/>
  <c r="C651" i="8"/>
  <c r="C497" i="8"/>
  <c r="G46" i="11"/>
  <c r="C565" i="8"/>
  <c r="C420" i="8"/>
  <c r="C588" i="8"/>
  <c r="C441" i="8"/>
  <c r="C685" i="8"/>
  <c r="H67" i="11"/>
  <c r="C543" i="8"/>
  <c r="F89" i="11"/>
  <c r="C578" i="8"/>
  <c r="C510" i="8"/>
  <c r="C667" i="8"/>
  <c r="C424" i="8"/>
  <c r="C499" i="8"/>
  <c r="C616" i="8"/>
  <c r="C522" i="8"/>
  <c r="C532" i="8"/>
  <c r="C515" i="8"/>
  <c r="E96" i="8"/>
  <c r="E97" i="8"/>
  <c r="E99" i="8"/>
  <c r="H100" i="8"/>
  <c r="E95" i="8"/>
  <c r="E98" i="8"/>
  <c r="C495" i="8"/>
  <c r="C613" i="8"/>
  <c r="C663" i="8"/>
  <c r="C517" i="8"/>
  <c r="C429" i="8"/>
  <c r="C436" i="8"/>
  <c r="C503" i="8"/>
  <c r="C574" i="8"/>
  <c r="C575" i="8"/>
  <c r="C665" i="8"/>
  <c r="C463" i="8"/>
  <c r="C590" i="8"/>
  <c r="C670" i="8"/>
  <c r="C448" i="8"/>
  <c r="C539" i="8"/>
  <c r="C427" i="8"/>
  <c r="C605" i="8"/>
  <c r="C455" i="8"/>
  <c r="C597" i="8"/>
  <c r="C645" i="8"/>
  <c r="C535" i="8"/>
  <c r="C658" i="8"/>
  <c r="C488" i="8"/>
  <c r="C585" i="8"/>
  <c r="C655" i="8"/>
  <c r="T91" i="8"/>
  <c r="K306" i="8"/>
  <c r="L479" i="8"/>
  <c r="G306" i="8"/>
  <c r="H479" i="8"/>
  <c r="M322" i="8"/>
  <c r="N629" i="8"/>
  <c r="J629" i="8"/>
  <c r="I322" i="8"/>
  <c r="F629" i="8"/>
  <c r="E322" i="8"/>
  <c r="L306" i="8"/>
  <c r="M479" i="8"/>
  <c r="G479" i="8"/>
  <c r="F306" i="8"/>
  <c r="J322" i="8"/>
  <c r="K629" i="8"/>
  <c r="J306" i="8"/>
  <c r="K479" i="8"/>
  <c r="H306" i="8"/>
  <c r="I479" i="8"/>
  <c r="D306" i="8"/>
  <c r="E479" i="8"/>
  <c r="P478" i="8"/>
  <c r="C482" i="8"/>
  <c r="H322" i="8"/>
  <c r="I629" i="8"/>
  <c r="P628" i="8"/>
  <c r="C632" i="8"/>
  <c r="E629" i="8"/>
  <c r="M306" i="8"/>
  <c r="N479" i="8"/>
  <c r="I306" i="8"/>
  <c r="J479" i="8"/>
  <c r="E306" i="8"/>
  <c r="F479" i="8"/>
  <c r="K322" i="8"/>
  <c r="L629" i="8"/>
  <c r="G322" i="8"/>
  <c r="H629" i="8"/>
  <c r="N322" i="8"/>
  <c r="O629" i="8"/>
  <c r="G629" i="8"/>
  <c r="F322" i="8"/>
  <c r="O479" i="8"/>
  <c r="N306" i="8"/>
  <c r="M629" i="8"/>
  <c r="L322" i="8"/>
  <c r="K55" i="8"/>
  <c r="T55" i="8"/>
  <c r="S69" i="7" l="1"/>
  <c r="G675" i="8" s="1"/>
  <c r="M147" i="8"/>
  <c r="C56" i="8"/>
  <c r="C108" i="11"/>
  <c r="C109" i="11" s="1"/>
  <c r="C125" i="11" s="1"/>
  <c r="C132" i="11" s="1"/>
  <c r="C130" i="11" s="1"/>
  <c r="F87" i="11"/>
  <c r="F94" i="11" s="1"/>
  <c r="D51" i="11"/>
  <c r="D52" i="11" s="1"/>
  <c r="D53" i="11" s="1"/>
  <c r="D54" i="11" s="1"/>
  <c r="D104" i="11"/>
  <c r="D110" i="11" s="1"/>
  <c r="D108" i="11" s="1"/>
  <c r="D115" i="11" s="1"/>
  <c r="D94" i="11"/>
  <c r="D95" i="11" s="1"/>
  <c r="D96" i="11" s="1"/>
  <c r="D97" i="11" s="1"/>
  <c r="Q97" i="8"/>
  <c r="R97" i="8"/>
  <c r="Q98" i="8"/>
  <c r="R98" i="8"/>
  <c r="K525" i="8"/>
  <c r="O525" i="8"/>
  <c r="G525" i="8"/>
  <c r="I525" i="8"/>
  <c r="E525" i="8"/>
  <c r="L525" i="8"/>
  <c r="F525" i="8"/>
  <c r="M525" i="8"/>
  <c r="N525" i="8"/>
  <c r="J525" i="8"/>
  <c r="U69" i="7"/>
  <c r="D525" i="8"/>
  <c r="H525" i="8"/>
  <c r="L705" i="8"/>
  <c r="M555" i="8"/>
  <c r="L555" i="8"/>
  <c r="H705" i="8"/>
  <c r="F144" i="8"/>
  <c r="T90" i="7"/>
  <c r="S52" i="10"/>
  <c r="K144" i="8" s="1"/>
  <c r="P96" i="8" s="1"/>
  <c r="Z90" i="7"/>
  <c r="E87" i="11"/>
  <c r="V90" i="7"/>
  <c r="J144" i="8"/>
  <c r="X90" i="7"/>
  <c r="D98" i="11"/>
  <c r="D99" i="11" s="1"/>
  <c r="D100" i="11" s="1"/>
  <c r="J146" i="8"/>
  <c r="Q112" i="10"/>
  <c r="I146" i="8" s="1"/>
  <c r="M98" i="8" s="1"/>
  <c r="F145" i="8"/>
  <c r="M83" i="10"/>
  <c r="E145" i="8" s="1"/>
  <c r="S97" i="8" s="1"/>
  <c r="F146" i="8"/>
  <c r="M112" i="10"/>
  <c r="E146" i="8" s="1"/>
  <c r="H145" i="8"/>
  <c r="O83" i="10"/>
  <c r="G145" i="8" s="1"/>
  <c r="H146" i="8"/>
  <c r="O112" i="10"/>
  <c r="G146" i="8" s="1"/>
  <c r="J98" i="8" s="1"/>
  <c r="J145" i="8"/>
  <c r="Q83" i="10"/>
  <c r="I145" i="8" s="1"/>
  <c r="M97" i="8" s="1"/>
  <c r="K75" i="8"/>
  <c r="Q52" i="10"/>
  <c r="I144" i="8" s="1"/>
  <c r="M96" i="8" s="1"/>
  <c r="O96" i="8" s="1"/>
  <c r="D55" i="11"/>
  <c r="D56" i="11" s="1"/>
  <c r="D57" i="11" s="1"/>
  <c r="D90" i="11"/>
  <c r="L144" i="8"/>
  <c r="L149" i="8" s="1"/>
  <c r="E54" i="8"/>
  <c r="O555" i="8"/>
  <c r="T75" i="8"/>
  <c r="N75" i="8"/>
  <c r="N74" i="8"/>
  <c r="Q75" i="8"/>
  <c r="T74" i="8"/>
  <c r="P354" i="8"/>
  <c r="L630" i="8"/>
  <c r="K630" i="8"/>
  <c r="M630" i="8"/>
  <c r="O630" i="8"/>
  <c r="J630" i="8"/>
  <c r="M340" i="8"/>
  <c r="N781" i="8"/>
  <c r="N782" i="8" s="1"/>
  <c r="E781" i="8"/>
  <c r="E782" i="8" s="1"/>
  <c r="L340" i="8"/>
  <c r="M781" i="8"/>
  <c r="M782" i="8" s="1"/>
  <c r="H630" i="8"/>
  <c r="I630" i="8"/>
  <c r="M705" i="8"/>
  <c r="J340" i="8"/>
  <c r="K781" i="8"/>
  <c r="K782" i="8" s="1"/>
  <c r="I340" i="8"/>
  <c r="J781" i="8"/>
  <c r="J782" i="8" s="1"/>
  <c r="F630" i="8"/>
  <c r="K340" i="8"/>
  <c r="L781" i="8"/>
  <c r="L782" i="8" s="1"/>
  <c r="E340" i="8"/>
  <c r="F781" i="8"/>
  <c r="F782" i="8" s="1"/>
  <c r="H340" i="8"/>
  <c r="I781" i="8"/>
  <c r="I782" i="8" s="1"/>
  <c r="J705" i="8"/>
  <c r="F340" i="8"/>
  <c r="G781" i="8"/>
  <c r="G782" i="8" s="1"/>
  <c r="G340" i="8"/>
  <c r="H781" i="8"/>
  <c r="H782" i="8" s="1"/>
  <c r="N340" i="8"/>
  <c r="O781" i="8"/>
  <c r="O782" i="8" s="1"/>
  <c r="E76" i="11"/>
  <c r="J480" i="8"/>
  <c r="E480" i="8"/>
  <c r="G480" i="8"/>
  <c r="I480" i="8"/>
  <c r="F480" i="8"/>
  <c r="K480" i="8"/>
  <c r="L480" i="8"/>
  <c r="D340" i="8"/>
  <c r="C784" i="8"/>
  <c r="P780" i="8"/>
  <c r="E675" i="8"/>
  <c r="N675" i="8"/>
  <c r="M675" i="8"/>
  <c r="K675" i="8"/>
  <c r="F675" i="8"/>
  <c r="I675" i="8"/>
  <c r="H675" i="8"/>
  <c r="L675" i="8"/>
  <c r="D675" i="8"/>
  <c r="E44" i="11"/>
  <c r="E51" i="11" s="1"/>
  <c r="F45" i="11"/>
  <c r="M52" i="10"/>
  <c r="E144" i="8" s="1"/>
  <c r="S96" i="8" s="1"/>
  <c r="U96" i="8" s="1"/>
  <c r="Y69" i="7"/>
  <c r="K600" i="8" s="1"/>
  <c r="D77" i="11"/>
  <c r="D78" i="11" s="1"/>
  <c r="C194" i="8"/>
  <c r="D74" i="11"/>
  <c r="D75" i="11" s="1"/>
  <c r="H86" i="11"/>
  <c r="H87" i="11" s="1"/>
  <c r="E73" i="11"/>
  <c r="G87" i="11"/>
  <c r="G66" i="11"/>
  <c r="F65" i="11"/>
  <c r="F72" i="11" s="1"/>
  <c r="H144" i="8"/>
  <c r="O52" i="10"/>
  <c r="G144" i="8" s="1"/>
  <c r="J96" i="8" s="1"/>
  <c r="E19" i="10"/>
  <c r="E98" i="11"/>
  <c r="I67" i="11"/>
  <c r="C121" i="11"/>
  <c r="G89" i="11"/>
  <c r="J88" i="11"/>
  <c r="I86" i="11"/>
  <c r="H46" i="11"/>
  <c r="O675" i="8" l="1"/>
  <c r="J675" i="8"/>
  <c r="F90" i="11"/>
  <c r="C115" i="11"/>
  <c r="C116" i="11" s="1"/>
  <c r="C117" i="11" s="1"/>
  <c r="C118" i="11" s="1"/>
  <c r="F104" i="11"/>
  <c r="G104" i="11"/>
  <c r="G94" i="11"/>
  <c r="E104" i="11"/>
  <c r="E110" i="11" s="1"/>
  <c r="E94" i="11"/>
  <c r="C131" i="11"/>
  <c r="C138" i="11"/>
  <c r="C139" i="11" s="1"/>
  <c r="C140" i="11" s="1"/>
  <c r="H104" i="11"/>
  <c r="K96" i="8"/>
  <c r="L96" i="8"/>
  <c r="K98" i="8"/>
  <c r="L98" i="8"/>
  <c r="N98" i="8"/>
  <c r="O98" i="8"/>
  <c r="P100" i="8"/>
  <c r="R100" i="8" s="1"/>
  <c r="R96" i="8"/>
  <c r="N97" i="8"/>
  <c r="O97" i="8"/>
  <c r="T97" i="8"/>
  <c r="U97" i="8"/>
  <c r="C525" i="8"/>
  <c r="N449" i="8"/>
  <c r="J449" i="8"/>
  <c r="K449" i="8"/>
  <c r="O449" i="8"/>
  <c r="G449" i="8"/>
  <c r="I449" i="8"/>
  <c r="E449" i="8"/>
  <c r="L449" i="8"/>
  <c r="F449" i="8"/>
  <c r="M449" i="8"/>
  <c r="H449" i="8"/>
  <c r="D449" i="8"/>
  <c r="E99" i="11"/>
  <c r="E100" i="11" s="1"/>
  <c r="D109" i="11"/>
  <c r="D125" i="11" s="1"/>
  <c r="D132" i="11" s="1"/>
  <c r="D130" i="11" s="1"/>
  <c r="E90" i="11"/>
  <c r="E95" i="11"/>
  <c r="E96" i="11" s="1"/>
  <c r="E97" i="11" s="1"/>
  <c r="J149" i="8"/>
  <c r="M83" i="8" s="1"/>
  <c r="D119" i="11"/>
  <c r="D120" i="11" s="1"/>
  <c r="D121" i="11" s="1"/>
  <c r="H149" i="8"/>
  <c r="J83" i="8" s="1"/>
  <c r="X91" i="7"/>
  <c r="M145" i="8"/>
  <c r="J97" i="8"/>
  <c r="S98" i="8"/>
  <c r="M146" i="8"/>
  <c r="E119" i="11"/>
  <c r="D116" i="11"/>
  <c r="D117" i="11" s="1"/>
  <c r="D118" i="11" s="1"/>
  <c r="O600" i="8"/>
  <c r="H600" i="8"/>
  <c r="P83" i="8"/>
  <c r="Z91" i="7"/>
  <c r="E52" i="11"/>
  <c r="E53" i="11" s="1"/>
  <c r="E54" i="11" s="1"/>
  <c r="E55" i="11"/>
  <c r="E56" i="11" s="1"/>
  <c r="E57" i="11" s="1"/>
  <c r="G45" i="11"/>
  <c r="F44" i="11"/>
  <c r="F51" i="11" s="1"/>
  <c r="F600" i="8"/>
  <c r="L600" i="8"/>
  <c r="G600" i="8"/>
  <c r="M600" i="8"/>
  <c r="I600" i="8"/>
  <c r="D600" i="8"/>
  <c r="J600" i="8"/>
  <c r="E600" i="8"/>
  <c r="N600" i="8"/>
  <c r="E77" i="11"/>
  <c r="E78" i="11" s="1"/>
  <c r="E74" i="11"/>
  <c r="E75" i="11" s="1"/>
  <c r="I87" i="11"/>
  <c r="G65" i="11"/>
  <c r="G72" i="11" s="1"/>
  <c r="H66" i="11"/>
  <c r="F76" i="11"/>
  <c r="F73" i="11"/>
  <c r="M144" i="8"/>
  <c r="M100" i="8"/>
  <c r="O100" i="8" s="1"/>
  <c r="J21" i="10"/>
  <c r="E20" i="10"/>
  <c r="F98" i="11"/>
  <c r="F95" i="11"/>
  <c r="G90" i="11"/>
  <c r="H89" i="11"/>
  <c r="H94" i="11" s="1"/>
  <c r="J67" i="11"/>
  <c r="C142" i="11"/>
  <c r="C143" i="11" s="1"/>
  <c r="C144" i="11" s="1"/>
  <c r="I46" i="11"/>
  <c r="K88" i="11"/>
  <c r="J86" i="11"/>
  <c r="J87" i="11" s="1"/>
  <c r="C675" i="8" l="1"/>
  <c r="F110" i="11"/>
  <c r="F108" i="11" s="1"/>
  <c r="E108" i="11"/>
  <c r="E115" i="11" s="1"/>
  <c r="E116" i="11" s="1"/>
  <c r="E117" i="11" s="1"/>
  <c r="E118" i="11" s="1"/>
  <c r="J104" i="11"/>
  <c r="I104" i="11"/>
  <c r="K97" i="8"/>
  <c r="L97" i="8"/>
  <c r="T98" i="8"/>
  <c r="U98" i="8"/>
  <c r="C449" i="8"/>
  <c r="F99" i="11"/>
  <c r="F100" i="11" s="1"/>
  <c r="E120" i="11"/>
  <c r="E121" i="11" s="1"/>
  <c r="J100" i="8"/>
  <c r="F119" i="11"/>
  <c r="F96" i="11"/>
  <c r="F97" i="11" s="1"/>
  <c r="V91" i="7"/>
  <c r="F55" i="11"/>
  <c r="F56" i="11" s="1"/>
  <c r="F57" i="11" s="1"/>
  <c r="F77" i="11"/>
  <c r="F78" i="11" s="1"/>
  <c r="G44" i="11"/>
  <c r="F52" i="11"/>
  <c r="F53" i="11" s="1"/>
  <c r="F54" i="11" s="1"/>
  <c r="H45" i="11"/>
  <c r="C600" i="8"/>
  <c r="F74" i="11"/>
  <c r="F75" i="11" s="1"/>
  <c r="I66" i="11"/>
  <c r="H65" i="11"/>
  <c r="H72" i="11" s="1"/>
  <c r="G73" i="11"/>
  <c r="G76" i="11"/>
  <c r="C143" i="8"/>
  <c r="K67" i="11"/>
  <c r="H90" i="11"/>
  <c r="I89" i="11"/>
  <c r="I94" i="11" s="1"/>
  <c r="K86" i="11"/>
  <c r="K87" i="11" s="1"/>
  <c r="L88" i="11"/>
  <c r="G95" i="11"/>
  <c r="G98" i="11"/>
  <c r="J46" i="11"/>
  <c r="C141" i="11"/>
  <c r="G110" i="11" l="1"/>
  <c r="H110" i="11" s="1"/>
  <c r="I110" i="11" s="1"/>
  <c r="E109" i="11"/>
  <c r="E125" i="11" s="1"/>
  <c r="E132" i="11" s="1"/>
  <c r="E130" i="11" s="1"/>
  <c r="G51" i="11"/>
  <c r="G52" i="11" s="1"/>
  <c r="G53" i="11" s="1"/>
  <c r="G54" i="11" s="1"/>
  <c r="F109" i="11"/>
  <c r="F125" i="11" s="1"/>
  <c r="F115" i="11"/>
  <c r="F116" i="11" s="1"/>
  <c r="F117" i="11" s="1"/>
  <c r="F118" i="11" s="1"/>
  <c r="D131" i="11"/>
  <c r="D138" i="11"/>
  <c r="D139" i="11" s="1"/>
  <c r="D140" i="11" s="1"/>
  <c r="D141" i="11" s="1"/>
  <c r="D142" i="11"/>
  <c r="D143" i="11" s="1"/>
  <c r="D144" i="11" s="1"/>
  <c r="K100" i="8"/>
  <c r="L100" i="8"/>
  <c r="G99" i="11"/>
  <c r="G100" i="11" s="1"/>
  <c r="F120" i="11"/>
  <c r="F121" i="11" s="1"/>
  <c r="G96" i="11"/>
  <c r="G97" i="11" s="1"/>
  <c r="I45" i="11"/>
  <c r="S100" i="8"/>
  <c r="U100" i="8" s="1"/>
  <c r="G55" i="11"/>
  <c r="G56" i="11" s="1"/>
  <c r="G57" i="11" s="1"/>
  <c r="G77" i="11"/>
  <c r="G78" i="11" s="1"/>
  <c r="H44" i="11"/>
  <c r="G74" i="11"/>
  <c r="G75" i="11" s="1"/>
  <c r="H73" i="11"/>
  <c r="H76" i="11"/>
  <c r="I65" i="11"/>
  <c r="I72" i="11" s="1"/>
  <c r="J66" i="11"/>
  <c r="F143" i="8"/>
  <c r="C149" i="8"/>
  <c r="I90" i="11"/>
  <c r="J89" i="11"/>
  <c r="J94" i="11" s="1"/>
  <c r="K46" i="11"/>
  <c r="M88" i="11"/>
  <c r="L86" i="11"/>
  <c r="L87" i="11" s="1"/>
  <c r="K104" i="11"/>
  <c r="L67" i="11"/>
  <c r="H98" i="11"/>
  <c r="H95" i="11"/>
  <c r="H108" i="11" l="1"/>
  <c r="H115" i="11" s="1"/>
  <c r="H116" i="11" s="1"/>
  <c r="H117" i="11" s="1"/>
  <c r="H118" i="11" s="1"/>
  <c r="G108" i="11"/>
  <c r="G115" i="11" s="1"/>
  <c r="G116" i="11" s="1"/>
  <c r="G117" i="11" s="1"/>
  <c r="G118" i="11" s="1"/>
  <c r="H51" i="11"/>
  <c r="H52" i="11" s="1"/>
  <c r="H53" i="11" s="1"/>
  <c r="H54" i="11" s="1"/>
  <c r="F132" i="11"/>
  <c r="F130" i="11" s="1"/>
  <c r="L104" i="11"/>
  <c r="E131" i="11"/>
  <c r="E138" i="11"/>
  <c r="E139" i="11" s="1"/>
  <c r="E140" i="11" s="1"/>
  <c r="E141" i="11" s="1"/>
  <c r="H99" i="11"/>
  <c r="H100" i="11" s="1"/>
  <c r="E142" i="11"/>
  <c r="E143" i="11" s="1"/>
  <c r="E144" i="11" s="1"/>
  <c r="G119" i="11"/>
  <c r="G120" i="11" s="1"/>
  <c r="G121" i="11" s="1"/>
  <c r="H96" i="11"/>
  <c r="H97" i="11" s="1"/>
  <c r="J45" i="11"/>
  <c r="I44" i="11"/>
  <c r="I51" i="11" s="1"/>
  <c r="H77" i="11"/>
  <c r="H78" i="11" s="1"/>
  <c r="H55" i="11"/>
  <c r="H56" i="11" s="1"/>
  <c r="H57" i="11" s="1"/>
  <c r="H74" i="11"/>
  <c r="H75" i="11" s="1"/>
  <c r="K66" i="11"/>
  <c r="J65" i="11"/>
  <c r="J72" i="11" s="1"/>
  <c r="I76" i="11"/>
  <c r="I73" i="11"/>
  <c r="K149" i="8"/>
  <c r="D83" i="8"/>
  <c r="G149" i="8"/>
  <c r="I149" i="8"/>
  <c r="E143" i="8"/>
  <c r="F149" i="8"/>
  <c r="S83" i="8" s="1"/>
  <c r="H119" i="11"/>
  <c r="N88" i="11"/>
  <c r="M86" i="11"/>
  <c r="M87" i="11" s="1"/>
  <c r="M67" i="11"/>
  <c r="L46" i="11"/>
  <c r="K89" i="11"/>
  <c r="K94" i="11" s="1"/>
  <c r="J90" i="11"/>
  <c r="I98" i="11"/>
  <c r="I95" i="11"/>
  <c r="I108" i="11"/>
  <c r="J110" i="11"/>
  <c r="H109" i="11" l="1"/>
  <c r="H125" i="11" s="1"/>
  <c r="G109" i="11"/>
  <c r="G125" i="11" s="1"/>
  <c r="G132" i="11" s="1"/>
  <c r="I109" i="11"/>
  <c r="I125" i="11" s="1"/>
  <c r="I115" i="11"/>
  <c r="I116" i="11" s="1"/>
  <c r="I117" i="11" s="1"/>
  <c r="I118" i="11" s="1"/>
  <c r="N86" i="11"/>
  <c r="N87" i="11" s="1"/>
  <c r="M104" i="11"/>
  <c r="F131" i="11"/>
  <c r="F138" i="11"/>
  <c r="F139" i="11" s="1"/>
  <c r="F140" i="11" s="1"/>
  <c r="F141" i="11" s="1"/>
  <c r="I99" i="11"/>
  <c r="I100" i="11" s="1"/>
  <c r="F142" i="11"/>
  <c r="F143" i="11" s="1"/>
  <c r="F144" i="11" s="1"/>
  <c r="H120" i="11"/>
  <c r="H121" i="11" s="1"/>
  <c r="I55" i="11"/>
  <c r="I56" i="11" s="1"/>
  <c r="I57" i="11" s="1"/>
  <c r="I52" i="11"/>
  <c r="I53" i="11" s="1"/>
  <c r="I54" i="11" s="1"/>
  <c r="I96" i="11"/>
  <c r="I97" i="11" s="1"/>
  <c r="J44" i="11"/>
  <c r="J51" i="11" s="1"/>
  <c r="K45" i="11"/>
  <c r="L45" i="11" s="1"/>
  <c r="I77" i="11"/>
  <c r="I78" i="11" s="1"/>
  <c r="E149" i="8"/>
  <c r="M149" i="8" s="1"/>
  <c r="I74" i="11"/>
  <c r="I75" i="11" s="1"/>
  <c r="D776" i="8"/>
  <c r="C774" i="8"/>
  <c r="K65" i="11"/>
  <c r="K72" i="11" s="1"/>
  <c r="L66" i="11"/>
  <c r="J76" i="11"/>
  <c r="J73" i="11"/>
  <c r="H83" i="8"/>
  <c r="R90" i="7"/>
  <c r="I119" i="11"/>
  <c r="J108" i="11"/>
  <c r="K110" i="11"/>
  <c r="K90" i="11"/>
  <c r="L89" i="11"/>
  <c r="N67" i="11"/>
  <c r="J98" i="11"/>
  <c r="J95" i="11"/>
  <c r="M46" i="11"/>
  <c r="H132" i="11" l="1"/>
  <c r="H130" i="11" s="1"/>
  <c r="G130" i="11"/>
  <c r="G138" i="11" s="1"/>
  <c r="G139" i="11" s="1"/>
  <c r="G140" i="11" s="1"/>
  <c r="G141" i="11" s="1"/>
  <c r="J109" i="11"/>
  <c r="J125" i="11" s="1"/>
  <c r="J115" i="11"/>
  <c r="J116" i="11" s="1"/>
  <c r="J117" i="11" s="1"/>
  <c r="J118" i="11" s="1"/>
  <c r="L94" i="11"/>
  <c r="O87" i="11"/>
  <c r="G21" i="11" s="1"/>
  <c r="G22" i="11" s="1"/>
  <c r="G142" i="11"/>
  <c r="G143" i="11" s="1"/>
  <c r="G144" i="11" s="1"/>
  <c r="J99" i="11"/>
  <c r="J100" i="11" s="1"/>
  <c r="I120" i="11"/>
  <c r="I121" i="11" s="1"/>
  <c r="E90" i="7"/>
  <c r="N90" i="7"/>
  <c r="J90" i="7"/>
  <c r="F90" i="7"/>
  <c r="M90" i="7"/>
  <c r="I90" i="7"/>
  <c r="L90" i="7"/>
  <c r="H90" i="7"/>
  <c r="O90" i="7"/>
  <c r="K90" i="7"/>
  <c r="G90" i="7"/>
  <c r="J55" i="11"/>
  <c r="J56" i="11" s="1"/>
  <c r="J57" i="11" s="1"/>
  <c r="J96" i="11"/>
  <c r="J97" i="11" s="1"/>
  <c r="J52" i="11"/>
  <c r="J53" i="11" s="1"/>
  <c r="J54" i="11" s="1"/>
  <c r="K44" i="11"/>
  <c r="K51" i="11" s="1"/>
  <c r="J74" i="11"/>
  <c r="J75" i="11" s="1"/>
  <c r="J77" i="11"/>
  <c r="J78" i="11" s="1"/>
  <c r="T91" i="7"/>
  <c r="D341" i="8"/>
  <c r="D777" i="8"/>
  <c r="D778" i="8"/>
  <c r="D779" i="8" s="1"/>
  <c r="D343" i="8"/>
  <c r="N104" i="11"/>
  <c r="K76" i="11"/>
  <c r="K73" i="11"/>
  <c r="M66" i="11"/>
  <c r="L65" i="11"/>
  <c r="L72" i="11" s="1"/>
  <c r="J119" i="11"/>
  <c r="N46" i="11"/>
  <c r="K98" i="11"/>
  <c r="K95" i="11"/>
  <c r="L110" i="11"/>
  <c r="K108" i="11"/>
  <c r="L90" i="11"/>
  <c r="M89" i="11"/>
  <c r="M94" i="11" s="1"/>
  <c r="L44" i="11"/>
  <c r="L51" i="11" s="1"/>
  <c r="M45" i="11"/>
  <c r="G131" i="11" l="1"/>
  <c r="I132" i="11"/>
  <c r="J132" i="11" s="1"/>
  <c r="K109" i="11"/>
  <c r="K125" i="11" s="1"/>
  <c r="K115" i="11"/>
  <c r="K116" i="11" s="1"/>
  <c r="K117" i="11" s="1"/>
  <c r="K118" i="11" s="1"/>
  <c r="H131" i="11"/>
  <c r="H138" i="11"/>
  <c r="H139" i="11" s="1"/>
  <c r="H140" i="11" s="1"/>
  <c r="H141" i="11" s="1"/>
  <c r="K99" i="11"/>
  <c r="K100" i="11" s="1"/>
  <c r="H142" i="11"/>
  <c r="H143" i="11" s="1"/>
  <c r="H144" i="11" s="1"/>
  <c r="J120" i="11"/>
  <c r="J121" i="11" s="1"/>
  <c r="K55" i="11"/>
  <c r="K56" i="11" s="1"/>
  <c r="K57" i="11" s="1"/>
  <c r="K96" i="11"/>
  <c r="K97" i="11" s="1"/>
  <c r="K52" i="11"/>
  <c r="K53" i="11" s="1"/>
  <c r="K54" i="11" s="1"/>
  <c r="K77" i="11"/>
  <c r="K78" i="11" s="1"/>
  <c r="K74" i="11"/>
  <c r="K75" i="11" s="1"/>
  <c r="D781" i="8"/>
  <c r="D782" i="8"/>
  <c r="D783" i="8" s="1"/>
  <c r="C547" i="8"/>
  <c r="L52" i="11"/>
  <c r="L55" i="11"/>
  <c r="L76" i="11"/>
  <c r="L73" i="11"/>
  <c r="M65" i="11"/>
  <c r="M72" i="11" s="1"/>
  <c r="N66" i="11"/>
  <c r="M44" i="11"/>
  <c r="M51" i="11" s="1"/>
  <c r="N45" i="11"/>
  <c r="N44" i="11" s="1"/>
  <c r="K119" i="11"/>
  <c r="M110" i="11"/>
  <c r="L108" i="11"/>
  <c r="M90" i="11"/>
  <c r="N89" i="11"/>
  <c r="N94" i="11" s="1"/>
  <c r="L95" i="11"/>
  <c r="L98" i="11"/>
  <c r="K132" i="11" l="1"/>
  <c r="K130" i="11" s="1"/>
  <c r="J130" i="11"/>
  <c r="J138" i="11" s="1"/>
  <c r="J139" i="11" s="1"/>
  <c r="I130" i="11"/>
  <c r="I131" i="11" s="1"/>
  <c r="L109" i="11"/>
  <c r="L125" i="11" s="1"/>
  <c r="L115" i="11"/>
  <c r="L116" i="11" s="1"/>
  <c r="L117" i="11" s="1"/>
  <c r="L118" i="11" s="1"/>
  <c r="N51" i="11"/>
  <c r="L99" i="11"/>
  <c r="L100" i="11" s="1"/>
  <c r="I142" i="11"/>
  <c r="I143" i="11" s="1"/>
  <c r="I144" i="11" s="1"/>
  <c r="K120" i="11"/>
  <c r="K121" i="11" s="1"/>
  <c r="L74" i="11"/>
  <c r="L75" i="11" s="1"/>
  <c r="L96" i="11"/>
  <c r="L97" i="11" s="1"/>
  <c r="L53" i="11"/>
  <c r="L54" i="11" s="1"/>
  <c r="L56" i="11"/>
  <c r="L57" i="11" s="1"/>
  <c r="L77" i="11"/>
  <c r="L78" i="11" s="1"/>
  <c r="D784" i="8"/>
  <c r="D393" i="8" s="1"/>
  <c r="M73" i="11"/>
  <c r="N65" i="11"/>
  <c r="M76" i="11"/>
  <c r="P71" i="8"/>
  <c r="C472" i="8"/>
  <c r="C622" i="8"/>
  <c r="C697" i="8"/>
  <c r="M71" i="8"/>
  <c r="O48" i="11"/>
  <c r="M55" i="11"/>
  <c r="M52" i="11"/>
  <c r="N90" i="11"/>
  <c r="O90" i="11" s="1"/>
  <c r="G23" i="11" s="1"/>
  <c r="M98" i="11"/>
  <c r="M95" i="11"/>
  <c r="N110" i="11"/>
  <c r="M108" i="11"/>
  <c r="J142" i="11"/>
  <c r="L119" i="11"/>
  <c r="O44" i="11"/>
  <c r="O43" i="11"/>
  <c r="G14" i="11" s="1"/>
  <c r="L132" i="11" l="1"/>
  <c r="L130" i="11" s="1"/>
  <c r="J131" i="11"/>
  <c r="I138" i="11"/>
  <c r="I139" i="11" s="1"/>
  <c r="I140" i="11" s="1"/>
  <c r="I141" i="11" s="1"/>
  <c r="N72" i="11"/>
  <c r="N73" i="11" s="1"/>
  <c r="M109" i="11"/>
  <c r="M125" i="11" s="1"/>
  <c r="M115" i="11"/>
  <c r="M116" i="11" s="1"/>
  <c r="M117" i="11" s="1"/>
  <c r="M118" i="11" s="1"/>
  <c r="K131" i="11"/>
  <c r="K138" i="11"/>
  <c r="K139" i="11" s="1"/>
  <c r="M99" i="11"/>
  <c r="M100" i="11" s="1"/>
  <c r="J143" i="11"/>
  <c r="J144" i="11" s="1"/>
  <c r="L120" i="11"/>
  <c r="L121" i="11" s="1"/>
  <c r="M74" i="11"/>
  <c r="M75" i="11" s="1"/>
  <c r="M77" i="11"/>
  <c r="M78" i="11" s="1"/>
  <c r="M96" i="11"/>
  <c r="M97" i="11" s="1"/>
  <c r="M53" i="11"/>
  <c r="M54" i="11" s="1"/>
  <c r="M56" i="11"/>
  <c r="M57" i="11" s="1"/>
  <c r="O65" i="11"/>
  <c r="S71" i="8"/>
  <c r="T73" i="8"/>
  <c r="D342" i="8"/>
  <c r="O64" i="11"/>
  <c r="G15" i="11" s="1"/>
  <c r="O69" i="11"/>
  <c r="N76" i="11"/>
  <c r="N55" i="11"/>
  <c r="N52" i="11"/>
  <c r="N98" i="11"/>
  <c r="N95" i="11"/>
  <c r="K142" i="11"/>
  <c r="M119" i="11"/>
  <c r="N108" i="11"/>
  <c r="M132" i="11" l="1"/>
  <c r="M130" i="11" s="1"/>
  <c r="J140" i="11"/>
  <c r="J141" i="11" s="1"/>
  <c r="N109" i="11"/>
  <c r="O109" i="11" s="1"/>
  <c r="N115" i="11"/>
  <c r="N116" i="11" s="1"/>
  <c r="N117" i="11" s="1"/>
  <c r="N118" i="11" s="1"/>
  <c r="O118" i="11" s="1"/>
  <c r="L131" i="11"/>
  <c r="L138" i="11"/>
  <c r="L139" i="11" s="1"/>
  <c r="N99" i="11"/>
  <c r="N100" i="11" s="1"/>
  <c r="O100" i="11" s="1"/>
  <c r="K143" i="11"/>
  <c r="K144" i="11" s="1"/>
  <c r="N77" i="11"/>
  <c r="N78" i="11" s="1"/>
  <c r="O78" i="11" s="1"/>
  <c r="M120" i="11"/>
  <c r="M121" i="11" s="1"/>
  <c r="N74" i="11"/>
  <c r="N75" i="11" s="1"/>
  <c r="O75" i="11" s="1"/>
  <c r="N56" i="11"/>
  <c r="N57" i="11" s="1"/>
  <c r="O57" i="11" s="1"/>
  <c r="N96" i="11"/>
  <c r="N97" i="11" s="1"/>
  <c r="O97" i="11" s="1"/>
  <c r="N53" i="11"/>
  <c r="N54" i="11" s="1"/>
  <c r="O54" i="11" s="1"/>
  <c r="D347" i="8"/>
  <c r="D344" i="8"/>
  <c r="D346" i="8"/>
  <c r="D345" i="8"/>
  <c r="N125" i="11"/>
  <c r="N119" i="11"/>
  <c r="L142" i="11"/>
  <c r="N132" i="11" l="1"/>
  <c r="N130" i="11" s="1"/>
  <c r="K140" i="11"/>
  <c r="K141" i="11" s="1"/>
  <c r="M131" i="11"/>
  <c r="M138" i="11"/>
  <c r="M139" i="11" s="1"/>
  <c r="L143" i="11"/>
  <c r="L144" i="11" s="1"/>
  <c r="N120" i="11"/>
  <c r="N121" i="11" s="1"/>
  <c r="O121" i="11" s="1"/>
  <c r="D348" i="8"/>
  <c r="M142" i="11"/>
  <c r="L140" i="11" l="1"/>
  <c r="L141" i="11" s="1"/>
  <c r="N131" i="11"/>
  <c r="O131" i="11" s="1"/>
  <c r="N138" i="11"/>
  <c r="N139" i="11" s="1"/>
  <c r="M143" i="11"/>
  <c r="M144" i="11" s="1"/>
  <c r="N142" i="11"/>
  <c r="M140" i="11" l="1"/>
  <c r="M141" i="11" s="1"/>
  <c r="N143" i="11"/>
  <c r="N144" i="11" s="1"/>
  <c r="O144" i="11" s="1"/>
  <c r="G25" i="11" s="1"/>
  <c r="G24" i="11" l="1"/>
  <c r="N140" i="11"/>
  <c r="N141" i="11" s="1"/>
  <c r="O141" i="11" s="1"/>
  <c r="E24" i="11"/>
  <c r="J71" i="8" l="1"/>
  <c r="E776" i="8"/>
  <c r="F776" i="8"/>
  <c r="F343" i="8" s="1"/>
  <c r="G776" i="8"/>
  <c r="G778" i="8" s="1"/>
  <c r="G783" i="8" s="1"/>
  <c r="G784" i="8" s="1"/>
  <c r="H776" i="8"/>
  <c r="H778" i="8" s="1"/>
  <c r="H783" i="8" s="1"/>
  <c r="H784" i="8" s="1"/>
  <c r="I776" i="8"/>
  <c r="I778" i="8" s="1"/>
  <c r="I783" i="8" s="1"/>
  <c r="I784" i="8" s="1"/>
  <c r="J776" i="8"/>
  <c r="J778" i="8" s="1"/>
  <c r="J783" i="8" s="1"/>
  <c r="J784" i="8" s="1"/>
  <c r="K776" i="8"/>
  <c r="K778" i="8" s="1"/>
  <c r="K783" i="8" s="1"/>
  <c r="K784" i="8" s="1"/>
  <c r="L776" i="8"/>
  <c r="L778" i="8" s="1"/>
  <c r="L783" i="8" s="1"/>
  <c r="L784" i="8" s="1"/>
  <c r="M776" i="8"/>
  <c r="M778" i="8" s="1"/>
  <c r="M783" i="8" s="1"/>
  <c r="M784" i="8" s="1"/>
  <c r="N776" i="8"/>
  <c r="N778" i="8" s="1"/>
  <c r="N783" i="8" s="1"/>
  <c r="N784" i="8" s="1"/>
  <c r="N73" i="8"/>
  <c r="Q73" i="8"/>
  <c r="M342" i="8" l="1"/>
  <c r="M344" i="8" s="1"/>
  <c r="M393" i="8"/>
  <c r="I342" i="8"/>
  <c r="I344" i="8" s="1"/>
  <c r="I393" i="8"/>
  <c r="E778" i="8"/>
  <c r="E783" i="8" s="1"/>
  <c r="E784" i="8" s="1"/>
  <c r="E393" i="8" s="1"/>
  <c r="L342" i="8"/>
  <c r="L344" i="8" s="1"/>
  <c r="L393" i="8"/>
  <c r="H342" i="8"/>
  <c r="H344" i="8" s="1"/>
  <c r="H393" i="8"/>
  <c r="K342" i="8"/>
  <c r="K344" i="8" s="1"/>
  <c r="K393" i="8"/>
  <c r="G342" i="8"/>
  <c r="G344" i="8" s="1"/>
  <c r="G393" i="8"/>
  <c r="N342" i="8"/>
  <c r="N344" i="8" s="1"/>
  <c r="N393" i="8"/>
  <c r="J342" i="8"/>
  <c r="J344" i="8" s="1"/>
  <c r="J393" i="8"/>
  <c r="I341" i="8"/>
  <c r="J341" i="8"/>
  <c r="H341" i="8"/>
  <c r="J343" i="8"/>
  <c r="H343" i="8"/>
  <c r="L341" i="8"/>
  <c r="I343" i="8"/>
  <c r="N341" i="8"/>
  <c r="N343" i="8"/>
  <c r="G343" i="8"/>
  <c r="K341" i="8"/>
  <c r="M341" i="8"/>
  <c r="M343" i="8"/>
  <c r="E341" i="8"/>
  <c r="F778" i="8"/>
  <c r="F783" i="8" s="1"/>
  <c r="F784" i="8" s="1"/>
  <c r="G341" i="8"/>
  <c r="K343" i="8"/>
  <c r="E777" i="8"/>
  <c r="F777" i="8" s="1"/>
  <c r="G777" i="8" s="1"/>
  <c r="H777" i="8" s="1"/>
  <c r="I777" i="8" s="1"/>
  <c r="J777" i="8" s="1"/>
  <c r="K777" i="8" s="1"/>
  <c r="L777" i="8" s="1"/>
  <c r="M777" i="8" s="1"/>
  <c r="N777" i="8" s="1"/>
  <c r="L343" i="8"/>
  <c r="F341" i="8"/>
  <c r="E343" i="8"/>
  <c r="K73" i="8"/>
  <c r="O480" i="8"/>
  <c r="M346" i="8" l="1"/>
  <c r="J345" i="8"/>
  <c r="K346" i="8"/>
  <c r="G347" i="8"/>
  <c r="G346" i="8"/>
  <c r="H346" i="8"/>
  <c r="G345" i="8"/>
  <c r="L347" i="8"/>
  <c r="N347" i="8"/>
  <c r="L346" i="8"/>
  <c r="M347" i="8"/>
  <c r="L345" i="8"/>
  <c r="N346" i="8"/>
  <c r="I347" i="8"/>
  <c r="I346" i="8"/>
  <c r="I345" i="8"/>
  <c r="J347" i="8"/>
  <c r="J346" i="8"/>
  <c r="H345" i="8"/>
  <c r="K345" i="8"/>
  <c r="N345" i="8"/>
  <c r="M345" i="8"/>
  <c r="E779" i="8"/>
  <c r="F779" i="8" s="1"/>
  <c r="G779" i="8" s="1"/>
  <c r="H779" i="8" s="1"/>
  <c r="I779" i="8" s="1"/>
  <c r="J779" i="8" s="1"/>
  <c r="K779" i="8" s="1"/>
  <c r="L779" i="8" s="1"/>
  <c r="M779" i="8" s="1"/>
  <c r="N779" i="8" s="1"/>
  <c r="H347" i="8"/>
  <c r="K347" i="8"/>
  <c r="F342" i="8"/>
  <c r="F344" i="8" s="1"/>
  <c r="F393" i="8"/>
  <c r="E342" i="8"/>
  <c r="N348" i="8" l="1"/>
  <c r="G348" i="8"/>
  <c r="L348" i="8"/>
  <c r="M348" i="8"/>
  <c r="I348" i="8"/>
  <c r="J348" i="8"/>
  <c r="K348" i="8"/>
  <c r="F346" i="8"/>
  <c r="H348" i="8"/>
  <c r="F347" i="8"/>
  <c r="F345" i="8"/>
  <c r="E345" i="8"/>
  <c r="E346" i="8"/>
  <c r="E347" i="8"/>
  <c r="E344" i="8"/>
  <c r="F348" i="8" l="1"/>
  <c r="E348" i="8"/>
  <c r="Q77" i="8" l="1"/>
  <c r="Q100" i="8"/>
  <c r="Q96" i="8"/>
  <c r="N96" i="8"/>
  <c r="N100" i="8"/>
  <c r="T77" i="8"/>
  <c r="T96" i="8"/>
  <c r="T95" i="8"/>
  <c r="T100" i="8"/>
  <c r="N480" i="8" l="1"/>
  <c r="Q75" i="7" l="1"/>
  <c r="I91" i="7" l="1"/>
  <c r="H773" i="8"/>
  <c r="K773" i="8"/>
  <c r="L91" i="7"/>
  <c r="E773" i="8"/>
  <c r="F91" i="7"/>
  <c r="F773" i="8"/>
  <c r="G91" i="7"/>
  <c r="N773" i="8"/>
  <c r="O91" i="7"/>
  <c r="H91" i="7"/>
  <c r="G773" i="8"/>
  <c r="M773" i="8"/>
  <c r="N91" i="7"/>
  <c r="I773" i="8"/>
  <c r="J91" i="7"/>
  <c r="J773" i="8"/>
  <c r="K91" i="7"/>
  <c r="L773" i="8"/>
  <c r="M91" i="7"/>
  <c r="M93" i="7" l="1"/>
  <c r="K93" i="7"/>
  <c r="N93" i="7"/>
  <c r="H93" i="7"/>
  <c r="E91" i="7"/>
  <c r="D773" i="8"/>
  <c r="I93" i="7"/>
  <c r="O93" i="7"/>
  <c r="G93" i="7"/>
  <c r="F93" i="7"/>
  <c r="L93" i="7"/>
  <c r="J93" i="7"/>
  <c r="T99" i="7" l="1"/>
  <c r="S99" i="7" s="1"/>
  <c r="G100" i="7"/>
  <c r="J100" i="7"/>
  <c r="L100" i="7"/>
  <c r="O100" i="7"/>
  <c r="I100" i="7"/>
  <c r="H100" i="7"/>
  <c r="K100" i="7"/>
  <c r="M100" i="7"/>
  <c r="Z99" i="7"/>
  <c r="Y99" i="7" s="1"/>
  <c r="F100" i="7"/>
  <c r="E93" i="7"/>
  <c r="N100" i="7"/>
  <c r="V99" i="7" l="1"/>
  <c r="U99" i="7" s="1"/>
  <c r="X99" i="7"/>
  <c r="W99" i="7" s="1"/>
  <c r="E100" i="7"/>
  <c r="R91" i="7" l="1"/>
  <c r="U90" i="7"/>
  <c r="E470" i="8" s="1"/>
  <c r="S90" i="7"/>
  <c r="E695" i="8" s="1"/>
  <c r="Y90" i="7"/>
  <c r="N620" i="8" s="1"/>
  <c r="W90" i="7"/>
  <c r="M545" i="8" s="1"/>
  <c r="P90" i="7"/>
  <c r="Q88" i="7" l="1"/>
  <c r="Q89" i="7"/>
  <c r="Q87" i="7"/>
  <c r="Q81" i="7"/>
  <c r="Q85" i="7"/>
  <c r="Q86" i="7"/>
  <c r="Q83" i="7"/>
  <c r="Q84" i="7"/>
  <c r="Q74" i="7"/>
  <c r="Q82" i="7"/>
  <c r="S91" i="7"/>
  <c r="Q80" i="7"/>
  <c r="O695" i="8"/>
  <c r="P91" i="7"/>
  <c r="D545" i="8"/>
  <c r="D620" i="8"/>
  <c r="D695" i="8"/>
  <c r="D470" i="8"/>
  <c r="N470" i="8"/>
  <c r="H470" i="8"/>
  <c r="K470" i="8"/>
  <c r="J470" i="8"/>
  <c r="G470" i="8"/>
  <c r="Q90" i="7"/>
  <c r="Y91" i="7"/>
  <c r="U91" i="7"/>
  <c r="W91" i="7"/>
  <c r="H695" i="8"/>
  <c r="G695" i="8"/>
  <c r="I695" i="8"/>
  <c r="F695" i="8"/>
  <c r="N695" i="8"/>
  <c r="F545" i="8"/>
  <c r="L545" i="8"/>
  <c r="H545" i="8"/>
  <c r="K545" i="8"/>
  <c r="E545" i="8"/>
  <c r="J620" i="8"/>
  <c r="L620" i="8"/>
  <c r="I620" i="8"/>
  <c r="G620" i="8"/>
  <c r="M620" i="8"/>
  <c r="O545" i="8"/>
  <c r="O620" i="8"/>
  <c r="O773" i="8"/>
  <c r="C773" i="8" s="1"/>
  <c r="F470" i="8"/>
  <c r="I470" i="8"/>
  <c r="L470" i="8"/>
  <c r="M470" i="8"/>
  <c r="Q76" i="7"/>
  <c r="J695" i="8"/>
  <c r="K695" i="8"/>
  <c r="L695" i="8"/>
  <c r="M695" i="8"/>
  <c r="I545" i="8"/>
  <c r="G545" i="8"/>
  <c r="J545" i="8"/>
  <c r="N545" i="8"/>
  <c r="H620" i="8"/>
  <c r="K620" i="8"/>
  <c r="F620" i="8"/>
  <c r="E620" i="8"/>
  <c r="O470" i="8"/>
  <c r="C545" i="8" l="1"/>
  <c r="C470" i="8"/>
  <c r="C620" i="8"/>
  <c r="C695" i="8"/>
  <c r="N705" i="8" l="1"/>
  <c r="N630" i="8"/>
  <c r="N555" i="8"/>
  <c r="C745" i="8"/>
  <c r="P70" i="7"/>
  <c r="O753" i="8" s="1"/>
  <c r="T70" i="7"/>
  <c r="T93" i="7" s="1"/>
  <c r="R62" i="7"/>
  <c r="Z70" i="7" s="1"/>
  <c r="Z93" i="7" s="1"/>
  <c r="P93" i="7" l="1"/>
  <c r="P100" i="7" s="1"/>
  <c r="D68" i="8"/>
  <c r="V70" i="7"/>
  <c r="V93" i="7" s="1"/>
  <c r="R70" i="7"/>
  <c r="S62" i="7"/>
  <c r="Y62" i="7"/>
  <c r="C753" i="8"/>
  <c r="O776" i="8"/>
  <c r="R393" i="8" s="1"/>
  <c r="S393" i="8" s="1"/>
  <c r="Q57" i="7" l="1"/>
  <c r="Q65" i="7"/>
  <c r="Q69" i="7"/>
  <c r="Q55" i="7"/>
  <c r="Q37" i="7"/>
  <c r="Q61" i="7"/>
  <c r="Q33" i="7"/>
  <c r="Q63" i="7"/>
  <c r="Q39" i="7"/>
  <c r="Q44" i="7"/>
  <c r="Q62" i="7"/>
  <c r="Q35" i="7"/>
  <c r="F593" i="8"/>
  <c r="F601" i="8" s="1"/>
  <c r="F624" i="8" s="1"/>
  <c r="J593" i="8"/>
  <c r="J601" i="8" s="1"/>
  <c r="J624" i="8" s="1"/>
  <c r="N593" i="8"/>
  <c r="N601" i="8" s="1"/>
  <c r="N624" i="8" s="1"/>
  <c r="G593" i="8"/>
  <c r="K593" i="8"/>
  <c r="O593" i="8"/>
  <c r="O601" i="8" s="1"/>
  <c r="O624" i="8" s="1"/>
  <c r="E593" i="8"/>
  <c r="E601" i="8" s="1"/>
  <c r="E624" i="8" s="1"/>
  <c r="E323" i="8" s="1"/>
  <c r="I593" i="8"/>
  <c r="I601" i="8" s="1"/>
  <c r="I624" i="8" s="1"/>
  <c r="M593" i="8"/>
  <c r="M601" i="8" s="1"/>
  <c r="M624" i="8" s="1"/>
  <c r="D593" i="8"/>
  <c r="L593" i="8"/>
  <c r="H593" i="8"/>
  <c r="H601" i="8" s="1"/>
  <c r="H624" i="8" s="1"/>
  <c r="F668" i="8"/>
  <c r="J668" i="8"/>
  <c r="J676" i="8" s="1"/>
  <c r="J699" i="8" s="1"/>
  <c r="N668" i="8"/>
  <c r="N676" i="8" s="1"/>
  <c r="N699" i="8" s="1"/>
  <c r="L668" i="8"/>
  <c r="L676" i="8" s="1"/>
  <c r="L699" i="8" s="1"/>
  <c r="G668" i="8"/>
  <c r="G676" i="8" s="1"/>
  <c r="G699" i="8" s="1"/>
  <c r="K668" i="8"/>
  <c r="K676" i="8" s="1"/>
  <c r="K699" i="8" s="1"/>
  <c r="O668" i="8"/>
  <c r="O676" i="8" s="1"/>
  <c r="O699" i="8" s="1"/>
  <c r="H668" i="8"/>
  <c r="E668" i="8"/>
  <c r="I668" i="8"/>
  <c r="I676" i="8" s="1"/>
  <c r="I699" i="8" s="1"/>
  <c r="M668" i="8"/>
  <c r="M676" i="8" s="1"/>
  <c r="M699" i="8" s="1"/>
  <c r="D668" i="8"/>
  <c r="R93" i="7"/>
  <c r="Y93" i="7" s="1"/>
  <c r="D59" i="8"/>
  <c r="C110" i="8"/>
  <c r="H68" i="8"/>
  <c r="X70" i="7"/>
  <c r="X93" i="7" s="1"/>
  <c r="W62" i="7"/>
  <c r="L601" i="8"/>
  <c r="L624" i="8" s="1"/>
  <c r="G601" i="8"/>
  <c r="G624" i="8" s="1"/>
  <c r="K601" i="8"/>
  <c r="K624" i="8" s="1"/>
  <c r="Q51" i="7"/>
  <c r="Q47" i="7"/>
  <c r="Q68" i="7"/>
  <c r="Q52" i="7"/>
  <c r="Q34" i="7"/>
  <c r="Q56" i="7"/>
  <c r="Q66" i="7"/>
  <c r="Q31" i="7"/>
  <c r="Q59" i="7"/>
  <c r="Q45" i="7"/>
  <c r="Q60" i="7"/>
  <c r="Q48" i="7"/>
  <c r="Q46" i="7"/>
  <c r="Q36" i="7"/>
  <c r="Q58" i="7"/>
  <c r="Q53" i="7"/>
  <c r="S70" i="7"/>
  <c r="Y70" i="7"/>
  <c r="Q67" i="7"/>
  <c r="Q32" i="7"/>
  <c r="U70" i="7"/>
  <c r="O777" i="8"/>
  <c r="P776" i="8"/>
  <c r="R342" i="8"/>
  <c r="S342" i="8" s="1"/>
  <c r="O341" i="8"/>
  <c r="P341" i="8" s="1"/>
  <c r="Q341" i="8" s="1"/>
  <c r="R341" i="8"/>
  <c r="S341" i="8" s="1"/>
  <c r="O778" i="8"/>
  <c r="R343" i="8"/>
  <c r="S343" i="8" s="1"/>
  <c r="O343" i="8"/>
  <c r="P343" i="8" s="1"/>
  <c r="Q343" i="8" s="1"/>
  <c r="E676" i="8"/>
  <c r="E699" i="8" s="1"/>
  <c r="H676" i="8"/>
  <c r="H699" i="8" s="1"/>
  <c r="F676" i="8"/>
  <c r="F699" i="8" s="1"/>
  <c r="U62" i="7"/>
  <c r="F442" i="8" l="1"/>
  <c r="F450" i="8" s="1"/>
  <c r="F474" i="8" s="1"/>
  <c r="J442" i="8"/>
  <c r="J450" i="8" s="1"/>
  <c r="J474" i="8" s="1"/>
  <c r="N442" i="8"/>
  <c r="N450" i="8" s="1"/>
  <c r="N474" i="8" s="1"/>
  <c r="H442" i="8"/>
  <c r="H450" i="8" s="1"/>
  <c r="H474" i="8" s="1"/>
  <c r="G442" i="8"/>
  <c r="G450" i="8" s="1"/>
  <c r="G474" i="8" s="1"/>
  <c r="K442" i="8"/>
  <c r="K450" i="8" s="1"/>
  <c r="K474" i="8" s="1"/>
  <c r="O442" i="8"/>
  <c r="O450" i="8" s="1"/>
  <c r="O474" i="8" s="1"/>
  <c r="D442" i="8"/>
  <c r="E442" i="8"/>
  <c r="E450" i="8" s="1"/>
  <c r="E474" i="8" s="1"/>
  <c r="I442" i="8"/>
  <c r="I450" i="8" s="1"/>
  <c r="I474" i="8" s="1"/>
  <c r="M442" i="8"/>
  <c r="M450" i="8" s="1"/>
  <c r="M474" i="8" s="1"/>
  <c r="L442" i="8"/>
  <c r="L450" i="8" s="1"/>
  <c r="L474" i="8" s="1"/>
  <c r="F518" i="8"/>
  <c r="F526" i="8" s="1"/>
  <c r="F549" i="8" s="1"/>
  <c r="J518" i="8"/>
  <c r="J526" i="8" s="1"/>
  <c r="J549" i="8" s="1"/>
  <c r="N518" i="8"/>
  <c r="N526" i="8" s="1"/>
  <c r="N549" i="8" s="1"/>
  <c r="G518" i="8"/>
  <c r="G526" i="8" s="1"/>
  <c r="G549" i="8" s="1"/>
  <c r="K518" i="8"/>
  <c r="K526" i="8" s="1"/>
  <c r="K549" i="8" s="1"/>
  <c r="O518" i="8"/>
  <c r="O526" i="8" s="1"/>
  <c r="O549" i="8" s="1"/>
  <c r="E518" i="8"/>
  <c r="E526" i="8" s="1"/>
  <c r="E549" i="8" s="1"/>
  <c r="I518" i="8"/>
  <c r="I526" i="8" s="1"/>
  <c r="I549" i="8" s="1"/>
  <c r="M518" i="8"/>
  <c r="M526" i="8" s="1"/>
  <c r="M549" i="8" s="1"/>
  <c r="D518" i="8"/>
  <c r="L518" i="8"/>
  <c r="L526" i="8" s="1"/>
  <c r="L549" i="8" s="1"/>
  <c r="H518" i="8"/>
  <c r="H526" i="8" s="1"/>
  <c r="H549" i="8" s="1"/>
  <c r="T343" i="8"/>
  <c r="W93" i="7"/>
  <c r="S93" i="7"/>
  <c r="U93" i="7"/>
  <c r="E332" i="8"/>
  <c r="E334" i="8"/>
  <c r="E701" i="8"/>
  <c r="M701" i="8"/>
  <c r="M332" i="8"/>
  <c r="M334" i="8"/>
  <c r="J325" i="8"/>
  <c r="J323" i="8"/>
  <c r="J626" i="8"/>
  <c r="C668" i="8"/>
  <c r="D676" i="8"/>
  <c r="T341" i="8"/>
  <c r="G325" i="8"/>
  <c r="G626" i="8"/>
  <c r="G323" i="8"/>
  <c r="N701" i="8"/>
  <c r="N334" i="8"/>
  <c r="N332" i="8"/>
  <c r="L323" i="8"/>
  <c r="L626" i="8"/>
  <c r="L325" i="8"/>
  <c r="M325" i="8"/>
  <c r="M626" i="8"/>
  <c r="M323" i="8"/>
  <c r="I701" i="8"/>
  <c r="I332" i="8"/>
  <c r="I334" i="8"/>
  <c r="F325" i="8"/>
  <c r="F626" i="8"/>
  <c r="F323" i="8"/>
  <c r="F701" i="8"/>
  <c r="F334" i="8"/>
  <c r="F332" i="8"/>
  <c r="O323" i="8"/>
  <c r="O325" i="8"/>
  <c r="O626" i="8"/>
  <c r="J334" i="8"/>
  <c r="J701" i="8"/>
  <c r="J332" i="8"/>
  <c r="K626" i="8"/>
  <c r="K323" i="8"/>
  <c r="K325" i="8"/>
  <c r="O779" i="8"/>
  <c r="O783" i="8"/>
  <c r="P783" i="8" s="1"/>
  <c r="P782" i="8" s="1"/>
  <c r="O784" i="8" s="1"/>
  <c r="O393" i="8" s="1"/>
  <c r="P393" i="8" s="1"/>
  <c r="Q393" i="8" s="1"/>
  <c r="T393" i="8" s="1"/>
  <c r="I626" i="8"/>
  <c r="I323" i="8"/>
  <c r="I325" i="8"/>
  <c r="H332" i="8"/>
  <c r="H334" i="8"/>
  <c r="H701" i="8"/>
  <c r="N325" i="8"/>
  <c r="N323" i="8"/>
  <c r="N626" i="8"/>
  <c r="G701" i="8"/>
  <c r="G334" i="8"/>
  <c r="G332" i="8"/>
  <c r="D601" i="8"/>
  <c r="C593" i="8"/>
  <c r="K334" i="8"/>
  <c r="K332" i="8"/>
  <c r="K701" i="8"/>
  <c r="H323" i="8"/>
  <c r="H626" i="8"/>
  <c r="H325" i="8"/>
  <c r="H59" i="8"/>
  <c r="D78" i="8"/>
  <c r="L334" i="8"/>
  <c r="L332" i="8"/>
  <c r="L701" i="8"/>
  <c r="O701" i="8"/>
  <c r="O334" i="8"/>
  <c r="O332" i="8"/>
  <c r="E626" i="8"/>
  <c r="E325" i="8"/>
  <c r="W70" i="7"/>
  <c r="P784" i="8" l="1"/>
  <c r="O342" i="8"/>
  <c r="P59" i="8"/>
  <c r="J307" i="8"/>
  <c r="J309" i="8"/>
  <c r="J476" i="8"/>
  <c r="L631" i="8"/>
  <c r="S59" i="8"/>
  <c r="G317" i="8"/>
  <c r="G551" i="8"/>
  <c r="G315" i="8"/>
  <c r="K631" i="8"/>
  <c r="L307" i="8"/>
  <c r="L476" i="8"/>
  <c r="L309" i="8"/>
  <c r="N307" i="8"/>
  <c r="N476" i="8"/>
  <c r="N309" i="8"/>
  <c r="D699" i="8"/>
  <c r="R384" i="8" s="1"/>
  <c r="S384" i="8" s="1"/>
  <c r="C676" i="8"/>
  <c r="L315" i="8"/>
  <c r="L551" i="8"/>
  <c r="L317" i="8"/>
  <c r="H78" i="8"/>
  <c r="D79" i="8"/>
  <c r="N631" i="8"/>
  <c r="M307" i="8"/>
  <c r="M309" i="8"/>
  <c r="M476" i="8"/>
  <c r="F309" i="8"/>
  <c r="F476" i="8"/>
  <c r="F307" i="8"/>
  <c r="N706" i="8"/>
  <c r="H317" i="8"/>
  <c r="H315" i="8"/>
  <c r="H551" i="8"/>
  <c r="J631" i="8"/>
  <c r="G307" i="8"/>
  <c r="G309" i="8"/>
  <c r="G476" i="8"/>
  <c r="M631" i="8"/>
  <c r="K706" i="8"/>
  <c r="C442" i="8"/>
  <c r="D450" i="8"/>
  <c r="M315" i="8"/>
  <c r="M551" i="8"/>
  <c r="M317" i="8"/>
  <c r="M706" i="8"/>
  <c r="I317" i="8"/>
  <c r="I315" i="8"/>
  <c r="I551" i="8"/>
  <c r="J706" i="8"/>
  <c r="E309" i="8"/>
  <c r="E307" i="8"/>
  <c r="E476" i="8"/>
  <c r="F317" i="8"/>
  <c r="F315" i="8"/>
  <c r="F551" i="8"/>
  <c r="I309" i="8"/>
  <c r="I476" i="8"/>
  <c r="I307" i="8"/>
  <c r="K317" i="8"/>
  <c r="K315" i="8"/>
  <c r="K551" i="8"/>
  <c r="O476" i="8"/>
  <c r="O309" i="8"/>
  <c r="O307" i="8"/>
  <c r="F631" i="8"/>
  <c r="E317" i="8"/>
  <c r="E551" i="8"/>
  <c r="E315" i="8"/>
  <c r="L706" i="8"/>
  <c r="H631" i="8"/>
  <c r="H706" i="8"/>
  <c r="K309" i="8"/>
  <c r="K476" i="8"/>
  <c r="K307" i="8"/>
  <c r="O631" i="8"/>
  <c r="J315" i="8"/>
  <c r="J317" i="8"/>
  <c r="J551" i="8"/>
  <c r="O551" i="8"/>
  <c r="O315" i="8"/>
  <c r="O317" i="8"/>
  <c r="O706" i="8"/>
  <c r="D624" i="8"/>
  <c r="R375" i="8" s="1"/>
  <c r="S375" i="8" s="1"/>
  <c r="C601" i="8"/>
  <c r="I631" i="8"/>
  <c r="H307" i="8"/>
  <c r="H309" i="8"/>
  <c r="H476" i="8"/>
  <c r="C518" i="8"/>
  <c r="D526" i="8"/>
  <c r="N317" i="8"/>
  <c r="N315" i="8"/>
  <c r="N551" i="8"/>
  <c r="O481" i="8" l="1"/>
  <c r="E481" i="8"/>
  <c r="G481" i="8"/>
  <c r="F481" i="8"/>
  <c r="R324" i="8"/>
  <c r="S324" i="8" s="1"/>
  <c r="P624" i="8"/>
  <c r="D625" i="8"/>
  <c r="D323" i="8"/>
  <c r="P323" i="8" s="1"/>
  <c r="D325" i="8"/>
  <c r="P325" i="8" s="1"/>
  <c r="D626" i="8"/>
  <c r="D629" i="8" s="1"/>
  <c r="O347" i="8"/>
  <c r="P347" i="8" s="1"/>
  <c r="O345" i="8"/>
  <c r="O344" i="8"/>
  <c r="P344" i="8" s="1"/>
  <c r="O346" i="8"/>
  <c r="P346" i="8" s="1"/>
  <c r="C785" i="8"/>
  <c r="P342" i="8"/>
  <c r="C526" i="8"/>
  <c r="D549" i="8"/>
  <c r="R367" i="8" s="1"/>
  <c r="S367" i="8" s="1"/>
  <c r="J556" i="8"/>
  <c r="I556" i="8"/>
  <c r="M556" i="8"/>
  <c r="M59" i="8"/>
  <c r="L556" i="8"/>
  <c r="D474" i="8"/>
  <c r="C450" i="8"/>
  <c r="E75" i="8"/>
  <c r="E65" i="8"/>
  <c r="E71" i="8"/>
  <c r="E74" i="8"/>
  <c r="E61" i="8"/>
  <c r="E73" i="8"/>
  <c r="E78" i="8"/>
  <c r="E69" i="8"/>
  <c r="E63" i="8"/>
  <c r="E66" i="8"/>
  <c r="E59" i="8"/>
  <c r="H79" i="8"/>
  <c r="E77" i="8"/>
  <c r="E62" i="8"/>
  <c r="D82" i="8"/>
  <c r="E67" i="8"/>
  <c r="E72" i="8"/>
  <c r="E64" i="8"/>
  <c r="E68" i="8"/>
  <c r="E60" i="8"/>
  <c r="J481" i="8"/>
  <c r="O556" i="8"/>
  <c r="N481" i="8"/>
  <c r="P78" i="8"/>
  <c r="K481" i="8"/>
  <c r="D701" i="8"/>
  <c r="D704" i="8" s="1"/>
  <c r="P699" i="8"/>
  <c r="D332" i="8"/>
  <c r="P332" i="8" s="1"/>
  <c r="D700" i="8"/>
  <c r="R333" i="8"/>
  <c r="S333" i="8" s="1"/>
  <c r="D334" i="8"/>
  <c r="P334" i="8" s="1"/>
  <c r="N556" i="8"/>
  <c r="I481" i="8"/>
  <c r="J59" i="8"/>
  <c r="L481" i="8"/>
  <c r="S78" i="8"/>
  <c r="R359" i="8" l="1"/>
  <c r="S359" i="8" s="1"/>
  <c r="D309" i="8"/>
  <c r="P309" i="8" s="1"/>
  <c r="Q309" i="8" s="1"/>
  <c r="J78" i="8"/>
  <c r="D475" i="8"/>
  <c r="D307" i="8"/>
  <c r="P307" i="8" s="1"/>
  <c r="Q307" i="8" s="1"/>
  <c r="R308" i="8"/>
  <c r="S308" i="8" s="1"/>
  <c r="D476" i="8"/>
  <c r="D479" i="8" s="1"/>
  <c r="R307" i="8"/>
  <c r="S307" i="8" s="1"/>
  <c r="R309" i="8"/>
  <c r="S309" i="8" s="1"/>
  <c r="P474" i="8"/>
  <c r="P79" i="8"/>
  <c r="D627" i="8"/>
  <c r="R316" i="8"/>
  <c r="S316" i="8" s="1"/>
  <c r="D317" i="8"/>
  <c r="P317" i="8" s="1"/>
  <c r="D550" i="8"/>
  <c r="P549" i="8"/>
  <c r="D315" i="8"/>
  <c r="P315" i="8" s="1"/>
  <c r="D551" i="8"/>
  <c r="D554" i="8" s="1"/>
  <c r="S79" i="8"/>
  <c r="O348" i="8"/>
  <c r="P348" i="8" s="1"/>
  <c r="P345" i="8"/>
  <c r="E625" i="8"/>
  <c r="D702" i="8"/>
  <c r="D705" i="8" s="1"/>
  <c r="M78" i="8"/>
  <c r="H82" i="8"/>
  <c r="D84" i="8"/>
  <c r="E700" i="8"/>
  <c r="C786" i="8"/>
  <c r="Q342" i="8"/>
  <c r="T342" i="8" s="1"/>
  <c r="P774" i="8" l="1"/>
  <c r="D706" i="8"/>
  <c r="F625" i="8"/>
  <c r="N308" i="8"/>
  <c r="G308" i="8"/>
  <c r="E83" i="8"/>
  <c r="D87" i="8"/>
  <c r="E82" i="8"/>
  <c r="H84" i="8"/>
  <c r="I308" i="8"/>
  <c r="L308" i="8"/>
  <c r="D477" i="8"/>
  <c r="D480" i="8" s="1"/>
  <c r="F308" i="8"/>
  <c r="T307" i="8"/>
  <c r="S82" i="8"/>
  <c r="E627" i="8"/>
  <c r="E630" i="8" s="1"/>
  <c r="E631" i="8" s="1"/>
  <c r="E308" i="8"/>
  <c r="M79" i="8"/>
  <c r="P82" i="8"/>
  <c r="J79" i="8"/>
  <c r="J308" i="8"/>
  <c r="D552" i="8"/>
  <c r="F700" i="8"/>
  <c r="K308" i="8"/>
  <c r="E702" i="8"/>
  <c r="E705" i="8" s="1"/>
  <c r="E706" i="8" s="1"/>
  <c r="E550" i="8"/>
  <c r="E475" i="8"/>
  <c r="D630" i="8"/>
  <c r="T309" i="8"/>
  <c r="S84" i="8" l="1"/>
  <c r="P84" i="8"/>
  <c r="F627" i="8"/>
  <c r="H87" i="8"/>
  <c r="G311" i="8"/>
  <c r="G312" i="8"/>
  <c r="G310" i="8"/>
  <c r="K311" i="8"/>
  <c r="K310" i="8"/>
  <c r="K312" i="8"/>
  <c r="E552" i="8"/>
  <c r="E555" i="8" s="1"/>
  <c r="E556" i="8" s="1"/>
  <c r="I310" i="8"/>
  <c r="I311" i="8"/>
  <c r="I312" i="8"/>
  <c r="F702" i="8"/>
  <c r="F705" i="8" s="1"/>
  <c r="F706" i="8" s="1"/>
  <c r="J82" i="8"/>
  <c r="D555" i="8"/>
  <c r="D481" i="8"/>
  <c r="G700" i="8"/>
  <c r="N312" i="8"/>
  <c r="N310" i="8"/>
  <c r="N311" i="8"/>
  <c r="F475" i="8"/>
  <c r="E310" i="8"/>
  <c r="E312" i="8"/>
  <c r="E311" i="8"/>
  <c r="E477" i="8"/>
  <c r="G625" i="8"/>
  <c r="J310" i="8"/>
  <c r="J312" i="8"/>
  <c r="J311" i="8"/>
  <c r="L312" i="8"/>
  <c r="L311" i="8"/>
  <c r="L310" i="8"/>
  <c r="D631" i="8"/>
  <c r="F550" i="8"/>
  <c r="M82" i="8"/>
  <c r="F310" i="8"/>
  <c r="F311" i="8"/>
  <c r="F312" i="8"/>
  <c r="J313" i="8" l="1"/>
  <c r="P87" i="8"/>
  <c r="H700" i="8"/>
  <c r="E313" i="8"/>
  <c r="S87" i="8"/>
  <c r="D556" i="8"/>
  <c r="N313" i="8"/>
  <c r="F552" i="8"/>
  <c r="F555" i="8" s="1"/>
  <c r="F556" i="8" s="1"/>
  <c r="L313" i="8"/>
  <c r="G702" i="8"/>
  <c r="G705" i="8" s="1"/>
  <c r="G706" i="8" s="1"/>
  <c r="J84" i="8"/>
  <c r="I313" i="8"/>
  <c r="G550" i="8"/>
  <c r="F313" i="8"/>
  <c r="F477" i="8"/>
  <c r="H625" i="8"/>
  <c r="G313" i="8"/>
  <c r="K313" i="8"/>
  <c r="G475" i="8"/>
  <c r="G627" i="8"/>
  <c r="G630" i="8" s="1"/>
  <c r="G631" i="8" s="1"/>
  <c r="P631" i="8" s="1"/>
  <c r="M84" i="8"/>
  <c r="M87" i="8" l="1"/>
  <c r="D308" i="8"/>
  <c r="G477" i="8"/>
  <c r="G552" i="8"/>
  <c r="G555" i="8" s="1"/>
  <c r="G556" i="8" s="1"/>
  <c r="I700" i="8"/>
  <c r="P630" i="8"/>
  <c r="J18" i="8" s="1"/>
  <c r="H475" i="8"/>
  <c r="H627" i="8"/>
  <c r="I625" i="8"/>
  <c r="H550" i="8"/>
  <c r="J87" i="8"/>
  <c r="H702" i="8"/>
  <c r="U87" i="8" l="1"/>
  <c r="G632" i="8"/>
  <c r="E632" i="8"/>
  <c r="F632" i="8"/>
  <c r="L632" i="8"/>
  <c r="I632" i="8"/>
  <c r="H632" i="8"/>
  <c r="M632" i="8"/>
  <c r="K632" i="8"/>
  <c r="J632" i="8"/>
  <c r="N632" i="8"/>
  <c r="D632" i="8"/>
  <c r="U68" i="8"/>
  <c r="U61" i="8"/>
  <c r="U64" i="8"/>
  <c r="U60" i="8"/>
  <c r="U66" i="8"/>
  <c r="U67" i="8"/>
  <c r="U72" i="8"/>
  <c r="U69" i="8"/>
  <c r="U63" i="8"/>
  <c r="U65" i="8"/>
  <c r="U62" i="8"/>
  <c r="U88" i="8"/>
  <c r="U83" i="8"/>
  <c r="U71" i="8"/>
  <c r="U59" i="8"/>
  <c r="U78" i="8"/>
  <c r="U79" i="8"/>
  <c r="J29" i="8" s="1"/>
  <c r="U82" i="8"/>
  <c r="U84" i="8"/>
  <c r="K29" i="8" s="1"/>
  <c r="J700" i="8"/>
  <c r="J625" i="8"/>
  <c r="I550" i="8"/>
  <c r="I475" i="8"/>
  <c r="D311" i="8"/>
  <c r="D312" i="8"/>
  <c r="D310" i="8"/>
  <c r="I702" i="8"/>
  <c r="I705" i="8" s="1"/>
  <c r="I706" i="8" s="1"/>
  <c r="P706" i="8" s="1"/>
  <c r="P705" i="8" s="1"/>
  <c r="J19" i="8" s="1"/>
  <c r="O632" i="8"/>
  <c r="O375" i="8" s="1"/>
  <c r="I627" i="8"/>
  <c r="H477" i="8"/>
  <c r="H480" i="8" s="1"/>
  <c r="H481" i="8" s="1"/>
  <c r="H552" i="8"/>
  <c r="H555" i="8" s="1"/>
  <c r="H556" i="8" s="1"/>
  <c r="N375" i="8" l="1"/>
  <c r="N324" i="8"/>
  <c r="M375" i="8"/>
  <c r="M324" i="8"/>
  <c r="L375" i="8"/>
  <c r="L324" i="8"/>
  <c r="K375" i="8"/>
  <c r="K324" i="8"/>
  <c r="J375" i="8"/>
  <c r="J324" i="8"/>
  <c r="I375" i="8"/>
  <c r="I324" i="8"/>
  <c r="H375" i="8"/>
  <c r="H324" i="8"/>
  <c r="G375" i="8"/>
  <c r="G324" i="8"/>
  <c r="F707" i="8"/>
  <c r="L707" i="8"/>
  <c r="H707" i="8"/>
  <c r="K707" i="8"/>
  <c r="E707" i="8"/>
  <c r="D707" i="8"/>
  <c r="N707" i="8"/>
  <c r="G707" i="8"/>
  <c r="M707" i="8"/>
  <c r="J707" i="8"/>
  <c r="O707" i="8"/>
  <c r="I707" i="8"/>
  <c r="F375" i="8"/>
  <c r="F324" i="8"/>
  <c r="E375" i="8"/>
  <c r="E324" i="8"/>
  <c r="D375" i="8"/>
  <c r="D324" i="8"/>
  <c r="R88" i="8"/>
  <c r="R91" i="8"/>
  <c r="R71" i="8"/>
  <c r="L91" i="8"/>
  <c r="L88" i="8"/>
  <c r="L83" i="8"/>
  <c r="J702" i="8"/>
  <c r="D313" i="8"/>
  <c r="J627" i="8"/>
  <c r="J550" i="8"/>
  <c r="K625" i="8"/>
  <c r="I552" i="8"/>
  <c r="J475" i="8"/>
  <c r="K700" i="8"/>
  <c r="I477" i="8"/>
  <c r="O324" i="8"/>
  <c r="P632" i="8"/>
  <c r="O308" i="8"/>
  <c r="N329" i="8" l="1"/>
  <c r="N327" i="8"/>
  <c r="N326" i="8"/>
  <c r="N328" i="8"/>
  <c r="M328" i="8"/>
  <c r="M329" i="8"/>
  <c r="M326" i="8"/>
  <c r="M327" i="8"/>
  <c r="L328" i="8"/>
  <c r="L327" i="8"/>
  <c r="L326" i="8"/>
  <c r="L329" i="8"/>
  <c r="K329" i="8"/>
  <c r="K326" i="8"/>
  <c r="K328" i="8"/>
  <c r="K327" i="8"/>
  <c r="J327" i="8"/>
  <c r="J326" i="8"/>
  <c r="J328" i="8"/>
  <c r="J329" i="8"/>
  <c r="H359" i="8"/>
  <c r="H308" i="8"/>
  <c r="I328" i="8"/>
  <c r="I326" i="8"/>
  <c r="I329" i="8"/>
  <c r="I327" i="8"/>
  <c r="H329" i="8"/>
  <c r="H326" i="8"/>
  <c r="H328" i="8"/>
  <c r="H327" i="8"/>
  <c r="G327" i="8"/>
  <c r="G329" i="8"/>
  <c r="G328" i="8"/>
  <c r="G326" i="8"/>
  <c r="L65" i="8"/>
  <c r="C633" i="8"/>
  <c r="D333" i="8"/>
  <c r="D384" i="8"/>
  <c r="E384" i="8"/>
  <c r="E333" i="8"/>
  <c r="F384" i="8"/>
  <c r="F333" i="8"/>
  <c r="O384" i="8"/>
  <c r="O333" i="8"/>
  <c r="N384" i="8"/>
  <c r="N333" i="8"/>
  <c r="M384" i="8"/>
  <c r="M333" i="8"/>
  <c r="L384" i="8"/>
  <c r="L333" i="8"/>
  <c r="K384" i="8"/>
  <c r="K333" i="8"/>
  <c r="J384" i="8"/>
  <c r="J333" i="8"/>
  <c r="H384" i="8"/>
  <c r="H333" i="8"/>
  <c r="G384" i="8"/>
  <c r="G333" i="8"/>
  <c r="I384" i="8"/>
  <c r="I333" i="8"/>
  <c r="P707" i="8"/>
  <c r="L71" i="8"/>
  <c r="L72" i="8"/>
  <c r="L63" i="8"/>
  <c r="L66" i="8"/>
  <c r="L62" i="8"/>
  <c r="L61" i="8"/>
  <c r="L64" i="8"/>
  <c r="L69" i="8"/>
  <c r="L67" i="8"/>
  <c r="L68" i="8"/>
  <c r="P375" i="8"/>
  <c r="Q375" i="8" s="1"/>
  <c r="T375" i="8" s="1"/>
  <c r="F326" i="8"/>
  <c r="F329" i="8"/>
  <c r="F328" i="8"/>
  <c r="F327" i="8"/>
  <c r="E326" i="8"/>
  <c r="E327" i="8"/>
  <c r="E328" i="8"/>
  <c r="E329" i="8"/>
  <c r="D327" i="8"/>
  <c r="D326" i="8"/>
  <c r="D329" i="8"/>
  <c r="D328" i="8"/>
  <c r="T59" i="8"/>
  <c r="O328" i="8"/>
  <c r="O326" i="8"/>
  <c r="O327" i="8"/>
  <c r="O329" i="8"/>
  <c r="P324" i="8"/>
  <c r="J477" i="8"/>
  <c r="K627" i="8"/>
  <c r="T65" i="8"/>
  <c r="T67" i="8"/>
  <c r="T62" i="8"/>
  <c r="T69" i="8"/>
  <c r="T61" i="8"/>
  <c r="T88" i="8"/>
  <c r="T71" i="8"/>
  <c r="T60" i="8"/>
  <c r="T72" i="8"/>
  <c r="T66" i="8"/>
  <c r="T64" i="8"/>
  <c r="T83" i="8"/>
  <c r="T63" i="8"/>
  <c r="T68" i="8"/>
  <c r="T78" i="8"/>
  <c r="T79" i="8"/>
  <c r="G29" i="8" s="1"/>
  <c r="T82" i="8"/>
  <c r="T84" i="8"/>
  <c r="H29" i="8" s="1"/>
  <c r="T87" i="8"/>
  <c r="L700" i="8"/>
  <c r="K702" i="8"/>
  <c r="J552" i="8"/>
  <c r="K475" i="8"/>
  <c r="K550" i="8"/>
  <c r="O312" i="8"/>
  <c r="O310" i="8"/>
  <c r="O311" i="8"/>
  <c r="L625" i="8"/>
  <c r="M330" i="8" l="1"/>
  <c r="N330" i="8"/>
  <c r="L330" i="8"/>
  <c r="K330" i="8"/>
  <c r="J330" i="8"/>
  <c r="H310" i="8"/>
  <c r="H311" i="8"/>
  <c r="H312" i="8"/>
  <c r="I330" i="8"/>
  <c r="H330" i="8"/>
  <c r="G330" i="8"/>
  <c r="R61" i="8"/>
  <c r="N28" i="8"/>
  <c r="D336" i="8"/>
  <c r="D338" i="8"/>
  <c r="D335" i="8"/>
  <c r="D337" i="8"/>
  <c r="E337" i="8"/>
  <c r="E338" i="8"/>
  <c r="E336" i="8"/>
  <c r="E335" i="8"/>
  <c r="F336" i="8"/>
  <c r="F337" i="8"/>
  <c r="F335" i="8"/>
  <c r="F338" i="8"/>
  <c r="O336" i="8"/>
  <c r="O337" i="8"/>
  <c r="O338" i="8"/>
  <c r="O335" i="8"/>
  <c r="N336" i="8"/>
  <c r="N337" i="8"/>
  <c r="N338" i="8"/>
  <c r="N335" i="8"/>
  <c r="M337" i="8"/>
  <c r="M338" i="8"/>
  <c r="M335" i="8"/>
  <c r="M336" i="8"/>
  <c r="L336" i="8"/>
  <c r="L337" i="8"/>
  <c r="L335" i="8"/>
  <c r="L338" i="8"/>
  <c r="K338" i="8"/>
  <c r="K337" i="8"/>
  <c r="K335" i="8"/>
  <c r="K336" i="8"/>
  <c r="J338" i="8"/>
  <c r="J336" i="8"/>
  <c r="J337" i="8"/>
  <c r="J335" i="8"/>
  <c r="P384" i="8"/>
  <c r="Q384" i="8" s="1"/>
  <c r="T384" i="8" s="1"/>
  <c r="N29" i="8" s="1"/>
  <c r="H335" i="8"/>
  <c r="H338" i="8"/>
  <c r="H336" i="8"/>
  <c r="H337" i="8"/>
  <c r="G337" i="8"/>
  <c r="G336" i="8"/>
  <c r="G335" i="8"/>
  <c r="G338" i="8"/>
  <c r="I335" i="8"/>
  <c r="I337" i="8"/>
  <c r="I338" i="8"/>
  <c r="I336" i="8"/>
  <c r="P333" i="8"/>
  <c r="C708" i="8"/>
  <c r="R64" i="8"/>
  <c r="R69" i="8"/>
  <c r="R68" i="8"/>
  <c r="R66" i="8"/>
  <c r="R65" i="8"/>
  <c r="R62" i="8"/>
  <c r="R63" i="8"/>
  <c r="R67" i="8"/>
  <c r="P326" i="8"/>
  <c r="R82" i="8"/>
  <c r="R60" i="8"/>
  <c r="R59" i="8"/>
  <c r="R78" i="8"/>
  <c r="R79" i="8"/>
  <c r="J28" i="8" s="1"/>
  <c r="F330" i="8"/>
  <c r="R83" i="8"/>
  <c r="R84" i="8"/>
  <c r="K28" i="8" s="1"/>
  <c r="R87" i="8"/>
  <c r="R72" i="8"/>
  <c r="E330" i="8"/>
  <c r="P329" i="8"/>
  <c r="D330" i="8"/>
  <c r="K477" i="8"/>
  <c r="L702" i="8"/>
  <c r="P328" i="8"/>
  <c r="L475" i="8"/>
  <c r="M625" i="8"/>
  <c r="K552" i="8"/>
  <c r="K555" i="8" s="1"/>
  <c r="K556" i="8" s="1"/>
  <c r="O313" i="8"/>
  <c r="M700" i="8"/>
  <c r="L627" i="8"/>
  <c r="L550" i="8"/>
  <c r="O330" i="8"/>
  <c r="P327" i="8"/>
  <c r="C634" i="8"/>
  <c r="Q324" i="8"/>
  <c r="T324" i="8" s="1"/>
  <c r="M28" i="8" s="1"/>
  <c r="G18" i="11" s="1"/>
  <c r="H313" i="8" l="1"/>
  <c r="K339" i="8"/>
  <c r="M339" i="8"/>
  <c r="E339" i="8"/>
  <c r="D339" i="8"/>
  <c r="F339" i="8"/>
  <c r="O339" i="8"/>
  <c r="N339" i="8"/>
  <c r="L339" i="8"/>
  <c r="P338" i="8"/>
  <c r="H339" i="8"/>
  <c r="J339" i="8"/>
  <c r="P337" i="8"/>
  <c r="G339" i="8"/>
  <c r="P335" i="8"/>
  <c r="I339" i="8"/>
  <c r="P336" i="8"/>
  <c r="Q333" i="8"/>
  <c r="T333" i="8" s="1"/>
  <c r="M29" i="8" s="1"/>
  <c r="C709" i="8"/>
  <c r="P330" i="8"/>
  <c r="P556" i="8"/>
  <c r="P555" i="8" s="1"/>
  <c r="Q59" i="8"/>
  <c r="K72" i="8"/>
  <c r="K83" i="8"/>
  <c r="K71" i="8"/>
  <c r="M627" i="8"/>
  <c r="L552" i="8"/>
  <c r="M702" i="8"/>
  <c r="M550" i="8"/>
  <c r="M475" i="8"/>
  <c r="L477" i="8"/>
  <c r="Q65" i="8"/>
  <c r="Q66" i="8"/>
  <c r="Q67" i="8"/>
  <c r="Q72" i="8"/>
  <c r="Q60" i="8"/>
  <c r="Q63" i="8"/>
  <c r="Q71" i="8"/>
  <c r="Q61" i="8"/>
  <c r="Q69" i="8"/>
  <c r="Q64" i="8"/>
  <c r="Q91" i="8"/>
  <c r="Q83" i="8"/>
  <c r="Q62" i="8"/>
  <c r="Q88" i="8"/>
  <c r="Q68" i="8"/>
  <c r="Q78" i="8"/>
  <c r="Q79" i="8"/>
  <c r="G28" i="8" s="1"/>
  <c r="Q82" i="8"/>
  <c r="Q84" i="8"/>
  <c r="H28" i="8" s="1"/>
  <c r="Q87" i="8"/>
  <c r="N700" i="8"/>
  <c r="N625" i="8"/>
  <c r="K91" i="8"/>
  <c r="K67" i="8"/>
  <c r="K62" i="8"/>
  <c r="K63" i="8"/>
  <c r="K88" i="8"/>
  <c r="K66" i="8"/>
  <c r="K65" i="8"/>
  <c r="K61" i="8"/>
  <c r="K69" i="8"/>
  <c r="K64" i="8"/>
  <c r="K68" i="8"/>
  <c r="G19" i="11" l="1"/>
  <c r="K557" i="8"/>
  <c r="K316" i="8" s="1"/>
  <c r="J17" i="8"/>
  <c r="P339" i="8"/>
  <c r="M557" i="8"/>
  <c r="N557" i="8"/>
  <c r="I557" i="8"/>
  <c r="J557" i="8"/>
  <c r="L557" i="8"/>
  <c r="E557" i="8"/>
  <c r="D557" i="8"/>
  <c r="F557" i="8"/>
  <c r="G557" i="8"/>
  <c r="H557" i="8"/>
  <c r="O557" i="8"/>
  <c r="K367" i="8"/>
  <c r="O700" i="8"/>
  <c r="O625" i="8"/>
  <c r="M477" i="8"/>
  <c r="M480" i="8" s="1"/>
  <c r="M481" i="8" s="1"/>
  <c r="N475" i="8"/>
  <c r="N627" i="8"/>
  <c r="M552" i="8"/>
  <c r="N550" i="8"/>
  <c r="N702" i="8"/>
  <c r="P481" i="8" l="1"/>
  <c r="P480" i="8" s="1"/>
  <c r="M482" i="8" s="1"/>
  <c r="N367" i="8"/>
  <c r="N316" i="8"/>
  <c r="M367" i="8"/>
  <c r="M316" i="8"/>
  <c r="L367" i="8"/>
  <c r="L316" i="8"/>
  <c r="J367" i="8"/>
  <c r="J316" i="8"/>
  <c r="I367" i="8"/>
  <c r="I316" i="8"/>
  <c r="H316" i="8"/>
  <c r="H367" i="8"/>
  <c r="G316" i="8"/>
  <c r="G367" i="8"/>
  <c r="F367" i="8"/>
  <c r="F316" i="8"/>
  <c r="E367" i="8"/>
  <c r="E316" i="8"/>
  <c r="D367" i="8"/>
  <c r="D316" i="8"/>
  <c r="P557" i="8"/>
  <c r="K318" i="8"/>
  <c r="K319" i="8"/>
  <c r="K320" i="8"/>
  <c r="O367" i="8"/>
  <c r="O316" i="8"/>
  <c r="N552" i="8"/>
  <c r="N477" i="8"/>
  <c r="O550" i="8"/>
  <c r="O702" i="8"/>
  <c r="O627" i="8"/>
  <c r="O475" i="8"/>
  <c r="J16" i="8" l="1"/>
  <c r="J21" i="8" s="1"/>
  <c r="O482" i="8"/>
  <c r="O359" i="8" s="1"/>
  <c r="G482" i="8"/>
  <c r="G359" i="8" s="1"/>
  <c r="F482" i="8"/>
  <c r="F359" i="8" s="1"/>
  <c r="L482" i="8"/>
  <c r="L359" i="8" s="1"/>
  <c r="I482" i="8"/>
  <c r="I359" i="8" s="1"/>
  <c r="H482" i="8"/>
  <c r="E482" i="8"/>
  <c r="E359" i="8" s="1"/>
  <c r="J482" i="8"/>
  <c r="J359" i="8" s="1"/>
  <c r="D482" i="8"/>
  <c r="D359" i="8" s="1"/>
  <c r="N482" i="8"/>
  <c r="N359" i="8" s="1"/>
  <c r="K482" i="8"/>
  <c r="K359" i="8" s="1"/>
  <c r="M359" i="8"/>
  <c r="M308" i="8"/>
  <c r="N320" i="8"/>
  <c r="N318" i="8"/>
  <c r="N319" i="8"/>
  <c r="M320" i="8"/>
  <c r="M318" i="8"/>
  <c r="M319" i="8"/>
  <c r="L318" i="8"/>
  <c r="L320" i="8"/>
  <c r="L319" i="8"/>
  <c r="P316" i="8"/>
  <c r="C559" i="8" s="1"/>
  <c r="J318" i="8"/>
  <c r="J319" i="8"/>
  <c r="J320" i="8"/>
  <c r="I318" i="8"/>
  <c r="I320" i="8"/>
  <c r="I319" i="8"/>
  <c r="H318" i="8"/>
  <c r="H319" i="8"/>
  <c r="H320" i="8"/>
  <c r="G318" i="8"/>
  <c r="G320" i="8"/>
  <c r="G319" i="8"/>
  <c r="F319" i="8"/>
  <c r="F320" i="8"/>
  <c r="F318" i="8"/>
  <c r="E318" i="8"/>
  <c r="E319" i="8"/>
  <c r="E320" i="8"/>
  <c r="P367" i="8"/>
  <c r="Q367" i="8" s="1"/>
  <c r="T367" i="8" s="1"/>
  <c r="D318" i="8"/>
  <c r="D320" i="8"/>
  <c r="D319" i="8"/>
  <c r="N27" i="8"/>
  <c r="Q316" i="8"/>
  <c r="T316" i="8" s="1"/>
  <c r="M27" i="8" s="1"/>
  <c r="N77" i="8" s="1"/>
  <c r="O319" i="8"/>
  <c r="C558" i="8"/>
  <c r="O320" i="8"/>
  <c r="O318" i="8"/>
  <c r="K321" i="8"/>
  <c r="O552" i="8"/>
  <c r="O477" i="8"/>
  <c r="O77" i="8" l="1"/>
  <c r="N321" i="8"/>
  <c r="P359" i="8"/>
  <c r="Q359" i="8" s="1"/>
  <c r="T359" i="8" s="1"/>
  <c r="N26" i="8" s="1"/>
  <c r="M321" i="8"/>
  <c r="P482" i="8"/>
  <c r="M311" i="8"/>
  <c r="M312" i="8"/>
  <c r="P312" i="8" s="1"/>
  <c r="M310" i="8"/>
  <c r="P310" i="8" s="1"/>
  <c r="C483" i="8"/>
  <c r="P308" i="8"/>
  <c r="P319" i="8"/>
  <c r="L321" i="8"/>
  <c r="G321" i="8"/>
  <c r="I321" i="8"/>
  <c r="J321" i="8"/>
  <c r="H321" i="8"/>
  <c r="E321" i="8"/>
  <c r="F321" i="8"/>
  <c r="P320" i="8"/>
  <c r="P318" i="8"/>
  <c r="D321" i="8"/>
  <c r="G17" i="11"/>
  <c r="O321" i="8"/>
  <c r="N71" i="8"/>
  <c r="N65" i="8"/>
  <c r="O65" i="8" s="1"/>
  <c r="N66" i="8"/>
  <c r="O66" i="8" s="1"/>
  <c r="N91" i="8"/>
  <c r="O91" i="8" s="1"/>
  <c r="N59" i="8"/>
  <c r="N68" i="8"/>
  <c r="O68" i="8" s="1"/>
  <c r="N63" i="8"/>
  <c r="O63" i="8" s="1"/>
  <c r="N79" i="8"/>
  <c r="N62" i="8"/>
  <c r="O62" i="8" s="1"/>
  <c r="N87" i="8"/>
  <c r="N67" i="8"/>
  <c r="O67" i="8" s="1"/>
  <c r="N60" i="8"/>
  <c r="O60" i="8" s="1"/>
  <c r="N88" i="8"/>
  <c r="O88" i="8" s="1"/>
  <c r="N84" i="8"/>
  <c r="O84" i="8" s="1"/>
  <c r="N72" i="8"/>
  <c r="O72" i="8" s="1"/>
  <c r="N61" i="8"/>
  <c r="O61" i="8" s="1"/>
  <c r="N83" i="8"/>
  <c r="N78" i="8"/>
  <c r="O78" i="8" s="1"/>
  <c r="N82" i="8"/>
  <c r="O82" i="8" s="1"/>
  <c r="N69" i="8"/>
  <c r="O69" i="8" s="1"/>
  <c r="N64" i="8"/>
  <c r="O64" i="8" s="1"/>
  <c r="N30" i="8" l="1"/>
  <c r="F50" i="8" s="1"/>
  <c r="G83" i="8" s="1"/>
  <c r="Y52" i="8" s="1"/>
  <c r="L59" i="8"/>
  <c r="L84" i="8"/>
  <c r="K26" i="8" s="1"/>
  <c r="L60" i="8"/>
  <c r="L87" i="8"/>
  <c r="L82" i="8"/>
  <c r="L79" i="8"/>
  <c r="J26" i="8" s="1"/>
  <c r="L78" i="8"/>
  <c r="C484" i="8"/>
  <c r="Q308" i="8"/>
  <c r="T308" i="8" s="1"/>
  <c r="M26" i="8" s="1"/>
  <c r="M313" i="8"/>
  <c r="P313" i="8" s="1"/>
  <c r="P311" i="8"/>
  <c r="P321" i="8"/>
  <c r="H27" i="8"/>
  <c r="O87" i="8"/>
  <c r="K27" i="8" s="1"/>
  <c r="O83" i="8"/>
  <c r="O59" i="8"/>
  <c r="O71" i="8"/>
  <c r="O79" i="8"/>
  <c r="J27" i="8" s="1"/>
  <c r="G27" i="8"/>
  <c r="G74" i="8" l="1"/>
  <c r="G65" i="8"/>
  <c r="G66" i="8"/>
  <c r="G72" i="8"/>
  <c r="G52" i="8"/>
  <c r="G59" i="8"/>
  <c r="G68" i="8"/>
  <c r="G67" i="8"/>
  <c r="G63" i="8"/>
  <c r="G78" i="8"/>
  <c r="G62" i="8"/>
  <c r="G84" i="8"/>
  <c r="G95" i="8"/>
  <c r="G79" i="8"/>
  <c r="G82" i="8"/>
  <c r="G54" i="8"/>
  <c r="G71" i="8"/>
  <c r="Y50" i="8" s="1"/>
  <c r="G75" i="8"/>
  <c r="G99" i="8"/>
  <c r="G91" i="8"/>
  <c r="G98" i="8"/>
  <c r="G69" i="8"/>
  <c r="G61" i="8"/>
  <c r="G100" i="8"/>
  <c r="G60" i="8"/>
  <c r="G64" i="8"/>
  <c r="G77" i="8"/>
  <c r="G87" i="8"/>
  <c r="G96" i="8"/>
  <c r="G97" i="8"/>
  <c r="G73" i="8"/>
  <c r="K82" i="8"/>
  <c r="K84" i="8"/>
  <c r="H26" i="8" s="1"/>
  <c r="K60" i="8"/>
  <c r="K59" i="8"/>
  <c r="K87" i="8"/>
  <c r="K78" i="8"/>
  <c r="K79" i="8"/>
  <c r="G26" i="8" s="1"/>
  <c r="G16" i="11"/>
  <c r="M30" i="8"/>
  <c r="C50" i="8" s="1"/>
  <c r="C18" i="8" s="1"/>
  <c r="E34" i="8" s="1"/>
  <c r="Y51" i="8" l="1"/>
  <c r="N39" i="8"/>
  <c r="F67" i="8"/>
  <c r="F84" i="8"/>
  <c r="F69" i="8"/>
  <c r="K39" i="8"/>
  <c r="F83" i="8"/>
  <c r="F66" i="8"/>
  <c r="M39" i="8"/>
  <c r="C39" i="8"/>
  <c r="F79" i="8"/>
  <c r="F82" i="8"/>
  <c r="F68" i="8"/>
  <c r="G30" i="8"/>
  <c r="F52" i="8"/>
  <c r="F72" i="8"/>
  <c r="F97" i="8"/>
  <c r="F39" i="8"/>
  <c r="F75" i="8"/>
  <c r="F96" i="8"/>
  <c r="E39" i="8"/>
  <c r="F61" i="8"/>
  <c r="F99" i="8"/>
  <c r="H39" i="8"/>
  <c r="F71" i="8"/>
  <c r="F98" i="8"/>
  <c r="H30" i="8"/>
  <c r="D50" i="8"/>
  <c r="G39" i="8"/>
  <c r="F59" i="8"/>
  <c r="F63" i="8"/>
  <c r="F77" i="8"/>
  <c r="F91" i="8"/>
  <c r="D89" i="8"/>
  <c r="G89" i="8" s="1"/>
  <c r="J39" i="8"/>
  <c r="F60" i="8"/>
  <c r="F62" i="8"/>
  <c r="F78" i="8"/>
  <c r="F95" i="8"/>
  <c r="D90" i="8"/>
  <c r="G90" i="8" s="1"/>
  <c r="I39" i="8"/>
  <c r="F54" i="8"/>
  <c r="F65" i="8"/>
  <c r="F74" i="8"/>
  <c r="D88" i="8"/>
  <c r="G88" i="8" s="1"/>
  <c r="F100" i="8"/>
  <c r="L39" i="8"/>
  <c r="D39" i="8"/>
  <c r="F64" i="8"/>
  <c r="F73" i="8"/>
  <c r="F87" i="8"/>
  <c r="J30" i="8"/>
  <c r="K30" i="8"/>
  <c r="C17" i="8"/>
  <c r="H34" i="8"/>
  <c r="C34" i="8"/>
  <c r="K34" i="8"/>
  <c r="J34" i="8"/>
  <c r="I34" i="8"/>
  <c r="L34" i="8"/>
  <c r="G34" i="8"/>
  <c r="N34" i="8"/>
  <c r="F34" i="8"/>
  <c r="M34" i="8"/>
  <c r="F88" i="8"/>
  <c r="G35" i="8"/>
  <c r="K35" i="8"/>
  <c r="C35" i="8"/>
  <c r="H35" i="8"/>
  <c r="E35" i="8"/>
  <c r="I35" i="8"/>
  <c r="M35" i="8"/>
  <c r="L35" i="8"/>
  <c r="F35" i="8"/>
  <c r="J35" i="8"/>
  <c r="N35" i="8"/>
  <c r="D35" i="8"/>
  <c r="M89" i="8"/>
  <c r="S89" i="8"/>
  <c r="J89" i="8"/>
  <c r="P89" i="8"/>
  <c r="J90" i="8"/>
  <c r="P90" i="8"/>
  <c r="S90" i="8"/>
  <c r="M90" i="8"/>
  <c r="N90" i="8" s="1"/>
  <c r="O90" i="8" s="1"/>
  <c r="F89" i="8" l="1"/>
  <c r="H89" i="8"/>
  <c r="F90" i="8"/>
  <c r="H90" i="8"/>
  <c r="H88" i="8"/>
  <c r="E41" i="8"/>
  <c r="O39" i="8"/>
  <c r="D92" i="8"/>
  <c r="I30" i="8" s="1"/>
  <c r="J41" i="8"/>
  <c r="L41" i="8"/>
  <c r="H41" i="8"/>
  <c r="I41" i="8"/>
  <c r="K41" i="8"/>
  <c r="F41" i="8"/>
  <c r="G41" i="8"/>
  <c r="N41" i="8"/>
  <c r="M41" i="8"/>
  <c r="P92" i="8"/>
  <c r="R92" i="8" s="1"/>
  <c r="L28" i="8" s="1"/>
  <c r="N89" i="8"/>
  <c r="O89" i="8" s="1"/>
  <c r="M92" i="8"/>
  <c r="J92" i="8"/>
  <c r="S92" i="8"/>
  <c r="R90" i="8"/>
  <c r="Q90" i="8"/>
  <c r="U89" i="8"/>
  <c r="T89" i="8"/>
  <c r="O35" i="8"/>
  <c r="L90" i="8"/>
  <c r="K90" i="8"/>
  <c r="U90" i="8"/>
  <c r="T90" i="8"/>
  <c r="R89" i="8"/>
  <c r="Q89" i="8"/>
  <c r="L89" i="8"/>
  <c r="K89" i="8"/>
  <c r="C41" i="8"/>
  <c r="G92" i="8" l="1"/>
  <c r="E88" i="8"/>
  <c r="E89" i="8"/>
  <c r="E87" i="8"/>
  <c r="L30" i="8"/>
  <c r="E91" i="8"/>
  <c r="E90" i="8"/>
  <c r="H92" i="8"/>
  <c r="F92" i="8"/>
  <c r="Q92" i="8"/>
  <c r="I28" i="8" s="1"/>
  <c r="N92" i="8"/>
  <c r="I27" i="8" s="1"/>
  <c r="O92" i="8"/>
  <c r="L27" i="8" s="1"/>
  <c r="U92" i="8"/>
  <c r="L29" i="8" s="1"/>
  <c r="T92" i="8"/>
  <c r="I29" i="8" s="1"/>
  <c r="L92" i="8"/>
  <c r="L26" i="8" s="1"/>
  <c r="K92" i="8"/>
  <c r="I26" i="8" s="1"/>
  <c r="C44" i="8"/>
  <c r="E238" i="8" l="1"/>
  <c r="E259" i="8" s="1"/>
  <c r="P34" i="9"/>
  <c r="P33" i="9" s="1"/>
  <c r="E33" i="9"/>
  <c r="E43" i="9"/>
  <c r="E70" i="9" s="1"/>
  <c r="P70" i="9" s="1"/>
  <c r="D34" i="8" l="1"/>
  <c r="P43" i="9"/>
  <c r="D53" i="8" s="1"/>
  <c r="P238" i="8"/>
  <c r="E261" i="8"/>
  <c r="E271" i="8" s="1"/>
  <c r="E286" i="8"/>
  <c r="E263" i="8"/>
  <c r="E273" i="8" s="1"/>
  <c r="E269" i="8"/>
  <c r="E284" i="8"/>
  <c r="E294" i="8"/>
  <c r="H53" i="8" l="1"/>
  <c r="G53" i="8"/>
  <c r="F53" i="8"/>
  <c r="D55" i="8"/>
  <c r="E53" i="8" s="1"/>
  <c r="E288" i="8"/>
  <c r="E296" i="8"/>
  <c r="E298" i="8" s="1"/>
  <c r="C232" i="8"/>
  <c r="C235" i="8" s="1"/>
  <c r="P53" i="8"/>
  <c r="P55" i="8" s="1"/>
  <c r="O34" i="8"/>
  <c r="D41" i="8"/>
  <c r="F55" i="8" l="1"/>
  <c r="G55" i="8"/>
  <c r="Y54" i="8" s="1"/>
  <c r="AB51" i="8" s="1"/>
  <c r="AB52" i="8" s="1"/>
  <c r="C16" i="8"/>
  <c r="H55" i="8"/>
  <c r="E52" i="8"/>
  <c r="O41" i="8"/>
  <c r="D44" i="8"/>
  <c r="E44" i="8" s="1"/>
  <c r="F44" i="8" s="1"/>
  <c r="G44" i="8" s="1"/>
  <c r="H44" i="8" s="1"/>
  <c r="I44" i="8" s="1"/>
  <c r="J44" i="8" s="1"/>
  <c r="K44" i="8" s="1"/>
  <c r="L44" i="8" s="1"/>
  <c r="M44" i="8" s="1"/>
  <c r="N44" i="8" s="1"/>
  <c r="O44" i="8" s="1"/>
  <c r="Z58" i="8" l="1"/>
  <c r="C28" i="8" s="1"/>
  <c r="Z57" i="8"/>
  <c r="C27" i="8" s="1"/>
  <c r="C29" i="8"/>
  <c r="C30" i="8"/>
  <c r="C19" i="8"/>
  <c r="C21" i="8" s="1"/>
</calcChain>
</file>

<file path=xl/comments1.xml><?xml version="1.0" encoding="utf-8"?>
<comments xmlns="http://schemas.openxmlformats.org/spreadsheetml/2006/main">
  <authors>
    <author>User</author>
  </authors>
  <commentList>
    <comment ref="I2" authorId="0" shapeId="0">
      <text>
        <r>
          <rPr>
            <sz val="9"/>
            <color indexed="81"/>
            <rFont val="Tahoma"/>
            <family val="2"/>
          </rPr>
          <t>Ano de apuração das receitas e custos</t>
        </r>
      </text>
    </comment>
    <comment ref="Q37" authorId="0" shapeId="0">
      <text>
        <r>
          <rPr>
            <sz val="9"/>
            <color indexed="81"/>
            <rFont val="Tahoma"/>
            <family val="2"/>
          </rPr>
          <t>Cotação do valor do animal, no mercado, obtida no mês de dezembro, do ano corrente (utilizado para fins de Patrimônio)</t>
        </r>
      </text>
    </comment>
    <comment ref="B38" authorId="0" shapeId="0">
      <text>
        <r>
          <rPr>
            <sz val="9"/>
            <color indexed="81"/>
            <rFont val="Tahoma"/>
            <family val="2"/>
          </rPr>
          <t>Bezerros e bezerras até a fase de desmama.</t>
        </r>
      </text>
    </comment>
    <comment ref="D38" authorId="0" shapeId="0">
      <text>
        <r>
          <rPr>
            <sz val="9"/>
            <color indexed="81"/>
            <rFont val="Tahoma"/>
            <family val="2"/>
          </rPr>
          <t>Quantidade de animais na categoria, no último dia do mês.</t>
        </r>
      </text>
    </comment>
    <comment ref="D39" authorId="0" shapeId="0">
      <text>
        <r>
          <rPr>
            <sz val="9"/>
            <color indexed="81"/>
            <rFont val="Tahoma"/>
            <family val="2"/>
          </rPr>
          <t>Peso médio dos animais em cada categoria, no último dia do mês.</t>
        </r>
      </text>
    </comment>
    <comment ref="B43" authorId="0" shapeId="0">
      <text>
        <r>
          <rPr>
            <sz val="9"/>
            <color indexed="81"/>
            <rFont val="Tahoma"/>
            <family val="2"/>
          </rPr>
          <t>Bezerros desmamados até antes da fase de terminação.</t>
        </r>
      </text>
    </comment>
    <comment ref="B48" authorId="0" shapeId="0">
      <text>
        <r>
          <rPr>
            <sz val="9"/>
            <color indexed="81"/>
            <rFont val="Tahoma"/>
            <family val="2"/>
          </rPr>
          <t>Animais que estão na fase de terminação para o abate ou para reposição de matrizes e reprodutores no rebanho.</t>
        </r>
      </text>
    </comment>
    <comment ref="B53" authorId="0" shapeId="0">
      <text>
        <r>
          <rPr>
            <sz val="9"/>
            <color indexed="81"/>
            <rFont val="Tahoma"/>
            <family val="2"/>
          </rPr>
          <t>Fêmeas (novilhas e matrizes) e Machos (Touros), utilizados com finsalidade de reprodução.</t>
        </r>
      </text>
    </comment>
    <comment ref="B58" authorId="0" shapeId="0">
      <text>
        <r>
          <rPr>
            <sz val="9"/>
            <color indexed="81"/>
            <rFont val="Tahoma"/>
            <family val="2"/>
          </rPr>
          <t>Valores devem ser compatíveis com as informações de entradas e saídas de animais nos rebanhos. Caso haja valores discrepantes em relação ao que era esperado, a célula ficará com coloração alaranjada.</t>
        </r>
      </text>
    </comment>
    <comment ref="C63" authorId="0" shapeId="0">
      <text>
        <r>
          <rPr>
            <sz val="9"/>
            <color indexed="81"/>
            <rFont val="Tahoma"/>
            <family val="2"/>
          </rPr>
          <t>Incluir o número de animais nascidos na propriedade, independentemente dos animais incluídos no inventário.</t>
        </r>
      </text>
    </comment>
    <comment ref="D66" authorId="0" shapeId="0">
      <text>
        <r>
          <rPr>
            <sz val="9"/>
            <color indexed="81"/>
            <rFont val="Tahoma"/>
            <family val="2"/>
          </rPr>
          <t>Incluir o custo médio por animal nesta categoria multiplicado pelo número de animais, obtidos até o momento, ou no ano anterior. Caso ainda não tenha essa informação, incluir uma estimativa de valor de mercado.</t>
        </r>
      </text>
    </comment>
    <comment ref="C68" authorId="0" shapeId="0">
      <text>
        <r>
          <rPr>
            <sz val="9"/>
            <color indexed="81"/>
            <rFont val="Tahoma"/>
            <family val="2"/>
          </rPr>
          <t>Peso médio dos animais mortos no mês (Kg)</t>
        </r>
      </text>
    </comment>
    <comment ref="C70" authorId="0" shapeId="0">
      <text>
        <r>
          <rPr>
            <sz val="9"/>
            <color indexed="81"/>
            <rFont val="Tahoma"/>
            <family val="2"/>
          </rPr>
          <t>Peso médio dos animais mortos no mês (Kg)</t>
        </r>
      </text>
    </comment>
    <comment ref="C72" authorId="0" shapeId="0">
      <text>
        <r>
          <rPr>
            <sz val="9"/>
            <color indexed="81"/>
            <rFont val="Tahoma"/>
            <family val="2"/>
          </rPr>
          <t>Peso médio dos animais mortos no mês (Kg)</t>
        </r>
      </text>
    </comment>
    <comment ref="C74" authorId="0" shapeId="0">
      <text>
        <r>
          <rPr>
            <sz val="9"/>
            <color indexed="81"/>
            <rFont val="Tahoma"/>
            <family val="2"/>
          </rPr>
          <t>Peso médio dos animais mortos no mês (Kg)</t>
        </r>
      </text>
    </comment>
    <comment ref="C76" authorId="0" shapeId="0">
      <text>
        <r>
          <rPr>
            <sz val="9"/>
            <color indexed="81"/>
            <rFont val="Tahoma"/>
            <family val="2"/>
          </rPr>
          <t xml:space="preserve">
Peso médio dos animais mortos no mês (Kg)</t>
        </r>
      </text>
    </comment>
  </commentList>
</comments>
</file>

<file path=xl/comments2.xml><?xml version="1.0" encoding="utf-8"?>
<comments xmlns="http://schemas.openxmlformats.org/spreadsheetml/2006/main">
  <authors>
    <author>User</author>
  </authors>
  <commentList>
    <comment ref="B7" authorId="0" shapeId="0">
      <text>
        <r>
          <rPr>
            <sz val="9"/>
            <color indexed="81"/>
            <rFont val="Tahoma"/>
            <family val="2"/>
          </rPr>
          <t>Incluir a quantidade e o preço médio obtido pela venda de animais vivos</t>
        </r>
      </text>
    </comment>
    <comment ref="B30" authorId="0" shapeId="0">
      <text>
        <r>
          <rPr>
            <sz val="9"/>
            <color indexed="81"/>
            <rFont val="Tahoma"/>
            <family val="2"/>
          </rPr>
          <t>Incluir o valor total obtido pela venda de animais para abate e o número de animais abatidos.</t>
        </r>
      </text>
    </comment>
    <comment ref="B45" authorId="0" shapeId="0">
      <text>
        <r>
          <rPr>
            <sz val="9"/>
            <color indexed="81"/>
            <rFont val="Tahoma"/>
            <family val="2"/>
          </rPr>
          <t>Incluir receitas obtidas pela comercialização de produtos relacionados ao sistema, difinindo o número de animais e a categoria, as quais serão atribuídos os valores. O valor de receitas obtidas pela venda de animais vivos e animais para abate devem ser incluídas nos campos acima "VENDAS DE ANIMAIS VIVOS" e "VENDAS DE ANIMAIS PARA ABATE", respectivamente</t>
        </r>
      </text>
    </comment>
    <comment ref="D45" authorId="0" shapeId="0">
      <text>
        <r>
          <rPr>
            <sz val="9"/>
            <color indexed="81"/>
            <rFont val="Tahoma"/>
            <family val="2"/>
          </rPr>
          <t>Escolher o mês em que foi gerada a receita</t>
        </r>
      </text>
    </comment>
    <comment ref="E45" authorId="0" shapeId="0">
      <text>
        <r>
          <rPr>
            <sz val="9"/>
            <color indexed="81"/>
            <rFont val="Tahoma"/>
            <family val="2"/>
          </rPr>
          <t>Incluir o valor total da receita gerada</t>
        </r>
      </text>
    </comment>
    <comment ref="F45" authorId="0" shapeId="0">
      <text>
        <r>
          <rPr>
            <sz val="9"/>
            <color indexed="81"/>
            <rFont val="Tahoma"/>
            <family val="2"/>
          </rPr>
          <t>Incluir o número de animais a qual se refere a receita obtida.</t>
        </r>
      </text>
    </comment>
    <comment ref="G45" authorId="0" shapeId="0">
      <text>
        <r>
          <rPr>
            <sz val="9"/>
            <color indexed="81"/>
            <rFont val="Tahoma"/>
            <family val="2"/>
          </rPr>
          <t>Inserir o peso médio (em Kg) do(s) animal(is) que gerou(aram) receita</t>
        </r>
      </text>
    </comment>
    <comment ref="H45" authorId="0" shapeId="0">
      <text>
        <r>
          <rPr>
            <sz val="9"/>
            <color indexed="81"/>
            <rFont val="Tahoma"/>
            <family val="2"/>
          </rPr>
          <t>Escolher a categoria a qual pertencem os animais que geraram a receita.
- Cria (Bezerros e Bezerras);
- Recria;
- Terminação (animais para engorda e abate);
- Reprodutores e matrizes (animais adultos para reprodução).</t>
        </r>
      </text>
    </comment>
    <comment ref="B72" authorId="0" shapeId="0">
      <text>
        <r>
          <rPr>
            <sz val="9"/>
            <color indexed="81"/>
            <rFont val="Tahoma"/>
            <family val="2"/>
          </rPr>
          <t>Valores obtidos de outras fontes além dos produtos gerados pelo sistema de produção</t>
        </r>
      </text>
    </comment>
  </commentList>
</comments>
</file>

<file path=xl/comments3.xml><?xml version="1.0" encoding="utf-8"?>
<comments xmlns="http://schemas.openxmlformats.org/spreadsheetml/2006/main">
  <authors>
    <author>User</author>
    <author>Patricia</author>
  </authors>
  <commentList>
    <comment ref="I8" authorId="0" shapeId="0">
      <text>
        <r>
          <rPr>
            <sz val="9"/>
            <color indexed="81"/>
            <rFont val="Tahoma"/>
            <family val="2"/>
          </rPr>
          <t>Taxa de juros utilizada para cálculo da depreciação e exaustão</t>
        </r>
      </text>
    </comment>
    <comment ref="B11" authorId="0" shapeId="0">
      <text>
        <r>
          <rPr>
            <sz val="9"/>
            <color indexed="81"/>
            <rFont val="Tahoma"/>
            <family val="2"/>
          </rPr>
          <t>A vida útil considerada é de 11 anos, sendo qur o Touro é considerado reprodutor, a partir dos 3 anos de idade</t>
        </r>
      </text>
    </comment>
    <comment ref="I11" authorId="0" shapeId="0">
      <text>
        <r>
          <rPr>
            <sz val="9"/>
            <color indexed="81"/>
            <rFont val="Tahoma"/>
            <family val="2"/>
          </rPr>
          <t>Valor obtido a partir do valor do animal caso fosse vendido para abate.</t>
        </r>
      </text>
    </comment>
    <comment ref="J11" authorId="0" shapeId="0">
      <text>
        <r>
          <rPr>
            <sz val="9"/>
            <color indexed="81"/>
            <rFont val="Tahoma"/>
            <family val="2"/>
          </rPr>
          <t>Valor obtido pelo método linear, em função da idade do animal.</t>
        </r>
      </text>
    </comment>
    <comment ref="P11" authorId="1" shapeId="0">
      <text>
        <r>
          <rPr>
            <sz val="9"/>
            <color indexed="81"/>
            <rFont val="Tahoma"/>
            <family val="2"/>
          </rPr>
          <t>Valor obtido com o abate do animal</t>
        </r>
      </text>
    </comment>
    <comment ref="T11" authorId="1" shapeId="0">
      <text>
        <r>
          <rPr>
            <sz val="9"/>
            <color indexed="81"/>
            <rFont val="Tahoma"/>
            <family val="2"/>
          </rPr>
          <t>Média ponderada durante o ano</t>
        </r>
      </text>
    </comment>
    <comment ref="M24" authorId="0" shapeId="0">
      <text>
        <r>
          <rPr>
            <sz val="9"/>
            <color indexed="81"/>
            <rFont val="Tahoma"/>
            <family val="2"/>
          </rPr>
          <t>A escolha da opção de rateio permitirá atribuir curstos, receitas e investimentos para  cada categoria. Deve ser a ssinalado uma das opções.</t>
        </r>
      </text>
    </comment>
    <comment ref="H26" authorId="0" shapeId="0">
      <text>
        <r>
          <rPr>
            <sz val="9"/>
            <color indexed="81"/>
            <rFont val="Tahoma"/>
            <family val="2"/>
          </rPr>
          <t>Valor gasto na formação da forrageira</t>
        </r>
      </text>
    </comment>
    <comment ref="I26" authorId="0" shapeId="0">
      <text>
        <r>
          <rPr>
            <sz val="9"/>
            <color indexed="81"/>
            <rFont val="Tahoma"/>
            <family val="2"/>
          </rPr>
          <t>Para forrageiras, o valor residual é zero. Trata-se de Exaustão.</t>
        </r>
      </text>
    </comment>
    <comment ref="J26" authorId="0" shapeId="0">
      <text>
        <r>
          <rPr>
            <sz val="9"/>
            <color indexed="81"/>
            <rFont val="Tahoma"/>
            <family val="2"/>
          </rPr>
          <t>Valor obtido pelo método linear, em função da tempo de formação da pastagem.</t>
        </r>
      </text>
    </comment>
    <comment ref="M26" authorId="0" shapeId="0">
      <text>
        <r>
          <rPr>
            <sz val="9"/>
            <color indexed="81"/>
            <rFont val="Tahoma"/>
            <family val="2"/>
          </rPr>
          <t>Valor correspondente a % de uso da forrageira para cada categoria. Pode ser utilizada a UA, como referência.</t>
        </r>
      </text>
    </comment>
    <comment ref="N26" authorId="0" shapeId="0">
      <text>
        <r>
          <rPr>
            <sz val="9"/>
            <color indexed="81"/>
            <rFont val="Tahoma"/>
            <family val="2"/>
          </rPr>
          <t>Valor referente à % do total, atribuído à cada categoria.</t>
        </r>
      </text>
    </comment>
    <comment ref="F55" authorId="0" shapeId="0">
      <text>
        <r>
          <rPr>
            <sz val="9"/>
            <color indexed="81"/>
            <rFont val="Tahoma"/>
            <family val="2"/>
          </rPr>
          <t>Valor gasto na aquisição do bem.</t>
        </r>
      </text>
    </comment>
    <comment ref="G55" authorId="0" shapeId="0">
      <text>
        <r>
          <rPr>
            <sz val="9"/>
            <color indexed="81"/>
            <rFont val="Tahoma"/>
            <family val="2"/>
          </rPr>
          <t>% atribuída a atividade de pecuária de corte</t>
        </r>
      </text>
    </comment>
    <comment ref="H55" authorId="0" shapeId="0">
      <text>
        <r>
          <rPr>
            <sz val="9"/>
            <color indexed="81"/>
            <rFont val="Tahoma"/>
            <family val="2"/>
          </rPr>
          <t xml:space="preserve">% do valor inicial que será atribuído, como valor final do bem. </t>
        </r>
      </text>
    </comment>
    <comment ref="I55" authorId="0" shapeId="0">
      <text>
        <r>
          <rPr>
            <sz val="9"/>
            <color indexed="81"/>
            <rFont val="Tahoma"/>
            <family val="2"/>
          </rPr>
          <t xml:space="preserve">Valor obtido com base na vida útil, % de rateio para a atividade, % de valor residual e ano de aquisição do bem . </t>
        </r>
      </text>
    </comment>
    <comment ref="J55" authorId="0" shapeId="0">
      <text>
        <r>
          <rPr>
            <sz val="9"/>
            <color indexed="81"/>
            <rFont val="Tahoma"/>
            <family val="2"/>
          </rPr>
          <t>Valor obtido pelo método linear, em finção da idade do bem.</t>
        </r>
      </text>
    </comment>
    <comment ref="M55" authorId="0" shapeId="0">
      <text>
        <r>
          <rPr>
            <b/>
            <sz val="9"/>
            <color indexed="81"/>
            <rFont val="Tahoma"/>
            <family val="2"/>
          </rPr>
          <t>User:</t>
        </r>
        <r>
          <rPr>
            <sz val="9"/>
            <color indexed="81"/>
            <rFont val="Tahoma"/>
            <family val="2"/>
          </rPr>
          <t xml:space="preserve">
Valor correspondente a % de uso ddo bem para cada categoria. Pode ser utilizada a UA, como referência.</t>
        </r>
      </text>
    </comment>
    <comment ref="N55" authorId="0" shapeId="0">
      <text>
        <r>
          <rPr>
            <sz val="9"/>
            <color indexed="81"/>
            <rFont val="Tahoma"/>
            <family val="2"/>
          </rPr>
          <t>Valor referente à % do total, atribuído à cada categoria.</t>
        </r>
      </text>
    </comment>
    <comment ref="F86" authorId="0" shapeId="0">
      <text>
        <r>
          <rPr>
            <sz val="9"/>
            <color indexed="81"/>
            <rFont val="Tahoma"/>
            <family val="2"/>
          </rPr>
          <t>Valor gasto na aquisição do bem.</t>
        </r>
      </text>
    </comment>
    <comment ref="G86" authorId="0" shapeId="0">
      <text>
        <r>
          <rPr>
            <sz val="9"/>
            <color indexed="81"/>
            <rFont val="Tahoma"/>
            <family val="2"/>
          </rPr>
          <t>% atribuída a atividade de pecuária de corte</t>
        </r>
      </text>
    </comment>
    <comment ref="H86" authorId="0" shapeId="0">
      <text>
        <r>
          <rPr>
            <sz val="9"/>
            <color indexed="81"/>
            <rFont val="Tahoma"/>
            <family val="2"/>
          </rPr>
          <t xml:space="preserve">% do valor inicial que será atribuído, como valor final do bem. </t>
        </r>
      </text>
    </comment>
    <comment ref="I86" authorId="0" shapeId="0">
      <text>
        <r>
          <rPr>
            <sz val="9"/>
            <color indexed="81"/>
            <rFont val="Tahoma"/>
            <family val="2"/>
          </rPr>
          <t xml:space="preserve">Valor obtido com base na vida útil, % de rateio para a atividade, % de valor residual e ano de aquisição do bem . </t>
        </r>
      </text>
    </comment>
    <comment ref="J86" authorId="0" shapeId="0">
      <text>
        <r>
          <rPr>
            <sz val="9"/>
            <color indexed="81"/>
            <rFont val="Tahoma"/>
            <family val="2"/>
          </rPr>
          <t>Valor obtido pelo método linear, em finção da idade do bem.</t>
        </r>
      </text>
    </comment>
    <comment ref="M86" authorId="0" shapeId="0">
      <text>
        <r>
          <rPr>
            <sz val="9"/>
            <color indexed="81"/>
            <rFont val="Tahoma"/>
            <family val="2"/>
          </rPr>
          <t>Valor correspondente a % de uso ddo bem para cada categoria. Pode ser utilizada a UA, como referência.</t>
        </r>
      </text>
    </comment>
    <comment ref="N86" authorId="0" shapeId="0">
      <text>
        <r>
          <rPr>
            <sz val="9"/>
            <color indexed="81"/>
            <rFont val="Tahoma"/>
            <family val="2"/>
          </rPr>
          <t xml:space="preserve">
Valor referente à % do total, atribuído à cada categoria.</t>
        </r>
      </text>
    </comment>
    <comment ref="F115" authorId="0" shapeId="0">
      <text>
        <r>
          <rPr>
            <sz val="9"/>
            <color indexed="81"/>
            <rFont val="Tahoma"/>
            <family val="2"/>
          </rPr>
          <t>Valor gasto na aquisição do bem.</t>
        </r>
      </text>
    </comment>
    <comment ref="G115" authorId="0" shapeId="0">
      <text>
        <r>
          <rPr>
            <sz val="9"/>
            <color indexed="81"/>
            <rFont val="Tahoma"/>
            <family val="2"/>
          </rPr>
          <t>% atribuída a atividade de pecuária de corte</t>
        </r>
      </text>
    </comment>
    <comment ref="H115" authorId="0" shapeId="0">
      <text>
        <r>
          <rPr>
            <sz val="9"/>
            <color indexed="81"/>
            <rFont val="Tahoma"/>
            <family val="2"/>
          </rPr>
          <t xml:space="preserve">% do valor inicial que será atribuído, como valor final do bem. </t>
        </r>
      </text>
    </comment>
    <comment ref="I115" authorId="0" shapeId="0">
      <text>
        <r>
          <rPr>
            <sz val="9"/>
            <color indexed="81"/>
            <rFont val="Tahoma"/>
            <family val="2"/>
          </rPr>
          <t xml:space="preserve">Valor obtido com base na vida útil, % de rateio para a atividade, % de valor residual e ano de aquisição do bem . </t>
        </r>
      </text>
    </comment>
    <comment ref="J115" authorId="0" shapeId="0">
      <text>
        <r>
          <rPr>
            <sz val="9"/>
            <color indexed="81"/>
            <rFont val="Tahoma"/>
            <family val="2"/>
          </rPr>
          <t>Valor obtido pelo método linear, em finção da idade do bem.</t>
        </r>
      </text>
    </comment>
    <comment ref="M115" authorId="0" shapeId="0">
      <text>
        <r>
          <rPr>
            <sz val="9"/>
            <color indexed="81"/>
            <rFont val="Tahoma"/>
            <family val="2"/>
          </rPr>
          <t>Valor correspondente a % de uso ddo bem para cada categoria. Pode ser utilizada a UA, como referência.</t>
        </r>
      </text>
    </comment>
    <comment ref="N115" authorId="0" shapeId="0">
      <text>
        <r>
          <rPr>
            <sz val="9"/>
            <color indexed="81"/>
            <rFont val="Tahoma"/>
            <family val="2"/>
          </rPr>
          <t xml:space="preserve">
Valor referente à % do total, atribuído à cada categoria.</t>
        </r>
      </text>
    </comment>
    <comment ref="F144" authorId="0" shapeId="0">
      <text>
        <r>
          <rPr>
            <sz val="9"/>
            <color indexed="81"/>
            <rFont val="Tahoma"/>
            <family val="2"/>
          </rPr>
          <t>Valor gasto na aquisição do bem.</t>
        </r>
      </text>
    </comment>
    <comment ref="G144" authorId="0" shapeId="0">
      <text>
        <r>
          <rPr>
            <sz val="9"/>
            <color indexed="81"/>
            <rFont val="Tahoma"/>
            <family val="2"/>
          </rPr>
          <t>% atribuída a atividade de pecuária de corte</t>
        </r>
      </text>
    </comment>
    <comment ref="H144" authorId="0" shapeId="0">
      <text>
        <r>
          <rPr>
            <sz val="9"/>
            <color indexed="81"/>
            <rFont val="Tahoma"/>
            <family val="2"/>
          </rPr>
          <t xml:space="preserve">% do valor inicial que será atribuído, como valor final do bem. </t>
        </r>
      </text>
    </comment>
    <comment ref="I144" authorId="0" shapeId="0">
      <text>
        <r>
          <rPr>
            <sz val="9"/>
            <color indexed="81"/>
            <rFont val="Tahoma"/>
            <family val="2"/>
          </rPr>
          <t xml:space="preserve">Valor obtido com base na vida útil, % de rateio para a atividade, % de valor residual e ano de aquisição do bem . </t>
        </r>
      </text>
    </comment>
    <comment ref="J144" authorId="0" shapeId="0">
      <text>
        <r>
          <rPr>
            <sz val="9"/>
            <color indexed="81"/>
            <rFont val="Tahoma"/>
            <family val="2"/>
          </rPr>
          <t>Valor obtido pelo método linear, em finção da idade do bem.</t>
        </r>
      </text>
    </comment>
    <comment ref="M144" authorId="0" shapeId="0">
      <text>
        <r>
          <rPr>
            <sz val="9"/>
            <color indexed="81"/>
            <rFont val="Tahoma"/>
            <family val="2"/>
          </rPr>
          <t>Valor correspondente a % de uso ddo bem para cada categoria. Pode ser utilizada a UA, como referência.</t>
        </r>
      </text>
    </comment>
    <comment ref="N144" authorId="0" shapeId="0">
      <text>
        <r>
          <rPr>
            <sz val="9"/>
            <color indexed="81"/>
            <rFont val="Tahoma"/>
            <family val="2"/>
          </rPr>
          <t xml:space="preserve">
Valor referente à % do total, atribuído à cada categoria.</t>
        </r>
      </text>
    </comment>
  </commentList>
</comments>
</file>

<file path=xl/comments4.xml><?xml version="1.0" encoding="utf-8"?>
<comments xmlns="http://schemas.openxmlformats.org/spreadsheetml/2006/main">
  <authors>
    <author>User</author>
  </authors>
  <commentList>
    <comment ref="C5" authorId="0" shapeId="0">
      <text>
        <r>
          <rPr>
            <sz val="10"/>
            <color indexed="81"/>
            <rFont val="Tahoma"/>
            <family val="2"/>
          </rPr>
          <t xml:space="preserve">Incluir o custo médio por animal obtido no ano anterior (quadro  "CUSTO A SER ATRIBUÍDO EM " da planilha RESULTADOS FINANCEIROS). Caso ainda não possua esse valor, incluir o valor de mercado para cada categoria. </t>
        </r>
      </text>
    </comment>
    <comment ref="E9" authorId="0" shapeId="0">
      <text>
        <r>
          <rPr>
            <sz val="9"/>
            <color indexed="81"/>
            <rFont val="Tahoma"/>
            <family val="2"/>
          </rPr>
          <t>incluir o valor de aquisição médio por animal no mês corrente.</t>
        </r>
      </text>
    </comment>
    <comment ref="E13" authorId="0" shapeId="0">
      <text>
        <r>
          <rPr>
            <sz val="9"/>
            <color indexed="81"/>
            <rFont val="Tahoma"/>
            <family val="2"/>
          </rPr>
          <t xml:space="preserve">
incluir o valor de aquisição médio por animal no mês corrente.</t>
        </r>
      </text>
    </comment>
    <comment ref="E17" authorId="0" shapeId="0">
      <text>
        <r>
          <rPr>
            <sz val="9"/>
            <color indexed="81"/>
            <rFont val="Tahoma"/>
            <family val="2"/>
          </rPr>
          <t xml:space="preserve">
incluir o valor de aquisição médio por animal no mês corrente.</t>
        </r>
      </text>
    </comment>
    <comment ref="E21" authorId="0" shapeId="0">
      <text>
        <r>
          <rPr>
            <sz val="9"/>
            <color indexed="81"/>
            <rFont val="Tahoma"/>
            <family val="2"/>
          </rPr>
          <t xml:space="preserve">
incluir o valor de aquisição médio por animal no mês corrente.</t>
        </r>
      </text>
    </comment>
    <comment ref="E25" authorId="0" shapeId="0">
      <text>
        <r>
          <rPr>
            <sz val="9"/>
            <color indexed="81"/>
            <rFont val="Tahoma"/>
            <family val="2"/>
          </rPr>
          <t xml:space="preserve">
incluir o valor de aquisição médio por animal no mês corrente.</t>
        </r>
      </text>
    </comment>
    <comment ref="S29" authorId="0" shapeId="0">
      <text>
        <r>
          <rPr>
            <sz val="11"/>
            <color indexed="81"/>
            <rFont val="Tahoma"/>
            <family val="2"/>
          </rPr>
          <t>Opção de rateio assinalada na planinha INVESTIMENTOS.</t>
        </r>
      </text>
    </comment>
    <comment ref="E30" authorId="0" shapeId="0">
      <text>
        <r>
          <rPr>
            <sz val="9"/>
            <color indexed="81"/>
            <rFont val="Tahoma"/>
            <family val="2"/>
          </rPr>
          <t xml:space="preserve">
incluir o  somatória dos valores de custo de cada ítem,  no mês corrente.</t>
        </r>
      </text>
    </comment>
    <comment ref="Q31" authorId="0" shapeId="0">
      <text>
        <r>
          <rPr>
            <sz val="9"/>
            <color indexed="81"/>
            <rFont val="Tahoma"/>
            <family val="2"/>
          </rPr>
          <t xml:space="preserve">
% dos valores gastos em Custos Variáveis relativo a cada ítem</t>
        </r>
      </text>
    </comment>
    <comment ref="S31" authorId="0" shapeId="0">
      <text>
        <r>
          <rPr>
            <sz val="9"/>
            <color indexed="81"/>
            <rFont val="Tahoma"/>
            <family val="2"/>
          </rPr>
          <t>% dos valores gastos em cada categoria</t>
        </r>
      </text>
    </comment>
    <comment ref="T31" authorId="0" shapeId="0">
      <text>
        <r>
          <rPr>
            <sz val="9"/>
            <color indexed="81"/>
            <rFont val="Tahoma"/>
            <family val="2"/>
          </rPr>
          <t xml:space="preserve">
incluir o  somatória dos valores de custo de cada ítem,  no mês corrente relativo a cada categoria.</t>
        </r>
      </text>
    </comment>
    <comment ref="B69" authorId="0" shapeId="0">
      <text>
        <r>
          <rPr>
            <sz val="12"/>
            <color indexed="81"/>
            <rFont val="Tahoma"/>
            <family val="2"/>
          </rPr>
          <t>Os reprodutores são Investimento e não estão incluídos neste ítem.</t>
        </r>
      </text>
    </comment>
    <comment ref="Q73" authorId="0" shapeId="0">
      <text>
        <r>
          <rPr>
            <b/>
            <sz val="9"/>
            <color indexed="81"/>
            <rFont val="Tahoma"/>
            <family val="2"/>
          </rPr>
          <t>User:</t>
        </r>
        <r>
          <rPr>
            <sz val="9"/>
            <color indexed="81"/>
            <rFont val="Tahoma"/>
            <family val="2"/>
          </rPr>
          <t xml:space="preserve">
% dos valores gastos em Custos Fixos relativo a cada ítem</t>
        </r>
      </text>
    </comment>
  </commentList>
</comments>
</file>

<file path=xl/comments5.xml><?xml version="1.0" encoding="utf-8"?>
<comments xmlns="http://schemas.openxmlformats.org/spreadsheetml/2006/main">
  <authors>
    <author>User</author>
    <author>Patricia</author>
  </authors>
  <commentList>
    <comment ref="B15" authorId="0" shapeId="0">
      <text>
        <r>
          <rPr>
            <sz val="9"/>
            <color indexed="81"/>
            <rFont val="Tahoma"/>
            <family val="2"/>
          </rPr>
          <t xml:space="preserve">
Referente aos animais que geraram receita.</t>
        </r>
      </text>
    </comment>
    <comment ref="N16" authorId="0" shapeId="0">
      <text>
        <r>
          <rPr>
            <sz val="12"/>
            <color indexed="81"/>
            <rFont val="Tahoma"/>
            <family val="2"/>
          </rPr>
          <t>Cotação Animais em dezembro</t>
        </r>
      </text>
    </comment>
    <comment ref="B17" authorId="0" shapeId="0">
      <text>
        <r>
          <rPr>
            <sz val="9"/>
            <color indexed="81"/>
            <rFont val="Tahoma"/>
            <family val="2"/>
          </rPr>
          <t>Custo obtido para os animais que geraram receita</t>
        </r>
      </text>
    </comment>
    <comment ref="N17" authorId="0" shapeId="0">
      <text>
        <r>
          <rPr>
            <sz val="12"/>
            <color indexed="81"/>
            <rFont val="Tahoma"/>
            <family val="2"/>
          </rPr>
          <t>ÁREA TOTAL DA PROPRIEDADE</t>
        </r>
      </text>
    </comment>
    <comment ref="B18" authorId="0" shapeId="0">
      <text>
        <r>
          <rPr>
            <sz val="9"/>
            <color indexed="81"/>
            <rFont val="Tahoma"/>
            <family val="2"/>
          </rPr>
          <t>Valor obtido para os animais que geraram receita</t>
        </r>
      </text>
    </comment>
    <comment ref="N18" authorId="0" shapeId="0">
      <text>
        <r>
          <rPr>
            <sz val="12"/>
            <color indexed="81"/>
            <rFont val="Tahoma"/>
            <family val="2"/>
          </rPr>
          <t>soma dos valores atuais em Investimento</t>
        </r>
      </text>
    </comment>
    <comment ref="B20" authorId="0" shapeId="0">
      <text>
        <r>
          <rPr>
            <sz val="9"/>
            <color indexed="81"/>
            <rFont val="Tahoma"/>
            <family val="2"/>
          </rPr>
          <t>Inclui o valor total dos juros referente à financiamento contratado para a atividade pecuária</t>
        </r>
      </text>
    </comment>
    <comment ref="B27" authorId="1" shapeId="0">
      <text>
        <r>
          <rPr>
            <sz val="9"/>
            <color indexed="81"/>
            <rFont val="Tahoma"/>
            <family val="2"/>
          </rPr>
          <t>Valor referente  relação entre os custos fixos e o complementar da relação entre custos variáveis e receita bruta.  Inclui o custo operacioinal.</t>
        </r>
      </text>
    </comment>
    <comment ref="B28" authorId="1" shapeId="0">
      <text>
        <r>
          <rPr>
            <sz val="9"/>
            <color indexed="81"/>
            <rFont val="Tahoma"/>
            <family val="2"/>
          </rPr>
          <t>Valor referente  relação entre os custos fixos e o complementar da relação entre custos variáveis e receita bruta.Inclui depreciação  e custo operacional.</t>
        </r>
      </text>
    </comment>
    <comment ref="B29" authorId="1" shapeId="0">
      <text>
        <r>
          <rPr>
            <sz val="9"/>
            <color indexed="81"/>
            <rFont val="Tahoma"/>
            <family val="2"/>
          </rPr>
          <t>Relação entre Lucro Operacional  e Patrimonio (Animais + Benfeitorias e Maquinários)</t>
        </r>
      </text>
    </comment>
    <comment ref="B30" authorId="1" shapeId="0">
      <text>
        <r>
          <rPr>
            <sz val="9"/>
            <color indexed="81"/>
            <rFont val="Tahoma"/>
            <family val="2"/>
          </rPr>
          <t>Relação entre Lucro Operacional  e Patrimonio (Animais + Benfeitorias e Maquinários + Terras)</t>
        </r>
      </text>
    </comment>
    <comment ref="M30" authorId="0" shapeId="0">
      <text>
        <r>
          <rPr>
            <sz val="9"/>
            <color indexed="81"/>
            <rFont val="Tahoma"/>
            <family val="2"/>
          </rPr>
          <t>Média obtida em função das as opções de rateio e distribuição do número de animais durante o ano.</t>
        </r>
      </text>
    </comment>
    <comment ref="B33" authorId="0" shapeId="0">
      <text>
        <r>
          <rPr>
            <sz val="9"/>
            <color indexed="81"/>
            <rFont val="Tahoma"/>
            <family val="2"/>
          </rPr>
          <t>Valores referentes a todos os animais do rebanho.</t>
        </r>
      </text>
    </comment>
    <comment ref="B77" authorId="0" shapeId="0">
      <text>
        <r>
          <rPr>
            <sz val="10"/>
            <color indexed="81"/>
            <rFont val="Tahoma"/>
            <family val="2"/>
          </rPr>
          <t>Aquisição de animais com exceção dos Reprodutores, que compõem o investimento.</t>
        </r>
      </text>
    </comment>
    <comment ref="J77" authorId="0" shapeId="0">
      <text>
        <r>
          <rPr>
            <sz val="9"/>
            <color indexed="81"/>
            <rFont val="Tahoma"/>
            <family val="2"/>
          </rPr>
          <t>São consideradas compras de bezerros e bezerras.</t>
        </r>
      </text>
    </comment>
    <comment ref="M77" authorId="0" shapeId="0">
      <text>
        <r>
          <rPr>
            <sz val="9"/>
            <color indexed="81"/>
            <rFont val="Tahoma"/>
            <family val="2"/>
          </rPr>
          <t>São consideradas compras de bezerros e bezerras desmamadas.</t>
        </r>
      </text>
    </comment>
    <comment ref="P77" authorId="0" shapeId="0">
      <text>
        <r>
          <rPr>
            <sz val="9"/>
            <color indexed="81"/>
            <rFont val="Tahoma"/>
            <family val="2"/>
          </rPr>
          <t>São consideradas compras de animais para terminação</t>
        </r>
      </text>
    </comment>
    <comment ref="S77" authorId="0" shapeId="0">
      <text>
        <r>
          <rPr>
            <sz val="9"/>
            <color indexed="81"/>
            <rFont val="Tahoma"/>
            <family val="2"/>
          </rPr>
          <t>São incluídas apenas as Matrizes</t>
        </r>
      </text>
    </comment>
    <comment ref="C88" authorId="0" shapeId="0">
      <text>
        <r>
          <rPr>
            <sz val="9"/>
            <color indexed="81"/>
            <rFont val="Tahoma"/>
            <family val="2"/>
          </rPr>
          <t>Remuneração do capital em animais,  partir dos valores informados em dezembro do ano corrente.</t>
        </r>
      </text>
    </comment>
    <comment ref="C95" authorId="0" shapeId="0">
      <text>
        <r>
          <rPr>
            <sz val="9"/>
            <color indexed="81"/>
            <rFont val="Tahoma"/>
            <family val="2"/>
          </rPr>
          <t>São considerados apenas os Reprodutores.</t>
        </r>
      </text>
    </comment>
  </commentList>
</comments>
</file>

<file path=xl/comments6.xml><?xml version="1.0" encoding="utf-8"?>
<comments xmlns="http://schemas.openxmlformats.org/spreadsheetml/2006/main">
  <authors>
    <author>User</author>
  </authors>
  <commentList>
    <comment ref="B13" authorId="0" shapeId="0">
      <text>
        <r>
          <rPr>
            <sz val="9"/>
            <color indexed="81"/>
            <rFont val="Tahoma"/>
            <family val="2"/>
          </rPr>
          <t xml:space="preserve">Obtida pela divisão do somatório do número de nascimentos pelo número médio de matrizes </t>
        </r>
        <r>
          <rPr>
            <b/>
            <sz val="9"/>
            <color indexed="81"/>
            <rFont val="Tahoma"/>
            <family val="2"/>
          </rPr>
          <t>NO ANO</t>
        </r>
      </text>
    </comment>
    <comment ref="B14" authorId="0" shapeId="0">
      <text>
        <r>
          <rPr>
            <sz val="9"/>
            <color indexed="81"/>
            <rFont val="Tahoma"/>
            <family val="2"/>
          </rPr>
          <t xml:space="preserve">Obtida pela divisão do número de matrizes que entraram no rebanho (por meio de compra e mudança de categoria) pelo número de matrizes no mês de </t>
        </r>
        <r>
          <rPr>
            <b/>
            <i/>
            <sz val="9"/>
            <color indexed="81"/>
            <rFont val="Tahoma"/>
            <family val="2"/>
          </rPr>
          <t>DEZEMBRO</t>
        </r>
      </text>
    </comment>
    <comment ref="B15" authorId="0" shapeId="0">
      <text>
        <r>
          <rPr>
            <sz val="9"/>
            <color indexed="81"/>
            <rFont val="Tahoma"/>
            <family val="2"/>
          </rPr>
          <t xml:space="preserve">Obtida pela divisão do número de reprodutores que entraram no rebanho (por meio de compra e mudança de categoria) pelo número de reprodutores no mês de </t>
        </r>
        <r>
          <rPr>
            <b/>
            <i/>
            <sz val="9"/>
            <color indexed="81"/>
            <rFont val="Tahoma"/>
            <family val="2"/>
          </rPr>
          <t>DEZEMBRO</t>
        </r>
      </text>
    </comment>
    <comment ref="B16" authorId="0" shapeId="0">
      <text>
        <r>
          <rPr>
            <sz val="9"/>
            <color indexed="81"/>
            <rFont val="Tahoma"/>
            <family val="2"/>
          </rPr>
          <t>Obtida pela divisão da somatória do número de animais mortos pelo numero médio de animais em cada categoria</t>
        </r>
      </text>
    </comment>
    <comment ref="B20" authorId="0" shapeId="0">
      <text>
        <r>
          <rPr>
            <sz val="9"/>
            <color indexed="81"/>
            <rFont val="Tahoma"/>
            <family val="2"/>
          </rPr>
          <t>Obtida pela divisão do número médio de Matrizes pelo número médio de Reprodutores</t>
        </r>
      </text>
    </comment>
    <comment ref="B21" authorId="0" shapeId="0">
      <text>
        <r>
          <rPr>
            <sz val="9"/>
            <color indexed="81"/>
            <rFont val="Tahoma"/>
            <family val="2"/>
          </rPr>
          <t>Obtido pelo saldo de animais entre as fases de Cria e Recria</t>
        </r>
      </text>
    </comment>
    <comment ref="B22" authorId="0" shapeId="0">
      <text>
        <r>
          <rPr>
            <sz val="9"/>
            <color indexed="81"/>
            <rFont val="Tahoma"/>
            <family val="2"/>
          </rPr>
          <t xml:space="preserve">Obtida pela divisão do número de animais desmamados pelo número médio de matrizes </t>
        </r>
      </text>
    </comment>
    <comment ref="B23" authorId="0" shapeId="0">
      <text>
        <r>
          <rPr>
            <sz val="9"/>
            <color indexed="81"/>
            <rFont val="Tahoma"/>
            <family val="2"/>
          </rPr>
          <t>Obtida pela divisão do total de kg de animais desmamados pelo número médio de matrizes e reprodutores</t>
        </r>
      </text>
    </comment>
    <comment ref="B24" authorId="0" shapeId="0">
      <text>
        <r>
          <rPr>
            <sz val="9"/>
            <color indexed="81"/>
            <rFont val="Tahoma"/>
            <family val="2"/>
          </rPr>
          <t>Quantidade em Kg de carne de animais vendidos vivos e para abate, sobre o Valor máximo de kg carne produzida no ano (considerando os animais que saíram da categoria)</t>
        </r>
      </text>
    </comment>
    <comment ref="B33" authorId="0" shapeId="0">
      <text>
        <r>
          <rPr>
            <sz val="9"/>
            <color indexed="81"/>
            <rFont val="Tahoma"/>
            <family val="2"/>
          </rPr>
          <t>área destinada ao pasto</t>
        </r>
      </text>
    </comment>
  </commentList>
</comments>
</file>

<file path=xl/sharedStrings.xml><?xml version="1.0" encoding="utf-8"?>
<sst xmlns="http://schemas.openxmlformats.org/spreadsheetml/2006/main" count="1538" uniqueCount="544">
  <si>
    <t>JAN</t>
  </si>
  <si>
    <t>FEV</t>
  </si>
  <si>
    <t>MAR</t>
  </si>
  <si>
    <t>ABR</t>
  </si>
  <si>
    <t>MAI</t>
  </si>
  <si>
    <t>JUN</t>
  </si>
  <si>
    <t>JUL</t>
  </si>
  <si>
    <t>AGO</t>
  </si>
  <si>
    <t>SET</t>
  </si>
  <si>
    <t>OUT</t>
  </si>
  <si>
    <t>NOV</t>
  </si>
  <si>
    <t>DEZ</t>
  </si>
  <si>
    <t>CRIA</t>
  </si>
  <si>
    <t>RECRIA</t>
  </si>
  <si>
    <t>TERMINAÇÃO</t>
  </si>
  <si>
    <t>Quantidade</t>
  </si>
  <si>
    <t>R$ total</t>
  </si>
  <si>
    <t>TOTAL</t>
  </si>
  <si>
    <t>DRE</t>
  </si>
  <si>
    <t>RECEITA TOTAL da atividade</t>
  </si>
  <si>
    <t>FLUXO DE CAIXA</t>
  </si>
  <si>
    <t>Fazenda</t>
  </si>
  <si>
    <t>Município</t>
  </si>
  <si>
    <t>Estado</t>
  </si>
  <si>
    <t>Sistema de produção</t>
  </si>
  <si>
    <t>MORTES</t>
  </si>
  <si>
    <t>NASCIMENTOS</t>
  </si>
  <si>
    <t>INVENTÁRIO DE ANIMAIS</t>
  </si>
  <si>
    <t>Jan</t>
  </si>
  <si>
    <t>Fev</t>
  </si>
  <si>
    <t>Mar</t>
  </si>
  <si>
    <t>Abr</t>
  </si>
  <si>
    <t>Mai</t>
  </si>
  <si>
    <t>Jun</t>
  </si>
  <si>
    <t>Jul</t>
  </si>
  <si>
    <t>Ago</t>
  </si>
  <si>
    <t>Set</t>
  </si>
  <si>
    <t>Out</t>
  </si>
  <si>
    <t>Nov</t>
  </si>
  <si>
    <t>Dez</t>
  </si>
  <si>
    <t>Custos %</t>
  </si>
  <si>
    <t>Total (R$)</t>
  </si>
  <si>
    <t>Rateio por categoria</t>
  </si>
  <si>
    <t>Categorias</t>
  </si>
  <si>
    <t>unidade</t>
  </si>
  <si>
    <t>Mão-de-obra permanente</t>
  </si>
  <si>
    <t>Mão de Obra</t>
  </si>
  <si>
    <t>R$</t>
  </si>
  <si>
    <t>Mão-de-obra temporária</t>
  </si>
  <si>
    <t>Encargos sociais</t>
  </si>
  <si>
    <t>Serviços de terceiros</t>
  </si>
  <si>
    <t>Serviços Terceirizados</t>
  </si>
  <si>
    <t>Grãos</t>
  </si>
  <si>
    <t>Alimentação</t>
  </si>
  <si>
    <t>Farelos</t>
  </si>
  <si>
    <t>Aditivos</t>
  </si>
  <si>
    <t>Capineira</t>
  </si>
  <si>
    <t>Pastagens</t>
  </si>
  <si>
    <t>Fenos</t>
  </si>
  <si>
    <t>Silagens</t>
  </si>
  <si>
    <t>Núcleos</t>
  </si>
  <si>
    <t>Suplementos</t>
  </si>
  <si>
    <t>Uréia</t>
  </si>
  <si>
    <t>Minerais</t>
  </si>
  <si>
    <t>Calcário</t>
  </si>
  <si>
    <t>Manutenção de Forragem</t>
  </si>
  <si>
    <t>Adubos</t>
  </si>
  <si>
    <t>Defensivos</t>
  </si>
  <si>
    <t>Sementes e mudas</t>
  </si>
  <si>
    <t>Sêmen</t>
  </si>
  <si>
    <t>Reprodução</t>
  </si>
  <si>
    <t>Material para inseminação</t>
  </si>
  <si>
    <t>Medicamentos preventivos</t>
  </si>
  <si>
    <t>Sanidade</t>
  </si>
  <si>
    <t>Medicamentos curativos</t>
  </si>
  <si>
    <t>Exames sanitários</t>
  </si>
  <si>
    <t>Ferramentas e utensílios</t>
  </si>
  <si>
    <t>Manutenção de Máquinas e Instalações</t>
  </si>
  <si>
    <t>Combustíveis</t>
  </si>
  <si>
    <t>Combustível e Energia</t>
  </si>
  <si>
    <t>Mecanização terceirizada</t>
  </si>
  <si>
    <t>Manutenção de máquinas</t>
  </si>
  <si>
    <t>Manutenção de instalações</t>
  </si>
  <si>
    <t>Energia elétrica</t>
  </si>
  <si>
    <t>Seguros</t>
  </si>
  <si>
    <t>Tarifas e Impostos</t>
  </si>
  <si>
    <t>GTA</t>
  </si>
  <si>
    <t>ICMS</t>
  </si>
  <si>
    <t>Outros</t>
  </si>
  <si>
    <t>Subtotal Variáveis</t>
  </si>
  <si>
    <t>Contribuições a associações</t>
  </si>
  <si>
    <t>ITR</t>
  </si>
  <si>
    <t>IPVA</t>
  </si>
  <si>
    <t>Sindicato Rural</t>
  </si>
  <si>
    <t>CNA/Contag</t>
  </si>
  <si>
    <t>Contador</t>
  </si>
  <si>
    <t>Administrativo</t>
  </si>
  <si>
    <t>Telefone</t>
  </si>
  <si>
    <t>Mão de obra da sede</t>
  </si>
  <si>
    <t>Subtotal Fixos</t>
  </si>
  <si>
    <t>B) Custos Fixos</t>
  </si>
  <si>
    <t>A) Custos variáveis</t>
  </si>
  <si>
    <t>Terminação</t>
  </si>
  <si>
    <t>Recria</t>
  </si>
  <si>
    <t>Cria</t>
  </si>
  <si>
    <t>MATRIZES</t>
  </si>
  <si>
    <t>REPRODUTORES</t>
  </si>
  <si>
    <t>-</t>
  </si>
  <si>
    <t>CATEGORIAS</t>
  </si>
  <si>
    <t>Machos</t>
  </si>
  <si>
    <t>Fêmeas</t>
  </si>
  <si>
    <t xml:space="preserve">Quantidade </t>
  </si>
  <si>
    <t>Peso médio (kg)</t>
  </si>
  <si>
    <t>Preço médio (R$)</t>
  </si>
  <si>
    <t>Valor da terra (R$/ha)</t>
  </si>
  <si>
    <t>Área total da propriedade (ha)</t>
  </si>
  <si>
    <t>Área de pasto (ha)</t>
  </si>
  <si>
    <t>Área de reserva (ha)</t>
  </si>
  <si>
    <t>Outros (ha)</t>
  </si>
  <si>
    <t>OUTROS</t>
  </si>
  <si>
    <t>Ano</t>
  </si>
  <si>
    <t>CRIA (Bezerros)</t>
  </si>
  <si>
    <t>Proprietário</t>
  </si>
  <si>
    <t>Matrizes e Reprodutores</t>
  </si>
  <si>
    <t>CUSTOS</t>
  </si>
  <si>
    <t>RECEITAS</t>
  </si>
  <si>
    <t>Taxa de Juros Anual</t>
  </si>
  <si>
    <t>Recria e Engorda</t>
  </si>
  <si>
    <t>Terminação e Abate</t>
  </si>
  <si>
    <t>Sub Totais</t>
  </si>
  <si>
    <t>%</t>
  </si>
  <si>
    <t>Valor anual (R$)</t>
  </si>
  <si>
    <t>Total Animais</t>
  </si>
  <si>
    <t>Total Forrageiras</t>
  </si>
  <si>
    <t>Total</t>
  </si>
  <si>
    <t xml:space="preserve">REPRODUTORES </t>
  </si>
  <si>
    <t>Item</t>
  </si>
  <si>
    <t>Ano de nascimento</t>
  </si>
  <si>
    <t>vida útil   (anos)</t>
  </si>
  <si>
    <t>número de animais</t>
  </si>
  <si>
    <t>Peso Vivo Médio (Kg)</t>
  </si>
  <si>
    <t>Rendimento de carcaça (%)</t>
  </si>
  <si>
    <t>Cotação da @ em dezembro (R$)</t>
  </si>
  <si>
    <t>Valor Residual / cabeça (R$)</t>
  </si>
  <si>
    <t>Touros nascidos em</t>
  </si>
  <si>
    <t>Touros</t>
  </si>
  <si>
    <t>Ano de formação</t>
  </si>
  <si>
    <t>vida útil (anos)</t>
  </si>
  <si>
    <t>Área (ha)</t>
  </si>
  <si>
    <t>Pasto 3</t>
  </si>
  <si>
    <t>Pasto 4</t>
  </si>
  <si>
    <t>Pasto 5</t>
  </si>
  <si>
    <t>Pasto 6</t>
  </si>
  <si>
    <t>Capineira 1</t>
  </si>
  <si>
    <t>Capineira 2</t>
  </si>
  <si>
    <t>Capineira 3</t>
  </si>
  <si>
    <t>Cana 1</t>
  </si>
  <si>
    <t>Cana 2</t>
  </si>
  <si>
    <t>Cana 3</t>
  </si>
  <si>
    <t>Outros 1</t>
  </si>
  <si>
    <t>Outros 2</t>
  </si>
  <si>
    <t>Outros 3</t>
  </si>
  <si>
    <t>Ano de aquisição</t>
  </si>
  <si>
    <t>Rateio para a atividade (%)</t>
  </si>
  <si>
    <t>Valor Residual (%)</t>
  </si>
  <si>
    <t>Valor anual(R$)</t>
  </si>
  <si>
    <t>FORRAGEIRAS</t>
  </si>
  <si>
    <t>BENFEITORIAS</t>
  </si>
  <si>
    <t>IMPLEMENTOS</t>
  </si>
  <si>
    <t>MÁQUINAS E EQUIPAMENTOS</t>
  </si>
  <si>
    <t>VENDAS</t>
  </si>
  <si>
    <t>F</t>
  </si>
  <si>
    <t>M</t>
  </si>
  <si>
    <t>INVENTARIO</t>
  </si>
  <si>
    <t>REPRODUTORES E MATRIZES</t>
  </si>
  <si>
    <t>T</t>
  </si>
  <si>
    <t>MÉDIA</t>
  </si>
  <si>
    <t>CUSTO/CAB INVENTARIO</t>
  </si>
  <si>
    <t>ACUMULADO</t>
  </si>
  <si>
    <t>SOMA 1</t>
  </si>
  <si>
    <t>SOMA 2</t>
  </si>
  <si>
    <t>PAGO</t>
  </si>
  <si>
    <t>PAGO ACUMULADO</t>
  </si>
  <si>
    <t>n meses s/ animal</t>
  </si>
  <si>
    <t>quem paga a conta</t>
  </si>
  <si>
    <t>quem paga o prejuízo anterior</t>
  </si>
  <si>
    <t>prejuízo</t>
  </si>
  <si>
    <t>CUSTO MENSAL</t>
  </si>
  <si>
    <t>FINAL</t>
  </si>
  <si>
    <t>ALOCANDO O CUSTO FINAL PARA O ÚLTIMO MÊS QUE TEM ANIMAIS</t>
  </si>
  <si>
    <t>CUSTO POR ANIMAL DEZEMBRO</t>
  </si>
  <si>
    <t>CUSTO POR ANIMAL MÉDIO</t>
  </si>
  <si>
    <t>MÉDIA SIMPLES</t>
  </si>
  <si>
    <t>RECEITA/CAB INVENTARIO</t>
  </si>
  <si>
    <t>CRIA REBANHO</t>
  </si>
  <si>
    <t>CRIA VENDAS</t>
  </si>
  <si>
    <t>RECRIA REBANHO</t>
  </si>
  <si>
    <t>TERMINAÇÃO REBANHO</t>
  </si>
  <si>
    <t>RECRIA VENDAS</t>
  </si>
  <si>
    <t>TERMINAÇÃO VENDAS</t>
  </si>
  <si>
    <t>ABATE</t>
  </si>
  <si>
    <t>MR</t>
  </si>
  <si>
    <t>MÊS</t>
  </si>
  <si>
    <t>N Animais</t>
  </si>
  <si>
    <t>CRIA OUTROS</t>
  </si>
  <si>
    <t>CRIA RECEITAS</t>
  </si>
  <si>
    <t>SOMA</t>
  </si>
  <si>
    <t>TOTAL RECEITAS</t>
  </si>
  <si>
    <t>RECRIA OUTROS</t>
  </si>
  <si>
    <t>RECRIA RECEITAS</t>
  </si>
  <si>
    <t>RM REBANHO</t>
  </si>
  <si>
    <t>TERMINAÇÃO ABATE</t>
  </si>
  <si>
    <t>TERMINAÇÃO OUTROS</t>
  </si>
  <si>
    <t>TERMINAÇÃO RECEITAS</t>
  </si>
  <si>
    <t>RM VENDAS</t>
  </si>
  <si>
    <t>RM ABATES</t>
  </si>
  <si>
    <t>RM OUTROS</t>
  </si>
  <si>
    <t>RM RECEITAS</t>
  </si>
  <si>
    <t>custo/ n médio de animais</t>
  </si>
  <si>
    <t>custo/n de animais</t>
  </si>
  <si>
    <t>custo/n animias com compensação</t>
  </si>
  <si>
    <t>PREJUÍZO PARA CATEGORIA  NA SAFRA SEGUINTE...</t>
  </si>
  <si>
    <t>Média Mensal/cab</t>
  </si>
  <si>
    <t>C) Subtotal A + B</t>
  </si>
  <si>
    <t>saldo-vida útil (anos)</t>
  </si>
  <si>
    <t>CRIA (Bezerros e Bezerras)</t>
  </si>
  <si>
    <t>Valor Médio /cab (R$)</t>
  </si>
  <si>
    <t>Valor  Total   (R$)</t>
  </si>
  <si>
    <t>COMPRA DE ANIMAIS</t>
  </si>
  <si>
    <t>CÁLCULO DO VALOR DA DEPRECIAÇÃO</t>
  </si>
  <si>
    <t>CUSTO RECEITA VENDA</t>
  </si>
  <si>
    <t>CUSTO RECEITA OUTROS</t>
  </si>
  <si>
    <t>CUSTO SOMA RECEITAS</t>
  </si>
  <si>
    <t>CUSTO REBANHO</t>
  </si>
  <si>
    <t>CUSTO RECEITA ABATE</t>
  </si>
  <si>
    <t>OUTRAS RECEITAS</t>
  </si>
  <si>
    <t>Categoria</t>
  </si>
  <si>
    <t>MATRIZES E REPRODUTORES</t>
  </si>
  <si>
    <t>LUCRO LÍQUIDO DA ATIVIDADE</t>
  </si>
  <si>
    <t>DEPRECIAÇÃO</t>
  </si>
  <si>
    <t>Total Benfentorias</t>
  </si>
  <si>
    <t>Total Implementos</t>
  </si>
  <si>
    <t>Total Máquinas</t>
  </si>
  <si>
    <t>Total Outros</t>
  </si>
  <si>
    <t>valor anual (R$)</t>
  </si>
  <si>
    <t>Aquisição de Animais</t>
  </si>
  <si>
    <t>Animais</t>
  </si>
  <si>
    <t>Depreciação</t>
  </si>
  <si>
    <t>total</t>
  </si>
  <si>
    <t>UA</t>
  </si>
  <si>
    <t>CUSTO TOTAL</t>
  </si>
  <si>
    <t>CUSTO MÉDIO MENSAL</t>
  </si>
  <si>
    <t>N ANIMAIS MÉDIO</t>
  </si>
  <si>
    <t>MÉDIA*</t>
  </si>
  <si>
    <t>Média Pond. de Animais</t>
  </si>
  <si>
    <t>PATRIMÔNIO</t>
  </si>
  <si>
    <t>Terra</t>
  </si>
  <si>
    <t>GASTOS COM INVESTIMENTO</t>
  </si>
  <si>
    <t>ANIMAIS</t>
  </si>
  <si>
    <t>MÁQUINAS</t>
  </si>
  <si>
    <t>data de aquisição</t>
  </si>
  <si>
    <t>data de formação</t>
  </si>
  <si>
    <t>OCULTAR!!!!</t>
  </si>
  <si>
    <t>RECEITA BRUTA (RB)</t>
  </si>
  <si>
    <t>% do Total</t>
  </si>
  <si>
    <t>Receita / ha (R$)</t>
  </si>
  <si>
    <t>Venda de Animais</t>
  </si>
  <si>
    <t>Abate de animais</t>
  </si>
  <si>
    <t>CUSTOS DE PRODUÇÃO</t>
  </si>
  <si>
    <t>CUSTO OPERACIONAL EFETIVO (COE)</t>
  </si>
  <si>
    <t>Total / ha (R$)</t>
  </si>
  <si>
    <t>Custos Variáveis (1)</t>
  </si>
  <si>
    <t>Custos Fixos (2)</t>
  </si>
  <si>
    <t>Aquisição de animais (3)</t>
  </si>
  <si>
    <t>Custos Variáveis (1 + 3)</t>
  </si>
  <si>
    <t>Total COE (1 + 2 + 3)</t>
  </si>
  <si>
    <t>CUSTO OPERACIONAL TOTAL (COT)</t>
  </si>
  <si>
    <t>Depreciação/Exaustão (4)</t>
  </si>
  <si>
    <t>Total COT (1 + 2 + 3 + 4)</t>
  </si>
  <si>
    <t>CUSTO TOTAL (CT)</t>
  </si>
  <si>
    <t>COT</t>
  </si>
  <si>
    <t>Remuneração do Proprietário</t>
  </si>
  <si>
    <t>Gastos com Investimento</t>
  </si>
  <si>
    <t>Forrageiras (Formação)</t>
  </si>
  <si>
    <t>Instalações e benfeitorias</t>
  </si>
  <si>
    <t>Outros Investimentos</t>
  </si>
  <si>
    <t>Taxa de Juros Anual (%)</t>
  </si>
  <si>
    <t>Forrageiras</t>
  </si>
  <si>
    <t>Benfeitorias</t>
  </si>
  <si>
    <t>Implementos</t>
  </si>
  <si>
    <t>Máquinas e Equipamentos</t>
  </si>
  <si>
    <t>Implementos , Máquinas e equipamentos</t>
  </si>
  <si>
    <t>PONTO DE EQUILÍBRIO (CF)/(1-(CV/RB ))</t>
  </si>
  <si>
    <t>BEZERROS</t>
  </si>
  <si>
    <t>COE</t>
  </si>
  <si>
    <t>R$/cab</t>
  </si>
  <si>
    <t>CT</t>
  </si>
  <si>
    <t>cab</t>
  </si>
  <si>
    <t>Quantidade Total</t>
  </si>
  <si>
    <t>Touros nascidos até</t>
  </si>
  <si>
    <t>saldo vida útil   (anos)</t>
  </si>
  <si>
    <t>Valor de Mercado  / cab (R$)</t>
  </si>
  <si>
    <t>Total de animais</t>
  </si>
  <si>
    <t>cria</t>
  </si>
  <si>
    <t>recria</t>
  </si>
  <si>
    <t>entradas</t>
  </si>
  <si>
    <t>saidas</t>
  </si>
  <si>
    <t>terminação</t>
  </si>
  <si>
    <t>mr</t>
  </si>
  <si>
    <t>acumulado total</t>
  </si>
  <si>
    <t>Verificação do rebanho</t>
  </si>
  <si>
    <t>Valores médios de UA*</t>
  </si>
  <si>
    <t>* Média ponderada</t>
  </si>
  <si>
    <t>Distribuição média de UA por Categoria</t>
  </si>
  <si>
    <t>% UA</t>
  </si>
  <si>
    <t>Taxa de natalidade (%)</t>
  </si>
  <si>
    <t>INDICADORES ZOOTÉCNICOS</t>
  </si>
  <si>
    <t>Taxa de mortalidade - CRIA (%)</t>
  </si>
  <si>
    <t>Taxa de mortalidade - RECRIA (%)</t>
  </si>
  <si>
    <t>Taxa de mortalidade - TERMINAÇÃO (%)</t>
  </si>
  <si>
    <t>Taxa de mortalidade - MATRIZES E REPRODUTORES (%)</t>
  </si>
  <si>
    <t>Média Anual - Relação Vaca:Touro</t>
  </si>
  <si>
    <t>UA / ha útil</t>
  </si>
  <si>
    <t xml:space="preserve">inventário </t>
  </si>
  <si>
    <t>matrizes</t>
  </si>
  <si>
    <t>compras</t>
  </si>
  <si>
    <t>vendas</t>
  </si>
  <si>
    <t>mortes</t>
  </si>
  <si>
    <t>mudança de cat</t>
  </si>
  <si>
    <t>saldo sem mudança de categoria</t>
  </si>
  <si>
    <t>Taxa de reposição touros (%)</t>
  </si>
  <si>
    <t>Taxa de reposição matrizes (%)</t>
  </si>
  <si>
    <t>touros</t>
  </si>
  <si>
    <t>cria (verifica desmame)</t>
  </si>
  <si>
    <t>nascimentos</t>
  </si>
  <si>
    <t>num de desmamados</t>
  </si>
  <si>
    <t>num de anim para terminação</t>
  </si>
  <si>
    <t>desmamados</t>
  </si>
  <si>
    <t>num de anim para reprodutores</t>
  </si>
  <si>
    <t>Número de animais desmamados</t>
  </si>
  <si>
    <t>Taxa de desmame (%)</t>
  </si>
  <si>
    <t>kg bezerros</t>
  </si>
  <si>
    <t>kg bez desmamados</t>
  </si>
  <si>
    <t>Kg bez desmamados / (matrizes + reprodutores) (kg)</t>
  </si>
  <si>
    <t>abates</t>
  </si>
  <si>
    <t>Desfrute ponderado  (kg de carne vendida/kg estoque)</t>
  </si>
  <si>
    <t>kg matrizes</t>
  </si>
  <si>
    <t>kg touros</t>
  </si>
  <si>
    <t>kg recria</t>
  </si>
  <si>
    <t>kg terminação</t>
  </si>
  <si>
    <t>kg abatidos</t>
  </si>
  <si>
    <t>Maior kg</t>
  </si>
  <si>
    <t>kg vendidos</t>
  </si>
  <si>
    <t>kg mortes</t>
  </si>
  <si>
    <t>kg mudança</t>
  </si>
  <si>
    <t>kg total saídas</t>
  </si>
  <si>
    <t>kg saídas acumulado</t>
  </si>
  <si>
    <t>kg bezerros rebanho</t>
  </si>
  <si>
    <t>kg terminação rebanho</t>
  </si>
  <si>
    <t>kg touros rebanho</t>
  </si>
  <si>
    <t>kg matrizes rebanho</t>
  </si>
  <si>
    <t>kg recria rebanho</t>
  </si>
  <si>
    <t>total reposições</t>
  </si>
  <si>
    <t>Kg de carne prod / ha / ano (kg)</t>
  </si>
  <si>
    <t>kg total saídas - mudancas</t>
  </si>
  <si>
    <t>kg saídas acumulado - mudancas</t>
  </si>
  <si>
    <t>Maior kg - mudanças</t>
  </si>
  <si>
    <t>VENDAS DE ANIMAIS VIVOS</t>
  </si>
  <si>
    <t>VENDA DE ANIMAIS PARA ABATE</t>
  </si>
  <si>
    <t>COMPRAS</t>
  </si>
  <si>
    <t>Mão de obra administrativa</t>
  </si>
  <si>
    <t>FUNRURAL</t>
  </si>
  <si>
    <t>valor de aquisição médio por animal (R$)</t>
  </si>
  <si>
    <t>Cálculo do valor residual de revenda dos reprodutores</t>
  </si>
  <si>
    <t>valor residual de revenda (R$)</t>
  </si>
  <si>
    <t>valor de depreciação anual (R$)</t>
  </si>
  <si>
    <t>Valor Atual para fins de PATRIMÔNIO (R$)</t>
  </si>
  <si>
    <t>Valor Inicial (R$)</t>
  </si>
  <si>
    <t>Valor Residual (R$)</t>
  </si>
  <si>
    <t>Valor de Depreciação Anual (R$)</t>
  </si>
  <si>
    <t>(+) VENDAS DE ATIVOS</t>
  </si>
  <si>
    <t>(=) GERAÇÃO DE CAIXA NO MÊS</t>
  </si>
  <si>
    <t>(=) FLUXO LÍQUIDO DE CAIXA ACUMULADO</t>
  </si>
  <si>
    <t>(-) depreciação</t>
  </si>
  <si>
    <t>(=) Lucro bruto</t>
  </si>
  <si>
    <t>(=) Lucro líquido da atividade</t>
  </si>
  <si>
    <t>(-) GASTOS COM INVESTIMENTO</t>
  </si>
  <si>
    <t>(+) RECURSO PRÓPRIO</t>
  </si>
  <si>
    <t>(-) GASTOS NÃO OPERACIONAIS</t>
  </si>
  <si>
    <t>(+) EMPRÉSTIMOS E FINANCIAMENTOS</t>
  </si>
  <si>
    <t>(-) AMORTIZAÇÃO DO PRINCIPAL FINANCIADO</t>
  </si>
  <si>
    <t>OUTRAS ENTRADAS</t>
  </si>
  <si>
    <t>JUROS SOBRE EMPRÉSTIMOS E FINANCIAMENTOS</t>
  </si>
  <si>
    <t>OUTRAS SAÍDAS</t>
  </si>
  <si>
    <t>Rentabilidade Operacional (%)</t>
  </si>
  <si>
    <t>AMORTIZAÇÃO DO PRINCIPAL FINANCIADO</t>
  </si>
  <si>
    <t>GASTOS NÃO OPERACIONAIS</t>
  </si>
  <si>
    <t>INDICADORES</t>
  </si>
  <si>
    <t>(-) Custo Operacional Efetivo - COE</t>
  </si>
  <si>
    <t>Total CT</t>
  </si>
  <si>
    <t>DETALHAMENTO DA DRE E FLUXO DE CAIXA</t>
  </si>
  <si>
    <t>D) Subtotal OUTRAS SAÍDAS</t>
  </si>
  <si>
    <t>TOTAL RECEITAS (R$)</t>
  </si>
  <si>
    <t>TOTAL OUTRAS RECEITAS (R$)</t>
  </si>
  <si>
    <t>TOTAL OUTRAS ENTRADAS (R$)</t>
  </si>
  <si>
    <t>EMPRÉSTIMOS E FINANCIAMENTOS (R$)</t>
  </si>
  <si>
    <t>RECURSOS PRÓPRIOS (R$)</t>
  </si>
  <si>
    <t>VENDAS DE ATIVOS (R$)</t>
  </si>
  <si>
    <t>CV/RB</t>
  </si>
  <si>
    <t>1- (CV/RB)</t>
  </si>
  <si>
    <t>Benf. e Máquinas</t>
  </si>
  <si>
    <t>Aquisição de animais</t>
  </si>
  <si>
    <t>* sem aquisição de animais</t>
  </si>
  <si>
    <t>Módulo - GESTÃO</t>
  </si>
  <si>
    <t>- Controle do Inventário de Animais da Propriedade;</t>
  </si>
  <si>
    <t>- Valor de mercado dos animais, para fins de iInventário;</t>
  </si>
  <si>
    <t>- Nascimentos e Morte de animais.</t>
  </si>
  <si>
    <t>Planilha REBANHO</t>
  </si>
  <si>
    <t>Planilha ENTRADAS</t>
  </si>
  <si>
    <t>- Recursos obtidos com Receitas geradas a partir da venda de animais vivos, abate de animais e outras receitas obtidas relativas ao sistema produtivo;</t>
  </si>
  <si>
    <t>- Outras entradas de recurso obtidas com outras fontes.</t>
  </si>
  <si>
    <t>Planilha INVESTIMENTOS</t>
  </si>
  <si>
    <t>- Informações de Reprodutores, Formação de forrageiras, Bens, Máquinas e Implementos;</t>
  </si>
  <si>
    <t>Planilha SAÍDAS</t>
  </si>
  <si>
    <t>- Controle de Gastos com Compra de Animais;</t>
  </si>
  <si>
    <t>- Controle de Custos;</t>
  </si>
  <si>
    <t>- Outras saídas de recursos não relativas ao sistema de produção.</t>
  </si>
  <si>
    <t>Planilha RESULTADOS FINANCEIROS</t>
  </si>
  <si>
    <t xml:space="preserve"> - Indicadores;</t>
  </si>
  <si>
    <t>Dezembro - 2014</t>
  </si>
  <si>
    <t>BIFEQUALITT_GESTAO_2</t>
  </si>
  <si>
    <t xml:space="preserve">     Gostaríamos de agradecer a todos os colaboradores, além da equipe do Programa "Balde Cheio", pela disponibilização do material de suporte para o desenvolvimento destas planilhas.</t>
  </si>
  <si>
    <t>Planilha ÍNDICES ZOOTÉCNICOS</t>
  </si>
  <si>
    <t>- Índices Zootécnicos relacionados à gestão financeira da atividade pecuária.</t>
  </si>
  <si>
    <t xml:space="preserve"> - Resumo do Demonstrativo de Resultado do Exercício (DRE);</t>
  </si>
  <si>
    <t xml:space="preserve"> - Detalhamento do DRE e Fluxo de Caixa;</t>
  </si>
  <si>
    <t>Valor de Exaustão Anual (R$)</t>
  </si>
  <si>
    <t xml:space="preserve">   As instruções para uso das planilhas estão detalhadas no manual em formato pdf, disponibilizado em conjunto. O uso e alteração de informações contidas nestas planilhas serão permitidas apenas nos campos definidos com bordas e fundo branco. Os demais campos coloridos não poderão ser alterados, pois apresentam fórmulas e conexões entre os arquivos.</t>
  </si>
  <si>
    <t>TODOS</t>
  </si>
  <si>
    <t>total REBANHO</t>
  </si>
  <si>
    <t>total VENDAS</t>
  </si>
  <si>
    <t>total ABATES</t>
  </si>
  <si>
    <t>total OUTROS</t>
  </si>
  <si>
    <t>total RECEITAS</t>
  </si>
  <si>
    <t>SOMA1</t>
  </si>
  <si>
    <t>REBANHO</t>
  </si>
  <si>
    <t>term</t>
  </si>
  <si>
    <t>SIM</t>
  </si>
  <si>
    <t>NÃO</t>
  </si>
  <si>
    <t xml:space="preserve">     Este arquivo foi desenvolvido, como ferramenta do Módulo de Gestão, do Programa Bifequali de Transferência de Tecnologias,  para auxiliar no controle de receitas e custos, na pecuária de corte. Os resultados obtidos podem ser analisados considerando o sistema produtivo com o ciclo completo da pecuária, ou segmentado em quatro categorias: Matrizes e Reprodutores; Cria; Recria e Engorda; Terminação.</t>
  </si>
  <si>
    <t>- Cálculo de  Depreciação e Exaustão dos ítens de Investimento</t>
  </si>
  <si>
    <t xml:space="preserve"> - Custo médio geral, por categoria e por número de animais.</t>
  </si>
  <si>
    <t>(-) CUSTO DOS ANIMAIS QUE NÃO GERARAM RECEITA</t>
  </si>
  <si>
    <t>Remuneração do capital investido em Terra</t>
  </si>
  <si>
    <t xml:space="preserve">Remuneração do capital investido em outros bens de produção  </t>
  </si>
  <si>
    <t>Remuneração do capital investido em animais</t>
  </si>
  <si>
    <t>(-) juros de financiamento para pecuária*</t>
  </si>
  <si>
    <t>* Valor total pago</t>
  </si>
  <si>
    <t>(+) DEPRECIAÇÃO*</t>
  </si>
  <si>
    <t>*Valor atribuído aos animais que geraram receita</t>
  </si>
  <si>
    <t>Analise de  solo</t>
  </si>
  <si>
    <t>geral</t>
  </si>
  <si>
    <t>Total / cab (R$)</t>
  </si>
  <si>
    <t>Total / @ (R$)</t>
  </si>
  <si>
    <t>@</t>
  </si>
  <si>
    <t>R$ / @</t>
  </si>
  <si>
    <t>Peso Médio (kg)</t>
  </si>
  <si>
    <t>Custo no ano de</t>
  </si>
  <si>
    <t>CUSTO MÉDIO ANUAL POR</t>
  </si>
  <si>
    <t>ANIMAL</t>
  </si>
  <si>
    <t>PESO EM ARROBAS</t>
  </si>
  <si>
    <t>Soma das %</t>
  </si>
  <si>
    <t>TOTAL Animais</t>
  </si>
  <si>
    <t>Média</t>
  </si>
  <si>
    <t>Meses</t>
  </si>
  <si>
    <t>TOTAL @</t>
  </si>
  <si>
    <t>Kg</t>
  </si>
  <si>
    <t>alq</t>
  </si>
  <si>
    <t>Conversor de Pesos e Medidas</t>
  </si>
  <si>
    <t>animais</t>
  </si>
  <si>
    <t>Receita por @</t>
  </si>
  <si>
    <t>CUSTO/arroba INVENTARIO</t>
  </si>
  <si>
    <t>N arrobas MÉDIO</t>
  </si>
  <si>
    <t>Média Pond. de Peso (@)</t>
  </si>
  <si>
    <t>@ no Rebanho</t>
  </si>
  <si>
    <t>Ponto de Equilíbrio Financeiro (@)</t>
  </si>
  <si>
    <t>Ponto de Equilíbrio Contábil (@)</t>
  </si>
  <si>
    <t>Peso (Kg)</t>
  </si>
  <si>
    <t>N * P /15,689</t>
  </si>
  <si>
    <t>Peso Médio (Kg)</t>
  </si>
  <si>
    <t>ha</t>
  </si>
  <si>
    <t>custo fixo</t>
  </si>
  <si>
    <t>custos variáveis</t>
  </si>
  <si>
    <t>depreciaçao</t>
  </si>
  <si>
    <t>RECEITA</t>
  </si>
  <si>
    <t>CF/1- (CV/RB)</t>
  </si>
  <si>
    <t>(CF+DEPRECIAÇÃO)/1- (CV/RB)</t>
  </si>
  <si>
    <t xml:space="preserve">Animais </t>
  </si>
  <si>
    <t>x</t>
  </si>
  <si>
    <t>Rentabilidade Operacional* (%)</t>
  </si>
  <si>
    <t>* não considera Terra</t>
  </si>
  <si>
    <t xml:space="preserve">CUSTO (COE) A SER ATRIBUÍDO EM </t>
  </si>
  <si>
    <t>Bonanza</t>
  </si>
  <si>
    <t>Quatá</t>
  </si>
  <si>
    <t>SP</t>
  </si>
  <si>
    <t>Marcelo Delchiaro</t>
  </si>
  <si>
    <t>Rotacionado - Adubado</t>
  </si>
  <si>
    <t>Pastagem</t>
  </si>
  <si>
    <t>cobertura para implem.</t>
  </si>
  <si>
    <t>curral</t>
  </si>
  <si>
    <t>mangueira - centro man</t>
  </si>
  <si>
    <t>casa 1 - peao</t>
  </si>
  <si>
    <t>casa 2 - peao</t>
  </si>
  <si>
    <t>casa sede</t>
  </si>
  <si>
    <t>roçadeira trator</t>
  </si>
  <si>
    <t>pulverizador - trator</t>
  </si>
  <si>
    <t>adubadeira lanço</t>
  </si>
  <si>
    <t>concha traseira</t>
  </si>
  <si>
    <t>carreta 6ton. 4 rodas</t>
  </si>
  <si>
    <t>trator mf 5310</t>
  </si>
  <si>
    <t>picador/moedor nog.</t>
  </si>
  <si>
    <t>bomba d´agua eletrica</t>
  </si>
  <si>
    <t>bomba d´agua roda</t>
  </si>
  <si>
    <t>Milheto</t>
  </si>
  <si>
    <t>jan</t>
  </si>
  <si>
    <t>fev</t>
  </si>
  <si>
    <t>mar</t>
  </si>
  <si>
    <t>abr</t>
  </si>
  <si>
    <t>maio</t>
  </si>
  <si>
    <t>ConsultAgro</t>
  </si>
  <si>
    <t>Consultoria</t>
  </si>
  <si>
    <t>Diárias</t>
  </si>
  <si>
    <t>Consultor</t>
  </si>
  <si>
    <t>Despesas com viajens Consultor</t>
  </si>
  <si>
    <t>Comissão venda touros</t>
  </si>
  <si>
    <t>Cassio</t>
  </si>
  <si>
    <t>Material Sede</t>
  </si>
  <si>
    <t>material limpeza, vidro</t>
  </si>
  <si>
    <t>Eutrat</t>
  </si>
  <si>
    <t>madeiras manutencao</t>
  </si>
  <si>
    <t>Cambio trator</t>
  </si>
  <si>
    <t>Plaina</t>
  </si>
  <si>
    <t>frete</t>
  </si>
  <si>
    <t>Parceria em Confinamento Chaparral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</si>
</sst>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0.00_ ;\-#,##0.00\ "/>
    <numFmt numFmtId="165" formatCode="#,##0_ ;\-#,##0\ "/>
    <numFmt numFmtId="166" formatCode="0.0%"/>
    <numFmt numFmtId="167" formatCode="_(&quot;R$&quot;\ * #,##0.00_);_(&quot;R$&quot;\ * \(#,##0.00\);_(&quot;R$&quot;\ * &quot;-&quot;??_);_(@_)"/>
    <numFmt numFmtId="168" formatCode="_(* #,##0.00_);_(* \(#,##0.00\);_(* &quot;-&quot;??_);_(@_)"/>
    <numFmt numFmtId="169" formatCode="#,##0.000000"/>
    <numFmt numFmtId="170" formatCode="#,##0.00_ ;[Red]\-#,##0.00\ "/>
    <numFmt numFmtId="171" formatCode="0.0"/>
    <numFmt numFmtId="172" formatCode="#,##0.0"/>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i/>
      <sz val="11"/>
      <color theme="1"/>
      <name val="Calibri"/>
      <family val="2"/>
      <scheme val="minor"/>
    </font>
    <font>
      <sz val="11"/>
      <color theme="0"/>
      <name val="Calibri"/>
      <family val="2"/>
      <scheme val="minor"/>
    </font>
    <font>
      <sz val="11"/>
      <color theme="1" tint="0.499984740745262"/>
      <name val="Calibri"/>
      <family val="2"/>
      <scheme val="minor"/>
    </font>
    <font>
      <sz val="11"/>
      <name val="Calibri"/>
      <family val="2"/>
      <scheme val="minor"/>
    </font>
    <font>
      <b/>
      <i/>
      <sz val="11"/>
      <name val="Calibri"/>
      <family val="2"/>
      <scheme val="minor"/>
    </font>
    <font>
      <b/>
      <i/>
      <sz val="11"/>
      <color theme="4" tint="-0.249977111117893"/>
      <name val="Calibri"/>
      <family val="2"/>
      <scheme val="minor"/>
    </font>
    <font>
      <b/>
      <sz val="16"/>
      <color theme="1"/>
      <name val="Calibri"/>
      <family val="2"/>
      <scheme val="minor"/>
    </font>
    <font>
      <b/>
      <sz val="11"/>
      <name val="Calibri"/>
      <family val="2"/>
      <scheme val="minor"/>
    </font>
    <font>
      <b/>
      <sz val="12"/>
      <name val="Calibri"/>
      <family val="2"/>
      <scheme val="minor"/>
    </font>
    <font>
      <b/>
      <sz val="11"/>
      <color theme="3" tint="0.39997558519241921"/>
      <name val="Calibri"/>
      <family val="2"/>
      <scheme val="minor"/>
    </font>
    <font>
      <b/>
      <sz val="10"/>
      <color rgb="FFFF0000"/>
      <name val="Calibri"/>
      <family val="2"/>
      <scheme val="minor"/>
    </font>
    <font>
      <b/>
      <sz val="10"/>
      <name val="Calibri"/>
      <family val="2"/>
      <scheme val="minor"/>
    </font>
    <font>
      <b/>
      <i/>
      <sz val="10"/>
      <name val="Calibri"/>
      <family val="2"/>
      <scheme val="minor"/>
    </font>
    <font>
      <sz val="11"/>
      <color theme="3"/>
      <name val="Calibri"/>
      <family val="2"/>
      <scheme val="minor"/>
    </font>
    <font>
      <b/>
      <i/>
      <sz val="11"/>
      <color theme="3"/>
      <name val="Calibri"/>
      <family val="2"/>
      <scheme val="minor"/>
    </font>
    <font>
      <sz val="10"/>
      <name val="Calibri"/>
      <family val="2"/>
      <scheme val="minor"/>
    </font>
    <font>
      <sz val="10"/>
      <color theme="0"/>
      <name val="Calibri"/>
      <family val="2"/>
      <scheme val="minor"/>
    </font>
    <font>
      <sz val="10"/>
      <name val="Arial"/>
      <family val="2"/>
    </font>
    <font>
      <b/>
      <sz val="10"/>
      <color theme="3" tint="-0.249977111117893"/>
      <name val="Calibri"/>
      <family val="2"/>
      <scheme val="minor"/>
    </font>
    <font>
      <b/>
      <sz val="11"/>
      <color rgb="FFFF0000"/>
      <name val="Calibri"/>
      <family val="2"/>
      <scheme val="minor"/>
    </font>
    <font>
      <b/>
      <sz val="20"/>
      <color theme="1"/>
      <name val="Calibri"/>
      <family val="2"/>
      <scheme val="minor"/>
    </font>
    <font>
      <sz val="20"/>
      <name val="Calibri"/>
      <family val="2"/>
      <scheme val="minor"/>
    </font>
    <font>
      <sz val="11"/>
      <color theme="6" tint="-0.499984740745262"/>
      <name val="Calibri"/>
      <family val="2"/>
      <scheme val="minor"/>
    </font>
    <font>
      <sz val="10"/>
      <color theme="3"/>
      <name val="Calibri"/>
      <family val="2"/>
      <scheme val="minor"/>
    </font>
    <font>
      <b/>
      <sz val="11"/>
      <name val="Calibri"/>
      <family val="2"/>
    </font>
    <font>
      <sz val="11"/>
      <name val="Calibri"/>
      <family val="2"/>
    </font>
    <font>
      <sz val="9"/>
      <color indexed="81"/>
      <name val="Tahoma"/>
      <family val="2"/>
    </font>
    <font>
      <b/>
      <sz val="10"/>
      <color theme="0"/>
      <name val="Calibri"/>
      <family val="2"/>
      <scheme val="minor"/>
    </font>
    <font>
      <sz val="12"/>
      <color indexed="81"/>
      <name val="Tahoma"/>
      <family val="2"/>
    </font>
    <font>
      <sz val="10"/>
      <color indexed="81"/>
      <name val="Tahoma"/>
      <family val="2"/>
    </font>
    <font>
      <b/>
      <i/>
      <sz val="9"/>
      <color indexed="81"/>
      <name val="Tahoma"/>
      <family val="2"/>
    </font>
    <font>
      <sz val="8"/>
      <color rgb="FFFF0000"/>
      <name val="Calibri"/>
      <family val="2"/>
      <scheme val="minor"/>
    </font>
    <font>
      <b/>
      <sz val="11"/>
      <color theme="3"/>
      <name val="Calibri"/>
      <family val="2"/>
      <scheme val="minor"/>
    </font>
    <font>
      <b/>
      <sz val="9"/>
      <color indexed="81"/>
      <name val="Tahoma"/>
      <family val="2"/>
    </font>
    <font>
      <sz val="14"/>
      <name val="Calibri"/>
      <family val="2"/>
      <scheme val="minor"/>
    </font>
    <font>
      <sz val="11"/>
      <color theme="0" tint="-0.499984740745262"/>
      <name val="Calibri"/>
      <family val="2"/>
      <scheme val="minor"/>
    </font>
    <font>
      <sz val="12"/>
      <name val="Calibri"/>
      <family val="2"/>
      <scheme val="minor"/>
    </font>
    <font>
      <sz val="8"/>
      <color theme="1"/>
      <name val="Calibri"/>
      <family val="2"/>
      <scheme val="minor"/>
    </font>
    <font>
      <sz val="6"/>
      <color theme="1"/>
      <name val="Calibri"/>
      <family val="2"/>
      <scheme val="minor"/>
    </font>
    <font>
      <sz val="11"/>
      <color indexed="81"/>
      <name val="Tahoma"/>
      <family val="2"/>
    </font>
    <font>
      <sz val="9"/>
      <color theme="1"/>
      <name val="Calibri"/>
      <family val="2"/>
      <scheme val="minor"/>
    </font>
    <font>
      <b/>
      <sz val="20"/>
      <name val="Calibri"/>
      <family val="2"/>
      <scheme val="minor"/>
    </font>
    <font>
      <b/>
      <sz val="18"/>
      <name val="Calibri"/>
      <family val="2"/>
      <scheme val="minor"/>
    </font>
    <font>
      <sz val="11"/>
      <color theme="0" tint="-4.9989318521683403E-2"/>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4.9989318521683403E-2"/>
        <bgColor rgb="FF000000"/>
      </patternFill>
    </fill>
    <fill>
      <patternFill patternType="solid">
        <fgColor theme="7" tint="0.79998168889431442"/>
        <bgColor indexed="64"/>
      </patternFill>
    </fill>
  </fills>
  <borders count="3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6795556505021"/>
      </right>
      <top style="thin">
        <color theme="0" tint="-0.14996795556505021"/>
      </top>
      <bottom style="thin">
        <color theme="0" tint="-0.14996795556505021"/>
      </bottom>
      <diagonal/>
    </border>
    <border>
      <left style="double">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double">
        <color theme="0" tint="-0.14996795556505021"/>
      </right>
      <top style="thin">
        <color theme="0" tint="-0.14996795556505021"/>
      </top>
      <bottom/>
      <diagonal/>
    </border>
    <border>
      <left style="double">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double">
        <color theme="0" tint="-0.14996795556505021"/>
      </right>
      <top/>
      <bottom style="thin">
        <color theme="0" tint="-0.14996795556505021"/>
      </bottom>
      <diagonal/>
    </border>
    <border>
      <left style="double">
        <color theme="0" tint="-0.14993743705557422"/>
      </left>
      <right style="thin">
        <color theme="0" tint="-0.14996795556505021"/>
      </right>
      <top style="double">
        <color theme="0" tint="-0.14993743705557422"/>
      </top>
      <bottom style="thin">
        <color theme="0" tint="-0.14996795556505021"/>
      </bottom>
      <diagonal/>
    </border>
    <border>
      <left style="thin">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3743705557422"/>
      </right>
      <top style="double">
        <color theme="0" tint="-0.14993743705557422"/>
      </top>
      <bottom style="thin">
        <color theme="0" tint="-0.14996795556505021"/>
      </bottom>
      <diagonal/>
    </border>
    <border>
      <left style="double">
        <color theme="0" tint="-0.14993743705557422"/>
      </left>
      <right style="thin">
        <color theme="0" tint="-0.14996795556505021"/>
      </right>
      <top style="thin">
        <color theme="0" tint="-0.14996795556505021"/>
      </top>
      <bottom style="double">
        <color theme="0" tint="-0.14993743705557422"/>
      </bottom>
      <diagonal/>
    </border>
    <border>
      <left style="thin">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3743705557422"/>
      </right>
      <top style="thin">
        <color theme="0" tint="-0.14996795556505021"/>
      </top>
      <bottom style="double">
        <color theme="0" tint="-0.14993743705557422"/>
      </bottom>
      <diagonal/>
    </border>
    <border>
      <left style="thin">
        <color theme="0" tint="-0.24994659260841701"/>
      </left>
      <right style="thin">
        <color theme="0" tint="-0.24994659260841701"/>
      </right>
      <top style="thin">
        <color theme="0" tint="-0.24994659260841701"/>
      </top>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double">
        <color theme="0" tint="-0.24994659260841701"/>
      </left>
      <right style="thin">
        <color theme="0" tint="-0.24994659260841701"/>
      </right>
      <top/>
      <bottom/>
      <diagonal/>
    </border>
    <border>
      <left style="double">
        <color theme="0" tint="-0.14993743705557422"/>
      </left>
      <right/>
      <top style="double">
        <color theme="0" tint="-0.14993743705557422"/>
      </top>
      <bottom/>
      <diagonal/>
    </border>
    <border>
      <left style="double">
        <color theme="0" tint="-0.14993743705557422"/>
      </left>
      <right/>
      <top/>
      <bottom/>
      <diagonal/>
    </border>
    <border>
      <left/>
      <right style="double">
        <color theme="0" tint="-0.14993743705557422"/>
      </right>
      <top/>
      <bottom/>
      <diagonal/>
    </border>
    <border>
      <left style="double">
        <color theme="0" tint="-0.14993743705557422"/>
      </left>
      <right/>
      <top/>
      <bottom style="double">
        <color theme="0" tint="-0.14993743705557422"/>
      </bottom>
      <diagonal/>
    </border>
    <border>
      <left/>
      <right/>
      <top/>
      <bottom style="double">
        <color theme="0" tint="-0.14993743705557422"/>
      </bottom>
      <diagonal/>
    </border>
    <border>
      <left/>
      <right style="double">
        <color theme="0" tint="-0.14993743705557422"/>
      </right>
      <top/>
      <bottom style="double">
        <color theme="0" tint="-0.14993743705557422"/>
      </bottom>
      <diagonal/>
    </border>
    <border>
      <left style="double">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double">
        <color theme="0" tint="-0.1498764000366222"/>
      </right>
      <top style="thin">
        <color theme="0" tint="-0.1498764000366222"/>
      </top>
      <bottom style="thin">
        <color theme="0" tint="-0.1498764000366222"/>
      </bottom>
      <diagonal/>
    </border>
    <border>
      <left style="thin">
        <color theme="0" tint="-0.14996795556505021"/>
      </left>
      <right/>
      <top style="double">
        <color theme="0" tint="-0.14993743705557422"/>
      </top>
      <bottom style="thin">
        <color theme="0" tint="-0.14996795556505021"/>
      </bottom>
      <diagonal/>
    </border>
    <border>
      <left/>
      <right/>
      <top style="double">
        <color theme="0" tint="-0.14993743705557422"/>
      </top>
      <bottom style="thin">
        <color theme="0" tint="-0.14996795556505021"/>
      </bottom>
      <diagonal/>
    </border>
    <border>
      <left/>
      <right style="double">
        <color theme="0" tint="-0.14993743705557422"/>
      </right>
      <top style="double">
        <color theme="0" tint="-0.14993743705557422"/>
      </top>
      <bottom style="thin">
        <color theme="0" tint="-0.14996795556505021"/>
      </bottom>
      <diagonal/>
    </border>
    <border>
      <left style="thin">
        <color theme="0" tint="-0.14996795556505021"/>
      </left>
      <right/>
      <top style="thin">
        <color theme="0" tint="-0.14996795556505021"/>
      </top>
      <bottom style="double">
        <color theme="0" tint="-0.14993743705557422"/>
      </bottom>
      <diagonal/>
    </border>
    <border>
      <left/>
      <right style="thin">
        <color theme="0" tint="-0.14996795556505021"/>
      </right>
      <top style="thin">
        <color theme="0" tint="-0.14996795556505021"/>
      </top>
      <bottom style="double">
        <color theme="0" tint="-0.14993743705557422"/>
      </bottom>
      <diagonal/>
    </border>
    <border>
      <left style="thin">
        <color theme="0" tint="-0.14990691854609822"/>
      </left>
      <right style="thin">
        <color theme="0" tint="-0.14996795556505021"/>
      </right>
      <top style="double">
        <color theme="0" tint="-0.14993743705557422"/>
      </top>
      <bottom style="thin">
        <color theme="0" tint="-0.14996795556505021"/>
      </bottom>
      <diagonal/>
    </border>
    <border>
      <left style="thin">
        <color indexed="64"/>
      </left>
      <right/>
      <top style="thin">
        <color indexed="64"/>
      </top>
      <bottom/>
      <diagonal/>
    </border>
    <border>
      <left/>
      <right/>
      <top style="thin">
        <color indexed="64"/>
      </top>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right/>
      <top style="double">
        <color theme="0" tint="-0.14990691854609822"/>
      </top>
      <bottom style="thin">
        <color theme="0" tint="-0.14996795556505021"/>
      </bottom>
      <diagonal/>
    </border>
    <border>
      <left/>
      <right style="double">
        <color theme="0" tint="-0.14990691854609822"/>
      </right>
      <top style="double">
        <color theme="0" tint="-0.14990691854609822"/>
      </top>
      <bottom style="thin">
        <color theme="0" tint="-0.14996795556505021"/>
      </bottom>
      <diagonal/>
    </border>
    <border>
      <left style="double">
        <color theme="0" tint="-0.1498764000366222"/>
      </left>
      <right/>
      <top style="double">
        <color theme="0" tint="-0.1498764000366222"/>
      </top>
      <bottom style="thin">
        <color theme="0" tint="-0.1498764000366222"/>
      </bottom>
      <diagonal/>
    </border>
    <border>
      <left/>
      <right/>
      <top style="double">
        <color theme="0" tint="-0.1498764000366222"/>
      </top>
      <bottom style="thin">
        <color theme="0" tint="-0.1498764000366222"/>
      </bottom>
      <diagonal/>
    </border>
    <border>
      <left style="double">
        <color theme="0" tint="-0.1498764000366222"/>
      </left>
      <right/>
      <top style="thin">
        <color theme="0" tint="-0.1498764000366222"/>
      </top>
      <bottom style="double">
        <color theme="0" tint="-0.1498764000366222"/>
      </bottom>
      <diagonal/>
    </border>
    <border>
      <left/>
      <right/>
      <top style="thin">
        <color theme="0" tint="-0.1498764000366222"/>
      </top>
      <bottom style="double">
        <color theme="0" tint="-0.1498764000366222"/>
      </bottom>
      <diagonal/>
    </border>
    <border>
      <left/>
      <right style="double">
        <color theme="0" tint="-0.1498764000366222"/>
      </right>
      <top style="thin">
        <color theme="0" tint="-0.1498764000366222"/>
      </top>
      <bottom style="double">
        <color theme="0" tint="-0.1498764000366222"/>
      </bottom>
      <diagonal/>
    </border>
    <border>
      <left style="double">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double">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double">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14996795556505021"/>
      </right>
      <top style="thin">
        <color theme="0" tint="-0.14993743705557422"/>
      </top>
      <bottom/>
      <diagonal/>
    </border>
    <border>
      <left style="double">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double">
        <color theme="0" tint="-0.14993743705557422"/>
      </right>
      <top style="double">
        <color theme="0" tint="-0.14993743705557422"/>
      </top>
      <bottom style="double">
        <color theme="0" tint="-0.14993743705557422"/>
      </bottom>
      <diagonal/>
    </border>
    <border>
      <left style="double">
        <color theme="0" tint="-0.1499679555650502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double">
        <color theme="0" tint="-0.14996795556505021"/>
      </right>
      <top/>
      <bottom style="thin">
        <color theme="0" tint="-0.14993743705557422"/>
      </bottom>
      <diagonal/>
    </border>
    <border>
      <left style="thin">
        <color theme="0" tint="-0.14993743705557422"/>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double">
        <color theme="0" tint="-0.14993743705557422"/>
      </top>
      <bottom style="thin">
        <color theme="0" tint="-0.14993743705557422"/>
      </bottom>
      <diagonal/>
    </border>
    <border>
      <left style="double">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double">
        <color theme="0" tint="-0.14993743705557422"/>
      </right>
      <top style="thin">
        <color theme="0" tint="-0.14993743705557422"/>
      </top>
      <bottom style="double">
        <color theme="0" tint="-0.14993743705557422"/>
      </bottom>
      <diagonal/>
    </border>
    <border>
      <left style="double">
        <color theme="0" tint="-0.14996795556505021"/>
      </left>
      <right style="thin">
        <color theme="0" tint="-0.14996795556505021"/>
      </right>
      <top style="double">
        <color theme="0" tint="-0.14996795556505021"/>
      </top>
      <bottom/>
      <diagonal/>
    </border>
    <border>
      <left style="thin">
        <color theme="0" tint="-0.14996795556505021"/>
      </left>
      <right style="thin">
        <color theme="0" tint="-0.14996795556505021"/>
      </right>
      <top style="double">
        <color theme="0" tint="-0.14996795556505021"/>
      </top>
      <bottom/>
      <diagonal/>
    </border>
    <border>
      <left style="thin">
        <color theme="0" tint="-0.14996795556505021"/>
      </left>
      <right style="double">
        <color theme="0" tint="-0.14996795556505021"/>
      </right>
      <top style="double">
        <color theme="0" tint="-0.14996795556505021"/>
      </top>
      <bottom/>
      <diagonal/>
    </border>
    <border>
      <left style="double">
        <color theme="0" tint="-0.14996795556505021"/>
      </left>
      <right style="thin">
        <color theme="0" tint="-0.14996795556505021"/>
      </right>
      <top/>
      <bottom style="double">
        <color theme="0" tint="-0.14996795556505021"/>
      </bottom>
      <diagonal/>
    </border>
    <border>
      <left style="thin">
        <color theme="0" tint="-0.14996795556505021"/>
      </left>
      <right style="thin">
        <color theme="0" tint="-0.14996795556505021"/>
      </right>
      <top/>
      <bottom style="double">
        <color theme="0" tint="-0.14996795556505021"/>
      </bottom>
      <diagonal/>
    </border>
    <border>
      <left style="thin">
        <color theme="0" tint="-0.34998626667073579"/>
      </left>
      <right style="thin">
        <color theme="0" tint="-0.34998626667073579"/>
      </right>
      <top style="double">
        <color theme="0" tint="-0.24994659260841701"/>
      </top>
      <bottom style="double">
        <color theme="0" tint="-0.24994659260841701"/>
      </bottom>
      <diagonal/>
    </border>
    <border>
      <left style="thin">
        <color theme="0" tint="-0.34998626667073579"/>
      </left>
      <right style="double">
        <color theme="0" tint="-0.24994659260841701"/>
      </right>
      <top style="double">
        <color theme="0" tint="-0.24994659260841701"/>
      </top>
      <bottom style="double">
        <color theme="0" tint="-0.24994659260841701"/>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double">
        <color theme="0" tint="-0.499984740745262"/>
      </bottom>
      <diagonal/>
    </border>
    <border>
      <left style="thin">
        <color theme="0" tint="-0.24994659260841701"/>
      </left>
      <right style="thin">
        <color theme="0" tint="-0.24994659260841701"/>
      </right>
      <top style="double">
        <color theme="0" tint="-0.499984740745262"/>
      </top>
      <bottom style="double">
        <color theme="0" tint="-0.499984740745262"/>
      </bottom>
      <diagonal/>
    </border>
    <border>
      <left style="thin">
        <color theme="0" tint="-0.24994659260841701"/>
      </left>
      <right style="double">
        <color theme="0" tint="-0.499984740745262"/>
      </right>
      <top style="double">
        <color theme="0" tint="-0.499984740745262"/>
      </top>
      <bottom style="double">
        <color theme="0" tint="-0.499984740745262"/>
      </bottom>
      <diagonal/>
    </border>
    <border>
      <left style="thin">
        <color theme="0" tint="-0.24994659260841701"/>
      </left>
      <right/>
      <top style="double">
        <color theme="0" tint="-0.499984740745262"/>
      </top>
      <bottom style="double">
        <color theme="0" tint="-0.499984740745262"/>
      </bottom>
      <diagonal/>
    </border>
    <border>
      <left style="thin">
        <color theme="0" tint="-0.24994659260841701"/>
      </left>
      <right style="double">
        <color theme="0" tint="-0.499984740745262"/>
      </right>
      <top/>
      <bottom style="double">
        <color theme="0" tint="-0.499984740745262"/>
      </bottom>
      <diagonal/>
    </border>
    <border>
      <left/>
      <right style="thin">
        <color theme="0" tint="-0.24994659260841701"/>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double">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double">
        <color theme="0" tint="-0.499984740745262"/>
      </left>
      <right style="thin">
        <color theme="0" tint="-0.24994659260841701"/>
      </right>
      <top style="thin">
        <color theme="0" tint="-0.24994659260841701"/>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theme="0" tint="-0.499984740745262"/>
      </left>
      <right style="thin">
        <color theme="0" tint="-0.24994659260841701"/>
      </right>
      <top/>
      <bottom style="double">
        <color theme="0" tint="-0.499984740745262"/>
      </bottom>
      <diagonal/>
    </border>
    <border>
      <left style="thin">
        <color theme="0" tint="-0.24994659260841701"/>
      </left>
      <right style="double">
        <color theme="0" tint="-0.499984740745262"/>
      </right>
      <top style="thin">
        <color theme="0" tint="-0.24994659260841701"/>
      </top>
      <bottom/>
      <diagonal/>
    </border>
    <border>
      <left style="medium">
        <color indexed="64"/>
      </left>
      <right/>
      <top/>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double">
        <color theme="0" tint="-0.24994659260841701"/>
      </left>
      <right/>
      <top style="thin">
        <color theme="0" tint="-0.24994659260841701"/>
      </top>
      <bottom style="thin">
        <color theme="0" tint="-0.24994659260841701"/>
      </bottom>
      <diagonal/>
    </border>
    <border>
      <left style="double">
        <color theme="0" tint="-0.24994659260841701"/>
      </left>
      <right/>
      <top style="double">
        <color theme="0" tint="-0.24994659260841701"/>
      </top>
      <bottom style="thin">
        <color theme="0" tint="-0.24994659260841701"/>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right style="double">
        <color theme="0" tint="-0.1498764000366222"/>
      </right>
      <top/>
      <bottom style="thin">
        <color theme="0" tint="-0.14987640003662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theme="0" tint="-0.24994659260841701"/>
      </bottom>
      <diagonal/>
    </border>
    <border>
      <left style="double">
        <color theme="0" tint="-0.24994659260841701"/>
      </left>
      <right/>
      <top/>
      <bottom style="double">
        <color theme="0" tint="-0.24994659260841701"/>
      </bottom>
      <diagonal/>
    </border>
    <border>
      <left style="double">
        <color theme="0" tint="-0.24994659260841701"/>
      </left>
      <right/>
      <top/>
      <bottom/>
      <diagonal/>
    </border>
    <border>
      <left style="double">
        <color theme="0" tint="-0.24994659260841701"/>
      </left>
      <right/>
      <top style="thin">
        <color theme="0" tint="-0.24994659260841701"/>
      </top>
      <bottom/>
      <diagonal/>
    </border>
    <border>
      <left style="double">
        <color theme="0" tint="-0.24994659260841701"/>
      </left>
      <right/>
      <top/>
      <bottom style="thin">
        <color theme="0" tint="-0.2499465926084170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14990691854609822"/>
      </left>
      <right/>
      <top style="double">
        <color theme="0" tint="-0.14990691854609822"/>
      </top>
      <bottom style="thin">
        <color theme="0" tint="-0.14996795556505021"/>
      </bottom>
      <diagonal/>
    </border>
    <border>
      <left style="double">
        <color theme="0" tint="-0.14993743705557422"/>
      </left>
      <right/>
      <top style="double">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24994659260841701"/>
      </left>
      <right/>
      <top style="double">
        <color theme="0" tint="-0.24994659260841701"/>
      </top>
      <bottom style="double">
        <color theme="0" tint="-0.24994659260841701"/>
      </bottom>
      <diagonal/>
    </border>
    <border>
      <left style="thin">
        <color theme="0" tint="-0.14996795556505021"/>
      </left>
      <right/>
      <top style="thin">
        <color theme="0" tint="-0.14996795556505021"/>
      </top>
      <bottom style="double">
        <color theme="0" tint="-0.24994659260841701"/>
      </bottom>
      <diagonal/>
    </border>
    <border>
      <left style="double">
        <color theme="0" tint="-0.24994659260841701"/>
      </left>
      <right/>
      <top style="thin">
        <color theme="0" tint="-0.1498764000366222"/>
      </top>
      <bottom style="double">
        <color theme="0" tint="-0.24994659260841701"/>
      </bottom>
      <diagonal/>
    </border>
    <border>
      <left style="double">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6795556505021"/>
      </right>
      <top style="double">
        <color theme="0" tint="-0.14993743705557422"/>
      </top>
      <bottom style="thin">
        <color theme="0" tint="-0.14996795556505021"/>
      </bottom>
      <diagonal/>
    </border>
    <border>
      <left style="double">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6795556505021"/>
      </right>
      <top style="thin">
        <color theme="0" tint="-0.14996795556505021"/>
      </top>
      <bottom style="double">
        <color theme="0" tint="-0.14993743705557422"/>
      </bottom>
      <diagonal/>
    </border>
    <border>
      <left style="double">
        <color theme="0" tint="-0.14996795556505021"/>
      </left>
      <right style="thin">
        <color theme="0" tint="-0.24994659260841701"/>
      </right>
      <top style="double">
        <color theme="0" tint="-0.24994659260841701"/>
      </top>
      <bottom style="double">
        <color theme="0" tint="-0.14996795556505021"/>
      </bottom>
      <diagonal/>
    </border>
    <border>
      <left style="thin">
        <color theme="0" tint="-0.24994659260841701"/>
      </left>
      <right/>
      <top style="double">
        <color theme="0" tint="-0.24994659260841701"/>
      </top>
      <bottom style="double">
        <color theme="0" tint="-0.14996795556505021"/>
      </bottom>
      <diagonal/>
    </border>
    <border>
      <left style="thin">
        <color theme="0" tint="-0.24994659260841701"/>
      </left>
      <right style="thin">
        <color theme="0" tint="-0.24994659260841701"/>
      </right>
      <top style="double">
        <color theme="0" tint="-0.24994659260841701"/>
      </top>
      <bottom style="double">
        <color theme="0" tint="-0.14996795556505021"/>
      </bottom>
      <diagonal/>
    </border>
    <border>
      <left style="thin">
        <color theme="0" tint="-0.24994659260841701"/>
      </left>
      <right style="double">
        <color theme="0" tint="-0.14996795556505021"/>
      </right>
      <top style="double">
        <color theme="0" tint="-0.24994659260841701"/>
      </top>
      <bottom style="double">
        <color theme="0" tint="-0.14996795556505021"/>
      </bottom>
      <diagonal/>
    </border>
    <border>
      <left style="double">
        <color theme="0" tint="-0.24994659260841701"/>
      </left>
      <right/>
      <top style="thin">
        <color theme="0" tint="-0.24994659260841701"/>
      </top>
      <bottom style="double">
        <color theme="0" tint="-0.24994659260841701"/>
      </bottom>
      <diagonal/>
    </border>
    <border>
      <left style="thin">
        <color theme="0" tint="-0.14996795556505021"/>
      </left>
      <right/>
      <top/>
      <bottom style="thin">
        <color theme="0" tint="-0.14996795556505021"/>
      </bottom>
      <diagonal/>
    </border>
    <border>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14996795556505021"/>
      </right>
      <top style="double">
        <color theme="0" tint="-0.24994659260841701"/>
      </top>
      <bottom style="double">
        <color theme="0" tint="-0.24994659260841701"/>
      </bottom>
      <diagonal/>
    </border>
    <border>
      <left style="thin">
        <color theme="0" tint="-0.14996795556505021"/>
      </left>
      <right style="double">
        <color theme="0" tint="-0.24994659260841701"/>
      </right>
      <top style="double">
        <color theme="0" tint="-0.24994659260841701"/>
      </top>
      <bottom style="double">
        <color theme="0" tint="-0.24994659260841701"/>
      </bottom>
      <diagonal/>
    </border>
    <border>
      <left style="thin">
        <color theme="0" tint="-0.1498764000366222"/>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thin">
        <color theme="0" tint="-0.1498764000366222"/>
      </right>
      <top style="double">
        <color theme="0" tint="-0.34998626667073579"/>
      </top>
      <bottom style="double">
        <color theme="0" tint="-0.34998626667073579"/>
      </bottom>
      <diagonal/>
    </border>
    <border>
      <left style="thin">
        <color theme="0" tint="-0.1498764000366222"/>
      </left>
      <right style="thin">
        <color theme="0" tint="-0.1498764000366222"/>
      </right>
      <top style="double">
        <color theme="0" tint="-0.34998626667073579"/>
      </top>
      <bottom style="double">
        <color theme="0" tint="-0.34998626667073579"/>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right style="thin">
        <color theme="0" tint="-0.14993743705557422"/>
      </right>
      <top style="double">
        <color theme="0" tint="-0.14993743705557422"/>
      </top>
      <bottom style="thin">
        <color theme="0" tint="-0.14993743705557422"/>
      </bottom>
      <diagonal/>
    </border>
    <border>
      <left style="double">
        <color theme="0" tint="-0.14993743705557422"/>
      </left>
      <right/>
      <top style="double">
        <color theme="0" tint="-0.14993743705557422"/>
      </top>
      <bottom style="thin">
        <color theme="0" tint="-0.14993743705557422"/>
      </bottom>
      <diagonal/>
    </border>
    <border>
      <left/>
      <right/>
      <top style="double">
        <color theme="0" tint="-0.14993743705557422"/>
      </top>
      <bottom style="thin">
        <color theme="0" tint="-0.14993743705557422"/>
      </bottom>
      <diagonal/>
    </border>
    <border>
      <left style="double">
        <color theme="0" tint="-0.499984740745262"/>
      </left>
      <right/>
      <top style="double">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double">
        <color theme="0" tint="-0.499984740745262"/>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0" tint="-0.1498764000366222"/>
      </right>
      <top style="double">
        <color theme="0" tint="-0.24994659260841701"/>
      </top>
      <bottom style="double">
        <color theme="0" tint="-0.24994659260841701"/>
      </bottom>
      <diagonal/>
    </border>
    <border>
      <left style="thin">
        <color theme="0" tint="-0.1498764000366222"/>
      </left>
      <right style="thin">
        <color theme="0" tint="-0.1498764000366222"/>
      </right>
      <top style="double">
        <color theme="0" tint="-0.24994659260841701"/>
      </top>
      <bottom style="double">
        <color theme="0" tint="-0.24994659260841701"/>
      </bottom>
      <diagonal/>
    </border>
    <border>
      <left style="thin">
        <color theme="0" tint="-0.1498764000366222"/>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24994659260841701"/>
      </right>
      <top style="double">
        <color theme="0" tint="-0.24994659260841701"/>
      </top>
      <bottom style="double">
        <color theme="0" tint="-0.24994659260841701"/>
      </bottom>
      <diagonal/>
    </border>
    <border>
      <left style="double">
        <color theme="0" tint="-0.14996795556505021"/>
      </left>
      <right/>
      <top style="double">
        <color theme="0" tint="-0.14996795556505021"/>
      </top>
      <bottom/>
      <diagonal/>
    </border>
    <border>
      <left/>
      <right/>
      <top style="double">
        <color theme="0" tint="-0.14996795556505021"/>
      </top>
      <bottom/>
      <diagonal/>
    </border>
    <border>
      <left/>
      <right style="double">
        <color theme="0" tint="-0.14996795556505021"/>
      </right>
      <top style="double">
        <color theme="0" tint="-0.14996795556505021"/>
      </top>
      <bottom/>
      <diagonal/>
    </border>
    <border>
      <left style="double">
        <color theme="0" tint="-0.14996795556505021"/>
      </left>
      <right/>
      <top/>
      <bottom/>
      <diagonal/>
    </border>
    <border>
      <left/>
      <right style="double">
        <color theme="0" tint="-0.14996795556505021"/>
      </right>
      <top/>
      <bottom/>
      <diagonal/>
    </border>
    <border>
      <left style="double">
        <color theme="0" tint="-0.14996795556505021"/>
      </left>
      <right/>
      <top/>
      <bottom style="double">
        <color theme="0" tint="-0.14996795556505021"/>
      </bottom>
      <diagonal/>
    </border>
    <border>
      <left/>
      <right/>
      <top/>
      <bottom style="double">
        <color theme="0" tint="-0.14996795556505021"/>
      </bottom>
      <diagonal/>
    </border>
    <border>
      <left/>
      <right style="double">
        <color theme="0" tint="-0.14996795556505021"/>
      </right>
      <top/>
      <bottom style="double">
        <color theme="0" tint="-0.14996795556505021"/>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style="thin">
        <color theme="0" tint="-0.34998626667073579"/>
      </top>
      <bottom style="double">
        <color theme="0" tint="-0.34998626667073579"/>
      </bottom>
      <diagonal/>
    </border>
    <border>
      <left style="double">
        <color theme="0" tint="-0.499984740745262"/>
      </left>
      <right/>
      <top style="thin">
        <color theme="0" tint="-0.24994659260841701"/>
      </top>
      <bottom/>
      <diagonal/>
    </border>
    <border>
      <left style="thin">
        <color theme="0" tint="-0.1498764000366222"/>
      </left>
      <right style="double">
        <color theme="0" tint="-0.24994659260841701"/>
      </right>
      <top style="thin">
        <color theme="0" tint="-0.1498458815271462"/>
      </top>
      <bottom style="thin">
        <color theme="0" tint="-0.1498458815271462"/>
      </bottom>
      <diagonal/>
    </border>
    <border>
      <left style="thin">
        <color theme="0" tint="-0.1498764000366222"/>
      </left>
      <right style="double">
        <color theme="0" tint="-0.24994659260841701"/>
      </right>
      <top/>
      <bottom style="thin">
        <color theme="0" tint="-0.1498458815271462"/>
      </bottom>
      <diagonal/>
    </border>
    <border>
      <left style="double">
        <color theme="0" tint="-0.499984740745262"/>
      </left>
      <right/>
      <top/>
      <bottom/>
      <diagonal/>
    </border>
    <border>
      <left style="thin">
        <color theme="0" tint="-0.24994659260841701"/>
      </left>
      <right style="thin">
        <color theme="0" tint="-0.24994659260841701"/>
      </right>
      <top/>
      <bottom/>
      <diagonal/>
    </border>
    <border>
      <left style="double">
        <color theme="0" tint="-0.34998626667073579"/>
      </left>
      <right/>
      <top style="double">
        <color theme="0" tint="-0.34998626667073579"/>
      </top>
      <bottom style="thin">
        <color theme="0" tint="-0.34998626667073579"/>
      </bottom>
      <diagonal/>
    </border>
    <border>
      <left style="thin">
        <color theme="0" tint="-0.1498764000366222"/>
      </left>
      <right style="thin">
        <color theme="0" tint="-0.1498764000366222"/>
      </right>
      <top style="double">
        <color theme="0" tint="-0.34998626667073579"/>
      </top>
      <bottom style="thin">
        <color theme="0" tint="-0.34998626667073579"/>
      </bottom>
      <diagonal/>
    </border>
    <border>
      <left style="thin">
        <color theme="0" tint="-0.1498764000366222"/>
      </left>
      <right style="double">
        <color theme="0" tint="-0.34998626667073579"/>
      </right>
      <top style="double">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thin">
        <color theme="0" tint="-0.34998626667073579"/>
      </bottom>
      <diagonal/>
    </border>
    <border>
      <left style="thin">
        <color theme="0" tint="-0.1498764000366222"/>
      </left>
      <right style="double">
        <color theme="0" tint="-0.34998626667073579"/>
      </right>
      <top style="thin">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double">
        <color theme="0" tint="-0.34998626667073579"/>
      </bottom>
      <diagonal/>
    </border>
    <border>
      <left style="thin">
        <color theme="0" tint="-0.1498764000366222"/>
      </left>
      <right style="double">
        <color theme="0" tint="-0.34998626667073579"/>
      </right>
      <top style="thin">
        <color theme="0" tint="-0.34998626667073579"/>
      </top>
      <bottom style="double">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double">
        <color theme="0" tint="-0.14990691854609822"/>
      </right>
      <top style="double">
        <color theme="0" tint="-0.14990691854609822"/>
      </top>
      <bottom/>
      <diagonal/>
    </border>
    <border>
      <left/>
      <right/>
      <top style="double">
        <color theme="0" tint="-0.14990691854609822"/>
      </top>
      <bottom style="double">
        <color theme="0" tint="-0.14993743705557422"/>
      </bottom>
      <diagonal/>
    </border>
    <border>
      <left style="double">
        <color theme="0" tint="-0.34998626667073579"/>
      </left>
      <right/>
      <top style="thin">
        <color theme="0" tint="-0.34998626667073579"/>
      </top>
      <bottom/>
      <diagonal/>
    </border>
    <border>
      <left style="thin">
        <color theme="0" tint="-0.1498764000366222"/>
      </left>
      <right style="thin">
        <color theme="0" tint="-0.1498764000366222"/>
      </right>
      <top style="thin">
        <color theme="0" tint="-0.34998626667073579"/>
      </top>
      <bottom/>
      <diagonal/>
    </border>
    <border>
      <left/>
      <right/>
      <top style="thin">
        <color theme="0" tint="-0.24994659260841701"/>
      </top>
      <bottom/>
      <diagonal/>
    </border>
    <border>
      <left/>
      <right style="double">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double">
        <color theme="0" tint="-0.24994659260841701"/>
      </right>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double">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14990691854609822"/>
      </left>
      <right style="thin">
        <color theme="0" tint="-0.14996795556505021"/>
      </right>
      <top style="double">
        <color theme="0" tint="-0.14993743705557422"/>
      </top>
      <bottom/>
      <diagonal/>
    </border>
    <border>
      <left style="thin">
        <color theme="0" tint="-0.14990691854609822"/>
      </left>
      <right style="thin">
        <color theme="0" tint="-0.14996795556505021"/>
      </right>
      <top/>
      <bottom style="double">
        <color theme="0" tint="-0.1499374370555742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14990691854609822"/>
      </left>
      <right/>
      <top style="double">
        <color theme="0" tint="-0.14990691854609822"/>
      </top>
      <bottom style="double">
        <color theme="0" tint="-0.14993743705557422"/>
      </bottom>
      <diagonal/>
    </border>
    <border>
      <left style="thin">
        <color theme="0" tint="-0.1498764000366222"/>
      </left>
      <right style="double">
        <color theme="0" tint="-0.24994659260841701"/>
      </right>
      <top style="thin">
        <color theme="0" tint="-0.1498458815271462"/>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double">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double">
        <color theme="0" tint="-0.24994659260841701"/>
      </top>
      <bottom style="thin">
        <color theme="0" tint="-0.24994659260841701"/>
      </bottom>
      <diagonal/>
    </border>
    <border>
      <left/>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3743705557422"/>
      </bottom>
      <diagonal/>
    </border>
    <border>
      <left style="thin">
        <color theme="0" tint="-0.14996795556505021"/>
      </left>
      <right style="thin">
        <color theme="0" tint="-0.14996795556505021"/>
      </right>
      <top style="double">
        <color theme="0" tint="-0.14993743705557422"/>
      </top>
      <bottom style="thin">
        <color theme="0" tint="-0.14990691854609822"/>
      </bottom>
      <diagonal/>
    </border>
    <border>
      <left style="thin">
        <color theme="0" tint="-0.14996795556505021"/>
      </left>
      <right style="thin">
        <color theme="0" tint="-0.14996795556505021"/>
      </right>
      <top style="thin">
        <color theme="0" tint="-0.14990691854609822"/>
      </top>
      <bottom style="thin">
        <color theme="0" tint="-0.14990691854609822"/>
      </bottom>
      <diagonal/>
    </border>
    <border>
      <left style="double">
        <color theme="0" tint="-0.14993743705557422"/>
      </left>
      <right/>
      <top style="double">
        <color theme="0" tint="-0.14993743705557422"/>
      </top>
      <bottom style="thin">
        <color theme="0" tint="-0.14990691854609822"/>
      </bottom>
      <diagonal/>
    </border>
    <border>
      <left/>
      <right style="thin">
        <color theme="0" tint="-0.14996795556505021"/>
      </right>
      <top style="double">
        <color theme="0" tint="-0.14993743705557422"/>
      </top>
      <bottom style="thin">
        <color theme="0" tint="-0.14990691854609822"/>
      </bottom>
      <diagonal/>
    </border>
    <border>
      <left style="double">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right style="thin">
        <color theme="0" tint="-0.34998626667073579"/>
      </right>
      <top style="double">
        <color theme="0" tint="-0.24994659260841701"/>
      </top>
      <bottom style="double">
        <color theme="0" tint="-0.24994659260841701"/>
      </bottom>
      <diagonal/>
    </border>
    <border>
      <left style="double">
        <color theme="0" tint="-0.14993743705557422"/>
      </left>
      <right/>
      <top style="thin">
        <color theme="0" tint="-0.14990691854609822"/>
      </top>
      <bottom style="double">
        <color theme="0" tint="-0.14990691854609822"/>
      </bottom>
      <diagonal/>
    </border>
    <border>
      <left/>
      <right style="thin">
        <color theme="0" tint="-0.14996795556505021"/>
      </right>
      <top style="thin">
        <color theme="0" tint="-0.14990691854609822"/>
      </top>
      <bottom style="double">
        <color theme="0" tint="-0.14990691854609822"/>
      </bottom>
      <diagonal/>
    </border>
    <border>
      <left style="thin">
        <color theme="0" tint="-0.14996795556505021"/>
      </left>
      <right style="thin">
        <color theme="0" tint="-0.14996795556505021"/>
      </right>
      <top style="thin">
        <color theme="0" tint="-0.14990691854609822"/>
      </top>
      <bottom style="double">
        <color theme="0" tint="-0.14990691854609822"/>
      </bottom>
      <diagonal/>
    </border>
    <border>
      <left style="thin">
        <color theme="0" tint="-0.14993743705557422"/>
      </left>
      <right style="double">
        <color theme="0" tint="-0.14996795556505021"/>
      </right>
      <top style="double">
        <color theme="0" tint="-0.14996795556505021"/>
      </top>
      <bottom style="double">
        <color theme="0" tint="-0.14993743705557422"/>
      </bottom>
      <diagonal/>
    </border>
    <border>
      <left style="thin">
        <color theme="0" tint="-0.14993743705557422"/>
      </left>
      <right style="thin">
        <color theme="0" tint="-0.14993743705557422"/>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tint="-0.14996795556505021"/>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thin">
        <color theme="0" tint="-0.14993743705557422"/>
      </top>
      <bottom style="double">
        <color theme="0" tint="-0.14990691854609822"/>
      </bottom>
      <diagonal/>
    </border>
    <border>
      <left style="double">
        <color theme="0" tint="-0.24994659260841701"/>
      </left>
      <right style="thin">
        <color theme="0" tint="-0.14996795556505021"/>
      </right>
      <top style="double">
        <color theme="0" tint="-0.24994659260841701"/>
      </top>
      <bottom style="thin">
        <color theme="0" tint="-0.14996795556505021"/>
      </bottom>
      <diagonal/>
    </border>
    <border>
      <left style="thin">
        <color theme="0" tint="-0.14996795556505021"/>
      </left>
      <right style="thin">
        <color theme="0" tint="-0.1498764000366222"/>
      </right>
      <top style="double">
        <color theme="0" tint="-0.24994659260841701"/>
      </top>
      <bottom style="thin">
        <color theme="0" tint="-0.14996795556505021"/>
      </bottom>
      <diagonal/>
    </border>
    <border>
      <left style="double">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96795556505021"/>
      </top>
      <bottom style="thin">
        <color theme="0" tint="-0.14996795556505021"/>
      </bottom>
      <diagonal/>
    </border>
    <border>
      <left style="double">
        <color theme="0" tint="-0.24994659260841701"/>
      </left>
      <right style="thin">
        <color theme="0" tint="-0.14996795556505021"/>
      </right>
      <top style="thin">
        <color theme="0" tint="-0.14996795556505021"/>
      </top>
      <bottom style="double">
        <color theme="0" tint="-0.24994659260841701"/>
      </bottom>
      <diagonal/>
    </border>
    <border>
      <left style="thin">
        <color theme="0" tint="-0.14996795556505021"/>
      </left>
      <right style="thin">
        <color theme="0" tint="-0.1498764000366222"/>
      </right>
      <top style="thin">
        <color theme="0" tint="-0.14996795556505021"/>
      </top>
      <bottom style="double">
        <color theme="0" tint="-0.24994659260841701"/>
      </bottom>
      <diagonal/>
    </border>
    <border>
      <left style="double">
        <color theme="0" tint="-0.24994659260841701"/>
      </left>
      <right style="thin">
        <color theme="0" tint="-0.14996795556505021"/>
      </right>
      <top style="double">
        <color theme="0" tint="-0.24994659260841701"/>
      </top>
      <bottom style="double">
        <color theme="0" tint="-0.24994659260841701"/>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top style="double">
        <color theme="0" tint="-0.14993743705557422"/>
      </top>
      <bottom style="thin">
        <color theme="0" tint="-0.14990691854609822"/>
      </bottom>
      <diagonal/>
    </border>
    <border>
      <left style="thin">
        <color theme="0" tint="-0.14996795556505021"/>
      </left>
      <right style="double">
        <color theme="0" tint="-0.34998626667073579"/>
      </right>
      <top style="double">
        <color theme="0" tint="-0.24994659260841701"/>
      </top>
      <bottom style="thin">
        <color theme="0" tint="-0.14993743705557422"/>
      </bottom>
      <diagonal/>
    </border>
    <border>
      <left style="double">
        <color theme="0" tint="-0.34998626667073579"/>
      </left>
      <right/>
      <top style="thin">
        <color theme="0" tint="-0.14990691854609822"/>
      </top>
      <bottom style="thin">
        <color theme="0" tint="-0.14990691854609822"/>
      </bottom>
      <diagonal/>
    </border>
    <border>
      <left style="thin">
        <color theme="0" tint="-0.14996795556505021"/>
      </left>
      <right style="double">
        <color theme="0" tint="-0.34998626667073579"/>
      </right>
      <top style="thin">
        <color theme="0" tint="-0.14993743705557422"/>
      </top>
      <bottom style="thin">
        <color theme="0" tint="-0.14993743705557422"/>
      </bottom>
      <diagonal/>
    </border>
    <border>
      <left style="double">
        <color theme="0" tint="-0.34998626667073579"/>
      </left>
      <right/>
      <top style="thin">
        <color theme="0" tint="-0.14990691854609822"/>
      </top>
      <bottom style="double">
        <color theme="0" tint="-0.14990691854609822"/>
      </bottom>
      <diagonal/>
    </border>
    <border>
      <left style="thin">
        <color theme="0" tint="-0.14996795556505021"/>
      </left>
      <right style="double">
        <color theme="0" tint="-0.34998626667073579"/>
      </right>
      <top style="thin">
        <color theme="0" tint="-0.14993743705557422"/>
      </top>
      <bottom style="double">
        <color theme="0" tint="-0.24994659260841701"/>
      </bottom>
      <diagonal/>
    </border>
    <border>
      <left style="double">
        <color theme="0" tint="-0.34998626667073579"/>
      </left>
      <right/>
      <top style="double">
        <color theme="0" tint="-0.24994659260841701"/>
      </top>
      <bottom style="double">
        <color theme="0" tint="-0.34998626667073579"/>
      </bottom>
      <diagonal/>
    </border>
    <border>
      <left/>
      <right style="thin">
        <color theme="0" tint="-0.34998626667073579"/>
      </right>
      <top style="double">
        <color theme="0" tint="-0.24994659260841701"/>
      </top>
      <bottom style="double">
        <color theme="0" tint="-0.34998626667073579"/>
      </bottom>
      <diagonal/>
    </border>
    <border>
      <left style="thin">
        <color theme="0" tint="-0.34998626667073579"/>
      </left>
      <right style="thin">
        <color theme="0" tint="-0.34998626667073579"/>
      </right>
      <top style="double">
        <color theme="0" tint="-0.24994659260841701"/>
      </top>
      <bottom style="double">
        <color theme="0" tint="-0.34998626667073579"/>
      </bottom>
      <diagonal/>
    </border>
    <border>
      <left style="thin">
        <color theme="0" tint="-0.1498764000366222"/>
      </left>
      <right style="double">
        <color theme="0" tint="-0.34998626667073579"/>
      </right>
      <top style="double">
        <color theme="0" tint="-0.24994659260841701"/>
      </top>
      <bottom style="double">
        <color theme="0" tint="-0.34998626667073579"/>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double">
        <color theme="0" tint="-0.24994659260841701"/>
      </right>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double">
        <color theme="0" tint="-0.24994659260841701"/>
      </left>
      <right style="double">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4659260841701"/>
      </left>
      <right/>
      <top/>
      <bottom style="double">
        <color theme="0" tint="-0.24994659260841701"/>
      </bottom>
      <diagonal/>
    </border>
    <border>
      <left style="thin">
        <color theme="0" tint="-0.24994659260841701"/>
      </left>
      <right/>
      <top style="double">
        <color theme="0" tint="-0.24994659260841701"/>
      </top>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double">
        <color theme="0" tint="-0.24994659260841701"/>
      </right>
      <top/>
      <bottom style="double">
        <color theme="0" tint="-0.24994659260841701"/>
      </bottom>
      <diagonal/>
    </border>
    <border>
      <left/>
      <right style="thin">
        <color theme="0" tint="-0.24994659260841701"/>
      </right>
      <top style="double">
        <color theme="0" tint="-0.24994659260841701"/>
      </top>
      <bottom/>
      <diagonal/>
    </border>
    <border>
      <left style="thin">
        <color theme="0" tint="-0.14996795556505021"/>
      </left>
      <right style="double">
        <color theme="0" tint="-0.14996795556505021"/>
      </right>
      <top style="double">
        <color theme="0" tint="-0.14993743705557422"/>
      </top>
      <bottom style="double">
        <color theme="0" tint="-0.14996795556505021"/>
      </bottom>
      <diagonal/>
    </border>
    <border>
      <left style="thin">
        <color theme="0" tint="-0.14996795556505021"/>
      </left>
      <right style="thin">
        <color theme="0" tint="-0.14996795556505021"/>
      </right>
      <top style="double">
        <color theme="0" tint="-0.14993743705557422"/>
      </top>
      <bottom style="double">
        <color theme="0" tint="-0.14996795556505021"/>
      </bottom>
      <diagonal/>
    </border>
    <border>
      <left style="double">
        <color theme="0" tint="-0.14990691854609822"/>
      </left>
      <right/>
      <top style="double">
        <color theme="0" tint="-0.14990691854609822"/>
      </top>
      <bottom/>
      <diagonal/>
    </border>
    <border>
      <left/>
      <right/>
      <top style="double">
        <color theme="0" tint="-0.14990691854609822"/>
      </top>
      <bottom/>
      <diagonal/>
    </border>
    <border>
      <left style="double">
        <color theme="0" tint="-0.14990691854609822"/>
      </left>
      <right/>
      <top/>
      <bottom/>
      <diagonal/>
    </border>
    <border>
      <left/>
      <right style="double">
        <color theme="0" tint="-0.14990691854609822"/>
      </right>
      <top/>
      <bottom/>
      <diagonal/>
    </border>
    <border>
      <left/>
      <right style="double">
        <color theme="0" tint="-0.24994659260841701"/>
      </right>
      <top style="double">
        <color theme="0" tint="-0.24994659260841701"/>
      </top>
      <bottom style="thin">
        <color theme="0" tint="-0.24994659260841701"/>
      </bottom>
      <diagonal/>
    </border>
    <border>
      <left/>
      <right style="double">
        <color theme="0" tint="-0.14996795556505021"/>
      </right>
      <top/>
      <bottom style="double">
        <color theme="0" tint="-0.14993743705557422"/>
      </bottom>
      <diagonal/>
    </border>
    <border>
      <left style="double">
        <color theme="0" tint="-0.1498764000366222"/>
      </left>
      <right/>
      <top style="double">
        <color theme="0" tint="-0.1498458815271462"/>
      </top>
      <bottom/>
      <diagonal/>
    </border>
    <border>
      <left/>
      <right/>
      <top style="double">
        <color theme="0" tint="-0.1498458815271462"/>
      </top>
      <bottom/>
      <diagonal/>
    </border>
    <border>
      <left style="double">
        <color theme="0" tint="-0.1498764000366222"/>
      </left>
      <right/>
      <top/>
      <bottom/>
      <diagonal/>
    </border>
    <border>
      <left style="double">
        <color theme="0" tint="-0.1498764000366222"/>
      </left>
      <right/>
      <top/>
      <bottom style="double">
        <color theme="0" tint="-0.1498458815271462"/>
      </bottom>
      <diagonal/>
    </border>
    <border>
      <left/>
      <right/>
      <top/>
      <bottom style="double">
        <color theme="0" tint="-0.1498458815271462"/>
      </bottom>
      <diagonal/>
    </border>
    <border>
      <left/>
      <right style="double">
        <color theme="0" tint="-0.1498458815271462"/>
      </right>
      <top style="double">
        <color auto="1"/>
      </top>
      <bottom/>
      <diagonal/>
    </border>
    <border>
      <left/>
      <right style="double">
        <color theme="0" tint="-0.1498458815271462"/>
      </right>
      <top/>
      <bottom style="double">
        <color theme="0" tint="-0.1498458815271462"/>
      </bottom>
      <diagonal/>
    </border>
    <border>
      <left/>
      <right style="double">
        <color theme="0" tint="-0.1498458815271462"/>
      </right>
      <top/>
      <bottom/>
      <diagonal/>
    </border>
    <border>
      <left style="double">
        <color theme="0" tint="-0.14990691854609822"/>
      </left>
      <right/>
      <top/>
      <bottom style="double">
        <color theme="0" tint="-0.14993743705557422"/>
      </bottom>
      <diagonal/>
    </border>
    <border>
      <left/>
      <right style="double">
        <color theme="0" tint="-0.14990691854609822"/>
      </right>
      <top style="double">
        <color theme="0" tint="-0.14990691854609822"/>
      </top>
      <bottom style="double">
        <color theme="0" tint="-0.1498764000366222"/>
      </bottom>
      <diagonal/>
    </border>
    <border>
      <left style="thin">
        <color theme="0" tint="-0.14996795556505021"/>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indexed="64"/>
      </bottom>
      <diagonal/>
    </border>
    <border>
      <left style="thin">
        <color theme="0" tint="-0.14993743705557422"/>
      </left>
      <right/>
      <top style="double">
        <color theme="0" tint="-0.14993743705557422"/>
      </top>
      <bottom style="thin">
        <color theme="0" tint="-0.14993743705557422"/>
      </bottom>
      <diagonal/>
    </border>
    <border>
      <left/>
      <right style="double">
        <color theme="0" tint="-0.14993743705557422"/>
      </right>
      <top style="double">
        <color theme="0" tint="-0.14993743705557422"/>
      </top>
      <bottom style="thin">
        <color theme="0" tint="-0.14993743705557422"/>
      </bottom>
      <diagonal/>
    </border>
    <border>
      <left style="thin">
        <color theme="0" tint="-0.14993743705557422"/>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6795556505021"/>
      </right>
      <top style="thin">
        <color theme="0" tint="-0.14993743705557422"/>
      </top>
      <bottom style="double">
        <color theme="0" tint="-0.24994659260841701"/>
      </bottom>
      <diagonal/>
    </border>
    <border>
      <left style="double">
        <color theme="0" tint="-0.14993743705557422"/>
      </left>
      <right style="thin">
        <color theme="0" tint="-0.14996795556505021"/>
      </right>
      <top/>
      <bottom style="thin">
        <color theme="0" tint="-0.14996795556505021"/>
      </bottom>
      <diagonal/>
    </border>
    <border>
      <left style="thin">
        <color theme="0" tint="-0.14996795556505021"/>
      </left>
      <right/>
      <top style="double">
        <color theme="0" tint="-0.14993743705557422"/>
      </top>
      <bottom/>
      <diagonal/>
    </border>
    <border>
      <left/>
      <right/>
      <top style="double">
        <color theme="0" tint="-0.14993743705557422"/>
      </top>
      <bottom/>
      <diagonal/>
    </border>
    <border>
      <left/>
      <right style="double">
        <color theme="0" tint="-0.14993743705557422"/>
      </right>
      <top style="double">
        <color theme="0" tint="-0.1499374370555742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theme="0" tint="-0.14996795556505021"/>
      </left>
      <right/>
      <top style="double">
        <color theme="0" tint="-0.14993743705557422"/>
      </top>
      <bottom/>
      <diagonal/>
    </border>
    <border>
      <left/>
      <right style="thin">
        <color theme="0" tint="-0.14996795556505021"/>
      </right>
      <top/>
      <bottom/>
      <diagonal/>
    </border>
    <border>
      <left style="thin">
        <color theme="0" tint="-0.24994659260841701"/>
      </left>
      <right/>
      <top/>
      <bottom style="double">
        <color theme="0" tint="-0.14993743705557422"/>
      </bottom>
      <diagonal/>
    </border>
    <border>
      <left/>
      <right style="thin">
        <color theme="0" tint="-0.14996795556505021"/>
      </right>
      <top/>
      <bottom style="double">
        <color theme="0" tint="-0.14993743705557422"/>
      </bottom>
      <diagonal/>
    </border>
    <border>
      <left style="double">
        <color theme="0" tint="-0.14996795556505021"/>
      </left>
      <right/>
      <top/>
      <bottom style="double">
        <color theme="0" tint="-0.14993743705557422"/>
      </bottom>
      <diagonal/>
    </border>
    <border>
      <left style="thin">
        <color theme="0" tint="-0.24994659260841701"/>
      </left>
      <right/>
      <top style="thin">
        <color theme="0" tint="-0.14996795556505021"/>
      </top>
      <bottom style="double">
        <color theme="0" tint="-0.14993743705557422"/>
      </bottom>
      <diagonal/>
    </border>
    <border>
      <left style="thin">
        <color theme="0" tint="-0.14996795556505021"/>
      </left>
      <right style="thin">
        <color theme="0" tint="-0.14996795556505021"/>
      </right>
      <top/>
      <bottom style="double">
        <color theme="0" tint="-0.14993743705557422"/>
      </bottom>
      <diagonal/>
    </border>
    <border>
      <left style="thin">
        <color theme="0" tint="-0.14996795556505021"/>
      </left>
      <right style="double">
        <color theme="0" tint="-0.14996795556505021"/>
      </right>
      <top/>
      <bottom style="double">
        <color theme="0" tint="-0.14993743705557422"/>
      </bottom>
      <diagonal/>
    </border>
    <border>
      <left style="thin">
        <color theme="0" tint="-0.14996795556505021"/>
      </left>
      <right style="double">
        <color theme="0" tint="-0.14996795556505021"/>
      </right>
      <top/>
      <bottom/>
      <diagonal/>
    </border>
    <border>
      <left style="thin">
        <color theme="0" tint="-0.14996795556505021"/>
      </left>
      <right style="double">
        <color theme="0" tint="-0.14996795556505021"/>
      </right>
      <top/>
      <bottom style="double">
        <color theme="0" tint="-0.14996795556505021"/>
      </bottom>
      <diagonal/>
    </border>
    <border>
      <left/>
      <right style="thin">
        <color indexed="64"/>
      </right>
      <top style="thin">
        <color indexed="64"/>
      </top>
      <bottom/>
      <diagonal/>
    </border>
    <border>
      <left style="double">
        <color theme="0" tint="-0.14990691854609822"/>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double">
        <color theme="0" tint="-0.14990691854609822"/>
      </right>
      <top style="thin">
        <color theme="0" tint="-0.14996795556505021"/>
      </top>
      <bottom/>
      <diagonal/>
    </border>
    <border>
      <left style="thin">
        <color theme="0" tint="-0.14996795556505021"/>
      </left>
      <right style="double">
        <color theme="0" tint="-0.1498764000366222"/>
      </right>
      <top style="double">
        <color theme="0" tint="-0.1498764000366222"/>
      </top>
      <bottom style="double">
        <color theme="0" tint="-0.14993743705557422"/>
      </bottom>
      <diagonal/>
    </border>
    <border>
      <left style="thin">
        <color theme="0" tint="-0.14996795556505021"/>
      </left>
      <right style="thin">
        <color theme="0" tint="-0.14996795556505021"/>
      </right>
      <top style="double">
        <color theme="0" tint="-0.1498764000366222"/>
      </top>
      <bottom style="double">
        <color theme="0" tint="-0.14993743705557422"/>
      </bottom>
      <diagonal/>
    </border>
    <border>
      <left style="double">
        <color theme="0" tint="-0.1498764000366222"/>
      </left>
      <right style="thin">
        <color theme="0" tint="-0.14996795556505021"/>
      </right>
      <top style="double">
        <color theme="0" tint="-0.1498764000366222"/>
      </top>
      <bottom style="double">
        <color theme="0" tint="-0.1498458815271462"/>
      </bottom>
      <diagonal/>
    </border>
  </borders>
  <cellStyleXfs count="7">
    <xf numFmtId="0" fontId="0" fillId="0" borderId="0"/>
    <xf numFmtId="43" fontId="1" fillId="0" borderId="0" applyFont="0" applyFill="0" applyBorder="0" applyAlignment="0" applyProtection="0"/>
    <xf numFmtId="167" fontId="25" fillId="0" borderId="0" applyFont="0" applyFill="0" applyBorder="0" applyAlignment="0" applyProtection="0"/>
    <xf numFmtId="0" fontId="1" fillId="0" borderId="0"/>
    <xf numFmtId="0" fontId="25" fillId="0" borderId="0"/>
    <xf numFmtId="9" fontId="25" fillId="0" borderId="0" applyFont="0" applyFill="0" applyBorder="0" applyAlignment="0" applyProtection="0"/>
    <xf numFmtId="168" fontId="25" fillId="0" borderId="0" applyFont="0" applyFill="0" applyBorder="0" applyAlignment="0" applyProtection="0"/>
  </cellStyleXfs>
  <cellXfs count="1273">
    <xf numFmtId="0" fontId="0" fillId="0" borderId="0" xfId="0"/>
    <xf numFmtId="0" fontId="11" fillId="6" borderId="0" xfId="0" applyFont="1" applyFill="1" applyProtection="1">
      <protection hidden="1"/>
    </xf>
    <xf numFmtId="0" fontId="11" fillId="6" borderId="0" xfId="0" applyFont="1" applyFill="1" applyBorder="1" applyProtection="1">
      <protection hidden="1"/>
    </xf>
    <xf numFmtId="0" fontId="2" fillId="6" borderId="0" xfId="0" applyFont="1" applyFill="1" applyBorder="1" applyAlignment="1" applyProtection="1">
      <protection hidden="1"/>
    </xf>
    <xf numFmtId="4" fontId="17" fillId="6" borderId="0" xfId="0" applyNumberFormat="1" applyFont="1" applyFill="1" applyBorder="1" applyAlignment="1" applyProtection="1">
      <alignment horizontal="center"/>
      <protection hidden="1"/>
    </xf>
    <xf numFmtId="166" fontId="18" fillId="6" borderId="0" xfId="0" applyNumberFormat="1" applyFont="1" applyFill="1" applyBorder="1" applyAlignment="1" applyProtection="1">
      <alignment horizontal="center" vertical="center"/>
      <protection hidden="1"/>
    </xf>
    <xf numFmtId="0" fontId="19" fillId="11" borderId="94" xfId="0" applyFont="1" applyFill="1" applyBorder="1" applyAlignment="1" applyProtection="1">
      <alignment horizontal="center" vertical="center" wrapText="1"/>
      <protection hidden="1"/>
    </xf>
    <xf numFmtId="0" fontId="15" fillId="11" borderId="92" xfId="0" applyFont="1" applyFill="1" applyBorder="1" applyAlignment="1" applyProtection="1">
      <alignment horizontal="center" vertical="center" wrapText="1"/>
      <protection hidden="1"/>
    </xf>
    <xf numFmtId="0" fontId="15" fillId="11" borderId="93" xfId="0" applyFont="1" applyFill="1" applyBorder="1" applyAlignment="1" applyProtection="1">
      <alignment horizontal="center" vertical="center" wrapText="1"/>
      <protection hidden="1"/>
    </xf>
    <xf numFmtId="0" fontId="15" fillId="11" borderId="94" xfId="0" applyFont="1" applyFill="1" applyBorder="1" applyAlignment="1" applyProtection="1">
      <alignment horizontal="center" vertical="center" wrapText="1"/>
      <protection hidden="1"/>
    </xf>
    <xf numFmtId="4" fontId="20" fillId="7" borderId="100" xfId="0" applyNumberFormat="1" applyFont="1" applyFill="1" applyBorder="1" applyAlignment="1" applyProtection="1">
      <alignment horizontal="center" vertical="center" wrapText="1"/>
      <protection hidden="1"/>
    </xf>
    <xf numFmtId="4" fontId="20" fillId="7" borderId="104" xfId="0" applyNumberFormat="1" applyFont="1" applyFill="1" applyBorder="1" applyAlignment="1" applyProtection="1">
      <alignment horizontal="center" vertical="center" wrapText="1"/>
      <protection hidden="1"/>
    </xf>
    <xf numFmtId="4" fontId="20" fillId="7" borderId="107" xfId="0" applyNumberFormat="1" applyFont="1" applyFill="1" applyBorder="1" applyAlignment="1" applyProtection="1">
      <alignment horizontal="center" vertical="center" wrapText="1"/>
      <protection hidden="1"/>
    </xf>
    <xf numFmtId="4" fontId="20" fillId="11" borderId="96" xfId="0" applyNumberFormat="1" applyFont="1" applyFill="1" applyBorder="1" applyAlignment="1" applyProtection="1">
      <alignment horizontal="center" vertical="center" wrapText="1"/>
      <protection hidden="1"/>
    </xf>
    <xf numFmtId="0" fontId="15" fillId="6" borderId="0" xfId="0" applyFont="1" applyFill="1" applyBorder="1" applyAlignment="1" applyProtection="1">
      <alignment vertical="center"/>
      <protection hidden="1"/>
    </xf>
    <xf numFmtId="0" fontId="11" fillId="6" borderId="0" xfId="0" applyFont="1" applyFill="1" applyAlignment="1" applyProtection="1">
      <alignment wrapText="1"/>
      <protection hidden="1"/>
    </xf>
    <xf numFmtId="4" fontId="23" fillId="5" borderId="8" xfId="0" applyNumberFormat="1" applyFont="1" applyFill="1" applyBorder="1" applyAlignment="1" applyProtection="1">
      <alignment horizontal="center" vertical="center"/>
      <protection hidden="1"/>
    </xf>
    <xf numFmtId="4" fontId="11" fillId="6" borderId="8" xfId="0" applyNumberFormat="1" applyFont="1" applyFill="1" applyBorder="1" applyAlignment="1" applyProtection="1">
      <alignment horizontal="center"/>
      <protection locked="0"/>
    </xf>
    <xf numFmtId="4" fontId="23" fillId="5" borderId="33" xfId="0" applyNumberFormat="1" applyFont="1" applyFill="1" applyBorder="1" applyAlignment="1" applyProtection="1">
      <alignment horizontal="center" vertical="center"/>
      <protection hidden="1"/>
    </xf>
    <xf numFmtId="4" fontId="23" fillId="5" borderId="12" xfId="0" applyNumberFormat="1" applyFont="1" applyFill="1" applyBorder="1" applyAlignment="1" applyProtection="1">
      <alignment horizontal="center" vertical="center"/>
      <protection hidden="1"/>
    </xf>
    <xf numFmtId="4" fontId="15" fillId="6" borderId="0" xfId="0" applyNumberFormat="1" applyFont="1" applyFill="1" applyBorder="1" applyAlignment="1" applyProtection="1">
      <alignment horizontal="center"/>
      <protection hidden="1"/>
    </xf>
    <xf numFmtId="0" fontId="23" fillId="6" borderId="8"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hidden="1"/>
    </xf>
    <xf numFmtId="4" fontId="23" fillId="6" borderId="8" xfId="0" applyNumberFormat="1" applyFont="1" applyFill="1" applyBorder="1" applyAlignment="1" applyProtection="1">
      <alignment horizontal="center" vertical="center"/>
      <protection locked="0"/>
    </xf>
    <xf numFmtId="4" fontId="23" fillId="6" borderId="102" xfId="0" applyNumberFormat="1" applyFont="1" applyFill="1" applyBorder="1" applyAlignment="1" applyProtection="1">
      <alignment horizontal="center" vertical="center"/>
      <protection locked="0"/>
    </xf>
    <xf numFmtId="4" fontId="11" fillId="4" borderId="8" xfId="0" applyNumberFormat="1" applyFont="1" applyFill="1" applyBorder="1" applyAlignment="1" applyProtection="1">
      <alignment horizontal="center"/>
      <protection hidden="1"/>
    </xf>
    <xf numFmtId="4" fontId="11" fillId="5" borderId="8" xfId="0" applyNumberFormat="1" applyFont="1" applyFill="1" applyBorder="1" applyAlignment="1" applyProtection="1">
      <alignment horizontal="center"/>
      <protection hidden="1"/>
    </xf>
    <xf numFmtId="4" fontId="23" fillId="6" borderId="33" xfId="0" applyNumberFormat="1" applyFont="1" applyFill="1" applyBorder="1" applyAlignment="1" applyProtection="1">
      <alignment horizontal="center" vertical="center"/>
      <protection locked="0"/>
    </xf>
    <xf numFmtId="4" fontId="11" fillId="4" borderId="33" xfId="0" applyNumberFormat="1" applyFont="1" applyFill="1" applyBorder="1" applyAlignment="1" applyProtection="1">
      <alignment horizontal="center"/>
      <protection hidden="1"/>
    </xf>
    <xf numFmtId="4" fontId="11" fillId="6" borderId="33" xfId="0" applyNumberFormat="1" applyFont="1" applyFill="1" applyBorder="1" applyAlignment="1" applyProtection="1">
      <alignment horizontal="center"/>
      <protection locked="0"/>
    </xf>
    <xf numFmtId="0" fontId="9" fillId="6" borderId="110" xfId="0" applyFont="1" applyFill="1" applyBorder="1" applyProtection="1">
      <protection hidden="1"/>
    </xf>
    <xf numFmtId="0" fontId="9" fillId="6" borderId="0" xfId="0" applyFont="1" applyFill="1" applyBorder="1" applyProtection="1">
      <protection hidden="1"/>
    </xf>
    <xf numFmtId="0" fontId="9" fillId="6" borderId="0" xfId="0" applyFont="1" applyFill="1" applyProtection="1">
      <protection hidden="1"/>
    </xf>
    <xf numFmtId="3" fontId="23" fillId="6" borderId="12" xfId="0" applyNumberFormat="1" applyFont="1" applyFill="1" applyBorder="1" applyAlignment="1" applyProtection="1">
      <alignment horizontal="center" vertical="center"/>
      <protection locked="0"/>
    </xf>
    <xf numFmtId="3" fontId="23" fillId="6" borderId="8" xfId="0" applyNumberFormat="1" applyFont="1" applyFill="1" applyBorder="1" applyAlignment="1" applyProtection="1">
      <alignment horizontal="center" vertical="center"/>
      <protection locked="0"/>
    </xf>
    <xf numFmtId="4" fontId="23" fillId="6" borderId="12" xfId="0" applyNumberFormat="1"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protection locked="0"/>
    </xf>
    <xf numFmtId="1" fontId="23" fillId="6" borderId="8" xfId="0" applyNumberFormat="1" applyFont="1" applyFill="1" applyBorder="1" applyAlignment="1" applyProtection="1">
      <alignment horizontal="center" vertical="center"/>
      <protection locked="0"/>
    </xf>
    <xf numFmtId="4" fontId="16" fillId="6" borderId="0" xfId="0" applyNumberFormat="1" applyFont="1" applyFill="1" applyBorder="1" applyAlignment="1" applyProtection="1">
      <alignment horizontal="center" vertical="center"/>
      <protection locked="0"/>
    </xf>
    <xf numFmtId="4" fontId="23" fillId="4" borderId="8"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protection hidden="1"/>
    </xf>
    <xf numFmtId="4" fontId="24" fillId="6" borderId="0" xfId="0" applyNumberFormat="1" applyFont="1" applyFill="1" applyBorder="1" applyAlignment="1" applyProtection="1">
      <alignment horizontal="center" vertical="center"/>
      <protection hidden="1"/>
    </xf>
    <xf numFmtId="0" fontId="24" fillId="6" borderId="0" xfId="0" applyFont="1" applyFill="1" applyBorder="1" applyAlignment="1" applyProtection="1">
      <alignment horizontal="center" vertical="center"/>
      <protection hidden="1"/>
    </xf>
    <xf numFmtId="3" fontId="24" fillId="6" borderId="0" xfId="0" applyNumberFormat="1" applyFont="1" applyFill="1" applyBorder="1" applyAlignment="1" applyProtection="1">
      <alignment horizontal="center" vertical="center"/>
      <protection hidden="1"/>
    </xf>
    <xf numFmtId="1" fontId="23" fillId="4" borderId="8" xfId="0" applyNumberFormat="1" applyFont="1" applyFill="1" applyBorder="1" applyAlignment="1" applyProtection="1">
      <alignment horizontal="center" vertical="center"/>
      <protection hidden="1"/>
    </xf>
    <xf numFmtId="3" fontId="23" fillId="4" borderId="12" xfId="0" applyNumberFormat="1" applyFont="1" applyFill="1" applyBorder="1" applyAlignment="1" applyProtection="1">
      <alignment horizontal="center" vertical="center"/>
      <protection hidden="1"/>
    </xf>
    <xf numFmtId="3" fontId="23" fillId="11" borderId="8" xfId="0" applyNumberFormat="1" applyFont="1" applyFill="1" applyBorder="1" applyAlignment="1" applyProtection="1">
      <alignment horizontal="center" vertical="center"/>
      <protection locked="0"/>
    </xf>
    <xf numFmtId="0" fontId="15" fillId="7" borderId="180" xfId="0" applyFont="1" applyFill="1" applyBorder="1" applyAlignment="1" applyProtection="1">
      <alignment vertical="center" wrapText="1"/>
      <protection hidden="1"/>
    </xf>
    <xf numFmtId="0" fontId="15" fillId="7" borderId="181" xfId="0" applyFont="1" applyFill="1" applyBorder="1" applyAlignment="1" applyProtection="1">
      <alignment vertical="center" wrapText="1"/>
      <protection hidden="1"/>
    </xf>
    <xf numFmtId="0" fontId="15" fillId="7" borderId="182" xfId="0" applyFont="1" applyFill="1" applyBorder="1" applyAlignment="1" applyProtection="1">
      <alignment vertical="center" wrapText="1"/>
      <protection hidden="1"/>
    </xf>
    <xf numFmtId="0" fontId="0" fillId="6" borderId="0" xfId="0" applyFill="1" applyAlignment="1" applyProtection="1">
      <alignment vertical="center"/>
      <protection hidden="1"/>
    </xf>
    <xf numFmtId="0" fontId="11" fillId="6" borderId="0" xfId="0" applyFont="1" applyFill="1" applyAlignment="1" applyProtection="1">
      <alignment vertical="center"/>
      <protection hidden="1"/>
    </xf>
    <xf numFmtId="0" fontId="27" fillId="6" borderId="0" xfId="0" applyFont="1" applyFill="1" applyAlignment="1" applyProtection="1">
      <alignment horizontal="center" vertical="center"/>
      <protection hidden="1"/>
    </xf>
    <xf numFmtId="0" fontId="15" fillId="7" borderId="210" xfId="0" applyFont="1" applyFill="1" applyBorder="1" applyAlignment="1" applyProtection="1">
      <alignment vertical="center" wrapText="1"/>
      <protection hidden="1"/>
    </xf>
    <xf numFmtId="4" fontId="20" fillId="7" borderId="109" xfId="0" applyNumberFormat="1" applyFont="1" applyFill="1" applyBorder="1" applyAlignment="1" applyProtection="1">
      <alignment horizontal="center" vertical="center" wrapText="1"/>
      <protection hidden="1"/>
    </xf>
    <xf numFmtId="0" fontId="15" fillId="11" borderId="108" xfId="0" applyFont="1" applyFill="1" applyBorder="1" applyAlignment="1" applyProtection="1">
      <alignment horizontal="left" vertical="center" wrapText="1"/>
      <protection hidden="1"/>
    </xf>
    <xf numFmtId="0" fontId="15" fillId="11" borderId="90" xfId="0" applyFont="1" applyFill="1" applyBorder="1" applyAlignment="1" applyProtection="1">
      <alignment vertical="center"/>
      <protection hidden="1"/>
    </xf>
    <xf numFmtId="0" fontId="15" fillId="6" borderId="0" xfId="0" applyFont="1" applyFill="1" applyBorder="1" applyAlignment="1" applyProtection="1">
      <alignment vertical="center" wrapText="1"/>
      <protection hidden="1"/>
    </xf>
    <xf numFmtId="0" fontId="15" fillId="6" borderId="0" xfId="0" applyFont="1" applyFill="1" applyBorder="1" applyAlignment="1" applyProtection="1">
      <alignment horizontal="center" vertical="center" wrapText="1"/>
      <protection hidden="1"/>
    </xf>
    <xf numFmtId="2" fontId="21" fillId="7" borderId="98" xfId="0" applyNumberFormat="1" applyFont="1" applyFill="1" applyBorder="1" applyAlignment="1" applyProtection="1">
      <alignment horizontal="center" vertical="center" wrapText="1"/>
      <protection hidden="1"/>
    </xf>
    <xf numFmtId="0" fontId="21" fillId="7" borderId="99" xfId="0" applyFont="1" applyFill="1" applyBorder="1" applyAlignment="1" applyProtection="1">
      <alignment horizontal="center" vertical="center" wrapText="1"/>
      <protection hidden="1"/>
    </xf>
    <xf numFmtId="2" fontId="22" fillId="11" borderId="105" xfId="0" applyNumberFormat="1" applyFont="1" applyFill="1" applyBorder="1" applyAlignment="1" applyProtection="1">
      <alignment horizontal="center" vertical="center" wrapText="1"/>
      <protection hidden="1"/>
    </xf>
    <xf numFmtId="4" fontId="23" fillId="7" borderId="8" xfId="0" applyNumberFormat="1" applyFont="1" applyFill="1" applyBorder="1" applyAlignment="1" applyProtection="1">
      <alignment horizontal="center" vertical="center" wrapText="1"/>
      <protection hidden="1"/>
    </xf>
    <xf numFmtId="4" fontId="31" fillId="7" borderId="8" xfId="0" applyNumberFormat="1" applyFont="1" applyFill="1" applyBorder="1" applyAlignment="1" applyProtection="1">
      <alignment horizontal="center" vertical="center" wrapText="1"/>
      <protection hidden="1"/>
    </xf>
    <xf numFmtId="4" fontId="11" fillId="7" borderId="99" xfId="0" applyNumberFormat="1" applyFont="1" applyFill="1" applyBorder="1" applyAlignment="1" applyProtection="1">
      <alignment horizontal="center" vertical="center" wrapText="1"/>
      <protection hidden="1"/>
    </xf>
    <xf numFmtId="0" fontId="11" fillId="7" borderId="99" xfId="0" applyFont="1" applyFill="1" applyBorder="1" applyAlignment="1" applyProtection="1">
      <alignment horizontal="center" vertical="center" wrapText="1"/>
      <protection hidden="1"/>
    </xf>
    <xf numFmtId="0" fontId="11" fillId="7" borderId="100" xfId="0" applyFont="1" applyFill="1" applyBorder="1" applyAlignment="1" applyProtection="1">
      <alignment horizontal="center" vertical="center" wrapText="1"/>
      <protection hidden="1"/>
    </xf>
    <xf numFmtId="4" fontId="23" fillId="7" borderId="104" xfId="0" applyNumberFormat="1" applyFont="1" applyFill="1" applyBorder="1" applyAlignment="1" applyProtection="1">
      <alignment horizontal="center" vertical="center" wrapText="1"/>
      <protection hidden="1"/>
    </xf>
    <xf numFmtId="2" fontId="21" fillId="7" borderId="101" xfId="0" applyNumberFormat="1" applyFont="1" applyFill="1" applyBorder="1" applyAlignment="1" applyProtection="1">
      <alignment horizontal="center" vertical="center" wrapText="1"/>
      <protection hidden="1"/>
    </xf>
    <xf numFmtId="14" fontId="23" fillId="6" borderId="8" xfId="0" applyNumberFormat="1" applyFont="1" applyFill="1" applyBorder="1" applyAlignment="1" applyProtection="1">
      <alignment horizontal="center" vertical="center"/>
      <protection locked="0"/>
    </xf>
    <xf numFmtId="14" fontId="23" fillId="6" borderId="12" xfId="0" applyNumberFormat="1" applyFont="1" applyFill="1" applyBorder="1" applyAlignment="1" applyProtection="1">
      <alignment horizontal="center" vertical="center"/>
      <protection locked="0"/>
    </xf>
    <xf numFmtId="0" fontId="9" fillId="6" borderId="0" xfId="0" applyFont="1" applyFill="1" applyAlignment="1" applyProtection="1">
      <alignment wrapText="1"/>
      <protection hidden="1"/>
    </xf>
    <xf numFmtId="0" fontId="4" fillId="6" borderId="0" xfId="0" applyFont="1" applyFill="1" applyBorder="1" applyAlignment="1" applyProtection="1">
      <alignment horizontal="center"/>
      <protection hidden="1"/>
    </xf>
    <xf numFmtId="4" fontId="20" fillId="6" borderId="0" xfId="0" applyNumberFormat="1" applyFont="1" applyFill="1" applyBorder="1" applyAlignment="1" applyProtection="1">
      <alignment horizontal="center" vertical="center"/>
      <protection hidden="1"/>
    </xf>
    <xf numFmtId="1" fontId="11" fillId="6" borderId="0" xfId="0" applyNumberFormat="1" applyFont="1" applyFill="1" applyBorder="1" applyAlignment="1">
      <alignment horizontal="center" vertical="center"/>
    </xf>
    <xf numFmtId="0" fontId="15" fillId="6" borderId="0" xfId="0" applyFont="1" applyFill="1" applyBorder="1" applyAlignment="1" applyProtection="1">
      <protection hidden="1"/>
    </xf>
    <xf numFmtId="0" fontId="15" fillId="6" borderId="0" xfId="0" applyFont="1" applyFill="1" applyBorder="1" applyAlignment="1" applyProtection="1">
      <alignment horizontal="left" vertical="center"/>
      <protection hidden="1"/>
    </xf>
    <xf numFmtId="0" fontId="15" fillId="7" borderId="90" xfId="0" applyFont="1" applyFill="1" applyBorder="1" applyAlignment="1" applyProtection="1">
      <alignment vertical="center"/>
      <protection hidden="1"/>
    </xf>
    <xf numFmtId="0" fontId="11" fillId="6" borderId="0" xfId="0" applyFont="1" applyFill="1" applyAlignment="1" applyProtection="1">
      <protection hidden="1"/>
    </xf>
    <xf numFmtId="0" fontId="11" fillId="6" borderId="0" xfId="0" applyFont="1" applyFill="1" applyAlignment="1" applyProtection="1">
      <alignment horizontal="center" vertical="center"/>
      <protection hidden="1"/>
    </xf>
    <xf numFmtId="0" fontId="27" fillId="6" borderId="0" xfId="0" applyFont="1" applyFill="1" applyBorder="1" applyAlignment="1" applyProtection="1">
      <alignment vertical="center"/>
      <protection hidden="1"/>
    </xf>
    <xf numFmtId="1" fontId="23" fillId="4" borderId="33" xfId="0" applyNumberFormat="1"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43" fontId="32" fillId="21" borderId="66" xfId="1" applyFont="1" applyFill="1" applyBorder="1" applyAlignment="1" applyProtection="1">
      <alignment horizontal="center" vertical="center" wrapText="1"/>
      <protection hidden="1"/>
    </xf>
    <xf numFmtId="0" fontId="11" fillId="7" borderId="91" xfId="0" applyFont="1" applyFill="1" applyBorder="1" applyAlignment="1" applyProtection="1">
      <alignment vertical="center"/>
      <protection hidden="1"/>
    </xf>
    <xf numFmtId="0" fontId="11" fillId="6" borderId="213" xfId="0"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2" fontId="11" fillId="6" borderId="0" xfId="0" applyNumberFormat="1" applyFont="1" applyFill="1" applyAlignment="1" applyProtection="1">
      <alignment vertical="center"/>
      <protection hidden="1"/>
    </xf>
    <xf numFmtId="4" fontId="19" fillId="11" borderId="106" xfId="0" applyNumberFormat="1" applyFont="1" applyFill="1" applyBorder="1" applyAlignment="1" applyProtection="1">
      <alignment horizontal="center" vertical="center" wrapText="1"/>
      <protection hidden="1"/>
    </xf>
    <xf numFmtId="2" fontId="40" fillId="11" borderId="106" xfId="0" applyNumberFormat="1" applyFont="1" applyFill="1" applyBorder="1" applyAlignment="1" applyProtection="1">
      <alignment horizontal="center" vertical="center" wrapText="1"/>
      <protection hidden="1"/>
    </xf>
    <xf numFmtId="4" fontId="19" fillId="11" borderId="107" xfId="0" applyNumberFormat="1" applyFont="1" applyFill="1" applyBorder="1" applyAlignment="1" applyProtection="1">
      <alignment horizontal="center" vertical="center" wrapText="1"/>
      <protection hidden="1"/>
    </xf>
    <xf numFmtId="170" fontId="33" fillId="21" borderId="175" xfId="1" applyNumberFormat="1" applyFont="1" applyFill="1" applyBorder="1" applyAlignment="1" applyProtection="1">
      <alignment horizontal="center" vertical="center"/>
      <protection hidden="1"/>
    </xf>
    <xf numFmtId="166" fontId="26" fillId="6" borderId="243" xfId="0" applyNumberFormat="1" applyFont="1" applyFill="1" applyBorder="1" applyAlignment="1" applyProtection="1">
      <alignment horizontal="center" vertical="center"/>
      <protection locked="0"/>
    </xf>
    <xf numFmtId="0" fontId="19" fillId="6" borderId="0" xfId="0" applyFont="1" applyFill="1" applyBorder="1" applyAlignment="1" applyProtection="1">
      <alignment horizontal="center" vertical="center"/>
      <protection hidden="1"/>
    </xf>
    <xf numFmtId="3" fontId="20" fillId="6" borderId="0" xfId="0" applyNumberFormat="1" applyFont="1" applyFill="1" applyBorder="1" applyAlignment="1" applyProtection="1">
      <alignment horizontal="center" vertical="center"/>
      <protection hidden="1"/>
    </xf>
    <xf numFmtId="0" fontId="11" fillId="4" borderId="254" xfId="0" applyFont="1" applyFill="1" applyBorder="1" applyProtection="1">
      <protection hidden="1"/>
    </xf>
    <xf numFmtId="0" fontId="11" fillId="4" borderId="299" xfId="0" applyFont="1" applyFill="1" applyBorder="1" applyProtection="1">
      <protection hidden="1"/>
    </xf>
    <xf numFmtId="0" fontId="15" fillId="7" borderId="56" xfId="0" applyFont="1" applyFill="1" applyBorder="1" applyAlignment="1" applyProtection="1">
      <alignment horizontal="left" vertical="center"/>
      <protection hidden="1"/>
    </xf>
    <xf numFmtId="0" fontId="11" fillId="4" borderId="253" xfId="0" applyFont="1" applyFill="1" applyBorder="1" applyProtection="1">
      <protection hidden="1"/>
    </xf>
    <xf numFmtId="1" fontId="23" fillId="4" borderId="12" xfId="0" applyNumberFormat="1" applyFont="1" applyFill="1" applyBorder="1" applyAlignment="1" applyProtection="1">
      <alignment horizontal="center" vertical="center"/>
      <protection hidden="1"/>
    </xf>
    <xf numFmtId="4" fontId="23" fillId="4" borderId="12" xfId="0" applyNumberFormat="1" applyFont="1" applyFill="1" applyBorder="1" applyAlignment="1" applyProtection="1">
      <alignment horizontal="center" vertical="center"/>
      <protection hidden="1"/>
    </xf>
    <xf numFmtId="0" fontId="19" fillId="11" borderId="150" xfId="0" applyFont="1" applyFill="1" applyBorder="1" applyAlignment="1" applyProtection="1">
      <alignment vertical="center" wrapText="1"/>
      <protection hidden="1"/>
    </xf>
    <xf numFmtId="0" fontId="19" fillId="11" borderId="112" xfId="0" applyFont="1" applyFill="1" applyBorder="1" applyAlignment="1" applyProtection="1">
      <alignment horizontal="center" vertical="center" wrapText="1"/>
      <protection hidden="1"/>
    </xf>
    <xf numFmtId="0" fontId="19" fillId="11" borderId="155" xfId="0" applyFont="1" applyFill="1" applyBorder="1" applyAlignment="1" applyProtection="1">
      <alignment horizontal="center" vertical="center" wrapText="1"/>
      <protection hidden="1"/>
    </xf>
    <xf numFmtId="4" fontId="23" fillId="5" borderId="244" xfId="0" applyNumberFormat="1" applyFont="1" applyFill="1" applyBorder="1" applyAlignment="1" applyProtection="1">
      <alignment horizontal="center" vertical="center"/>
      <protection hidden="1"/>
    </xf>
    <xf numFmtId="0" fontId="19" fillId="11" borderId="243" xfId="0" applyFont="1" applyFill="1" applyBorder="1" applyAlignment="1" applyProtection="1">
      <alignment horizontal="center" vertical="center" wrapText="1"/>
      <protection hidden="1"/>
    </xf>
    <xf numFmtId="3" fontId="23" fillId="4" borderId="214" xfId="0" applyNumberFormat="1" applyFont="1" applyFill="1" applyBorder="1" applyAlignment="1" applyProtection="1">
      <alignment horizontal="center" vertical="center"/>
      <protection hidden="1"/>
    </xf>
    <xf numFmtId="4" fontId="23" fillId="4" borderId="33" xfId="0" applyNumberFormat="1" applyFont="1" applyFill="1" applyBorder="1" applyAlignment="1" applyProtection="1">
      <alignment horizontal="center" vertical="center"/>
      <protection hidden="1"/>
    </xf>
    <xf numFmtId="0" fontId="15" fillId="7" borderId="150" xfId="0" applyFont="1" applyFill="1" applyBorder="1" applyProtection="1">
      <protection hidden="1"/>
    </xf>
    <xf numFmtId="0" fontId="19" fillId="7" borderId="112" xfId="0" applyFont="1" applyFill="1" applyBorder="1" applyAlignment="1" applyProtection="1">
      <alignment horizontal="center" vertical="center"/>
      <protection hidden="1"/>
    </xf>
    <xf numFmtId="3" fontId="19" fillId="7" borderId="112" xfId="0" applyNumberFormat="1" applyFont="1" applyFill="1" applyBorder="1" applyAlignment="1" applyProtection="1">
      <alignment horizontal="center" vertical="center"/>
      <protection hidden="1"/>
    </xf>
    <xf numFmtId="4" fontId="20" fillId="7" borderId="112" xfId="0" applyNumberFormat="1" applyFont="1" applyFill="1" applyBorder="1" applyAlignment="1" applyProtection="1">
      <alignment horizontal="center" vertical="center"/>
      <protection hidden="1"/>
    </xf>
    <xf numFmtId="3" fontId="20" fillId="7" borderId="112" xfId="0" applyNumberFormat="1" applyFont="1" applyFill="1" applyBorder="1" applyAlignment="1" applyProtection="1">
      <alignment horizontal="center" vertical="center"/>
      <protection hidden="1"/>
    </xf>
    <xf numFmtId="4" fontId="20" fillId="7" borderId="155" xfId="0" applyNumberFormat="1" applyFont="1" applyFill="1" applyBorder="1" applyAlignment="1" applyProtection="1">
      <alignment horizontal="center" vertical="center"/>
      <protection hidden="1"/>
    </xf>
    <xf numFmtId="4" fontId="20" fillId="7" borderId="243" xfId="0" applyNumberFormat="1" applyFont="1" applyFill="1" applyBorder="1" applyAlignment="1" applyProtection="1">
      <alignment horizontal="center" vertical="center"/>
      <protection hidden="1"/>
    </xf>
    <xf numFmtId="4" fontId="11" fillId="6" borderId="254" xfId="0" applyNumberFormat="1" applyFont="1" applyFill="1" applyBorder="1" applyAlignment="1" applyProtection="1">
      <alignment horizontal="center"/>
      <protection locked="0"/>
    </xf>
    <xf numFmtId="4" fontId="11" fillId="5" borderId="9" xfId="0" applyNumberFormat="1" applyFont="1" applyFill="1" applyBorder="1" applyAlignment="1" applyProtection="1">
      <alignment horizontal="center"/>
      <protection hidden="1"/>
    </xf>
    <xf numFmtId="4" fontId="11" fillId="6" borderId="253" xfId="0" applyNumberFormat="1" applyFont="1" applyFill="1" applyBorder="1" applyAlignment="1" applyProtection="1">
      <alignment horizontal="center"/>
      <protection locked="0"/>
    </xf>
    <xf numFmtId="4" fontId="11" fillId="6" borderId="12" xfId="0" applyNumberFormat="1" applyFont="1" applyFill="1" applyBorder="1" applyAlignment="1" applyProtection="1">
      <alignment horizontal="center"/>
      <protection locked="0"/>
    </xf>
    <xf numFmtId="4" fontId="11" fillId="5" borderId="13" xfId="0" applyNumberFormat="1" applyFont="1" applyFill="1" applyBorder="1" applyAlignment="1" applyProtection="1">
      <alignment horizontal="center"/>
      <protection hidden="1"/>
    </xf>
    <xf numFmtId="0" fontId="15" fillId="11" borderId="150" xfId="0" applyFont="1" applyFill="1" applyBorder="1" applyAlignment="1" applyProtection="1">
      <alignment horizontal="center" vertical="center" wrapText="1"/>
      <protection hidden="1"/>
    </xf>
    <xf numFmtId="0" fontId="15" fillId="11" borderId="112" xfId="0" applyFont="1" applyFill="1" applyBorder="1" applyAlignment="1" applyProtection="1">
      <alignment horizontal="center" vertical="center" wrapText="1"/>
      <protection hidden="1"/>
    </xf>
    <xf numFmtId="0" fontId="15" fillId="11" borderId="151" xfId="0" applyFont="1" applyFill="1" applyBorder="1" applyAlignment="1" applyProtection="1">
      <alignment horizontal="center" vertical="center" wrapText="1"/>
      <protection hidden="1"/>
    </xf>
    <xf numFmtId="4" fontId="11" fillId="6" borderId="299" xfId="0" applyNumberFormat="1" applyFont="1" applyFill="1" applyBorder="1" applyAlignment="1" applyProtection="1">
      <alignment horizontal="center"/>
      <protection locked="0"/>
    </xf>
    <xf numFmtId="4" fontId="11" fillId="5" borderId="304" xfId="0" applyNumberFormat="1" applyFont="1" applyFill="1" applyBorder="1" applyAlignment="1" applyProtection="1">
      <alignment horizontal="center"/>
      <protection hidden="1"/>
    </xf>
    <xf numFmtId="4" fontId="12" fillId="11" borderId="150" xfId="0" applyNumberFormat="1" applyFont="1" applyFill="1" applyBorder="1" applyAlignment="1" applyProtection="1">
      <alignment horizontal="center" vertical="center" wrapText="1"/>
      <protection hidden="1"/>
    </xf>
    <xf numFmtId="4" fontId="12" fillId="11" borderId="112" xfId="0" applyNumberFormat="1" applyFont="1" applyFill="1" applyBorder="1" applyAlignment="1" applyProtection="1">
      <alignment horizontal="center" vertical="center" wrapText="1"/>
      <protection hidden="1"/>
    </xf>
    <xf numFmtId="4" fontId="12" fillId="11" borderId="151" xfId="0" applyNumberFormat="1" applyFont="1" applyFill="1" applyBorder="1" applyAlignment="1" applyProtection="1">
      <alignment horizontal="center" vertical="center" wrapText="1"/>
      <protection hidden="1"/>
    </xf>
    <xf numFmtId="0" fontId="15" fillId="7" borderId="64" xfId="0" applyFont="1" applyFill="1" applyBorder="1" applyAlignment="1" applyProtection="1">
      <alignment vertical="center"/>
      <protection hidden="1"/>
    </xf>
    <xf numFmtId="0" fontId="15" fillId="7" borderId="65" xfId="0" applyFont="1" applyFill="1" applyBorder="1" applyAlignment="1" applyProtection="1">
      <alignment vertical="center"/>
      <protection hidden="1"/>
    </xf>
    <xf numFmtId="0" fontId="15" fillId="7" borderId="66" xfId="0" applyFont="1" applyFill="1" applyBorder="1" applyAlignment="1" applyProtection="1">
      <alignment vertical="center"/>
      <protection hidden="1"/>
    </xf>
    <xf numFmtId="0" fontId="11" fillId="11" borderId="183" xfId="0" applyFont="1" applyFill="1" applyBorder="1" applyAlignment="1" applyProtection="1">
      <alignment horizontal="center" vertical="center" wrapText="1"/>
      <protection hidden="1"/>
    </xf>
    <xf numFmtId="4" fontId="11" fillId="5" borderId="9" xfId="0" applyNumberFormat="1" applyFont="1" applyFill="1" applyBorder="1" applyAlignment="1" applyProtection="1">
      <alignment horizontal="center" vertical="center" wrapText="1"/>
      <protection hidden="1"/>
    </xf>
    <xf numFmtId="4" fontId="11" fillId="5" borderId="11" xfId="0" applyNumberFormat="1" applyFont="1" applyFill="1" applyBorder="1" applyAlignment="1" applyProtection="1">
      <alignment horizontal="center" vertical="center" wrapText="1"/>
      <protection hidden="1"/>
    </xf>
    <xf numFmtId="0" fontId="11" fillId="11" borderId="114" xfId="0" applyFont="1" applyFill="1" applyBorder="1" applyAlignment="1" applyProtection="1">
      <alignment vertical="center" wrapText="1"/>
      <protection hidden="1"/>
    </xf>
    <xf numFmtId="0" fontId="11" fillId="7" borderId="113" xfId="0" applyFont="1" applyFill="1" applyBorder="1" applyAlignment="1" applyProtection="1">
      <alignment vertical="center"/>
      <protection hidden="1"/>
    </xf>
    <xf numFmtId="0" fontId="11" fillId="7" borderId="166" xfId="0" applyFont="1" applyFill="1" applyBorder="1" applyAlignment="1" applyProtection="1">
      <alignment vertical="center"/>
      <protection hidden="1"/>
    </xf>
    <xf numFmtId="0" fontId="11" fillId="11" borderId="260" xfId="0" applyFont="1" applyFill="1" applyBorder="1" applyAlignment="1" applyProtection="1">
      <alignment wrapText="1"/>
      <protection hidden="1"/>
    </xf>
    <xf numFmtId="0" fontId="11" fillId="7" borderId="103" xfId="0" applyFont="1" applyFill="1" applyBorder="1" applyAlignment="1" applyProtection="1">
      <alignment horizontal="center" vertical="center" wrapText="1"/>
      <protection hidden="1"/>
    </xf>
    <xf numFmtId="0" fontId="11" fillId="7" borderId="103" xfId="0" applyFont="1" applyFill="1" applyBorder="1" applyAlignment="1" applyProtection="1">
      <alignment horizontal="center" vertical="center"/>
      <protection hidden="1"/>
    </xf>
    <xf numFmtId="0" fontId="11" fillId="7" borderId="241" xfId="0" applyFont="1" applyFill="1" applyBorder="1" applyAlignment="1" applyProtection="1">
      <alignment horizontal="center" vertical="center"/>
      <protection hidden="1"/>
    </xf>
    <xf numFmtId="0" fontId="15" fillId="7" borderId="64" xfId="0" applyFont="1" applyFill="1" applyBorder="1" applyAlignment="1" applyProtection="1">
      <alignment horizontal="left"/>
      <protection hidden="1"/>
    </xf>
    <xf numFmtId="0" fontId="15" fillId="7" borderId="65" xfId="0" applyFont="1" applyFill="1" applyBorder="1" applyAlignment="1" applyProtection="1">
      <alignment horizontal="center"/>
      <protection hidden="1"/>
    </xf>
    <xf numFmtId="0" fontId="15" fillId="7" borderId="66" xfId="0" applyFont="1" applyFill="1" applyBorder="1" applyAlignment="1" applyProtection="1">
      <alignment horizontal="left" vertical="center"/>
      <protection hidden="1"/>
    </xf>
    <xf numFmtId="0" fontId="15" fillId="11" borderId="15" xfId="0" applyFont="1" applyFill="1" applyBorder="1" applyAlignment="1" applyProtection="1">
      <alignment horizontal="center" vertical="center" wrapText="1"/>
      <protection hidden="1"/>
    </xf>
    <xf numFmtId="0" fontId="15" fillId="11" borderId="1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35" fillId="6" borderId="0" xfId="0" applyFont="1" applyFill="1" applyBorder="1" applyAlignment="1" applyProtection="1">
      <alignment horizontal="center" vertical="center" wrapText="1"/>
      <protection hidden="1"/>
    </xf>
    <xf numFmtId="0" fontId="11" fillId="6" borderId="254" xfId="0" applyFont="1" applyFill="1" applyBorder="1" applyProtection="1">
      <protection locked="0"/>
    </xf>
    <xf numFmtId="0" fontId="11" fillId="6" borderId="299" xfId="0" applyFont="1" applyFill="1" applyBorder="1" applyProtection="1">
      <protection locked="0"/>
    </xf>
    <xf numFmtId="0" fontId="19" fillId="11" borderId="14" xfId="0" applyFont="1" applyFill="1" applyBorder="1" applyAlignment="1" applyProtection="1">
      <alignment vertical="center" wrapText="1"/>
      <protection hidden="1"/>
    </xf>
    <xf numFmtId="0" fontId="19" fillId="11" borderId="256" xfId="0" applyFont="1" applyFill="1" applyBorder="1" applyAlignment="1" applyProtection="1">
      <alignment horizontal="center" vertical="center" wrapText="1"/>
      <protection hidden="1"/>
    </xf>
    <xf numFmtId="0" fontId="19" fillId="6" borderId="256" xfId="0" applyFont="1" applyFill="1" applyBorder="1" applyAlignment="1" applyProtection="1">
      <alignment horizontal="center" vertical="center" wrapText="1"/>
      <protection hidden="1"/>
    </xf>
    <xf numFmtId="0" fontId="15" fillId="11" borderId="15" xfId="0" applyFont="1" applyFill="1" applyBorder="1" applyAlignment="1" applyProtection="1">
      <alignment horizontal="left"/>
      <protection hidden="1"/>
    </xf>
    <xf numFmtId="3" fontId="23" fillId="11" borderId="16" xfId="0" applyNumberFormat="1" applyFont="1" applyFill="1" applyBorder="1" applyAlignment="1" applyProtection="1">
      <alignment horizontal="center" vertical="center"/>
      <protection hidden="1"/>
    </xf>
    <xf numFmtId="3" fontId="23" fillId="6" borderId="16" xfId="0" applyNumberFormat="1" applyFont="1" applyFill="1" applyBorder="1" applyAlignment="1" applyProtection="1">
      <alignment horizontal="center" vertical="center"/>
      <protection hidden="1"/>
    </xf>
    <xf numFmtId="4" fontId="19" fillId="11" borderId="16" xfId="0" applyNumberFormat="1" applyFont="1" applyFill="1" applyBorder="1" applyAlignment="1" applyProtection="1">
      <alignment horizontal="center" vertical="center"/>
      <protection hidden="1"/>
    </xf>
    <xf numFmtId="4" fontId="20" fillId="11" borderId="16" xfId="0" applyNumberFormat="1" applyFont="1" applyFill="1" applyBorder="1" applyAlignment="1" applyProtection="1">
      <alignment horizontal="center" vertical="center"/>
      <protection hidden="1"/>
    </xf>
    <xf numFmtId="4" fontId="20" fillId="11" borderId="305" xfId="0" applyNumberFormat="1" applyFont="1" applyFill="1" applyBorder="1" applyAlignment="1" applyProtection="1">
      <alignment horizontal="center" vertical="center"/>
      <protection hidden="1"/>
    </xf>
    <xf numFmtId="0" fontId="11" fillId="6" borderId="258" xfId="0" applyFont="1" applyFill="1" applyBorder="1" applyProtection="1">
      <protection locked="0"/>
    </xf>
    <xf numFmtId="14" fontId="23" fillId="6" borderId="7" xfId="0" applyNumberFormat="1" applyFont="1" applyFill="1" applyBorder="1" applyAlignment="1" applyProtection="1">
      <alignment horizontal="center" vertical="center"/>
      <protection locked="0"/>
    </xf>
    <xf numFmtId="0" fontId="23" fillId="6" borderId="7" xfId="0"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protection hidden="1"/>
    </xf>
    <xf numFmtId="4" fontId="23" fillId="6" borderId="7" xfId="0" applyNumberFormat="1" applyFont="1" applyFill="1" applyBorder="1" applyAlignment="1" applyProtection="1">
      <alignment horizontal="center" vertical="center"/>
      <protection locked="0"/>
    </xf>
    <xf numFmtId="4" fontId="23" fillId="6" borderId="111" xfId="0" applyNumberFormat="1" applyFont="1" applyFill="1" applyBorder="1" applyAlignment="1" applyProtection="1">
      <alignment horizontal="center" vertical="center"/>
      <protection locked="0"/>
    </xf>
    <xf numFmtId="4" fontId="23" fillId="5" borderId="7" xfId="0" applyNumberFormat="1" applyFont="1" applyFill="1" applyBorder="1" applyAlignment="1" applyProtection="1">
      <alignment horizontal="center" vertical="center"/>
      <protection hidden="1"/>
    </xf>
    <xf numFmtId="0" fontId="11" fillId="6" borderId="255" xfId="0" applyFont="1" applyFill="1" applyBorder="1" applyProtection="1">
      <protection locked="0"/>
    </xf>
    <xf numFmtId="0" fontId="23" fillId="6" borderId="10"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hidden="1"/>
    </xf>
    <xf numFmtId="1" fontId="11" fillId="4" borderId="10" xfId="0" applyNumberFormat="1" applyFont="1" applyFill="1" applyBorder="1" applyAlignment="1" applyProtection="1">
      <alignment horizontal="center"/>
      <protection hidden="1"/>
    </xf>
    <xf numFmtId="4" fontId="23" fillId="6" borderId="10" xfId="0" applyNumberFormat="1" applyFont="1" applyFill="1" applyBorder="1" applyAlignment="1" applyProtection="1">
      <alignment horizontal="center" vertical="center"/>
      <protection locked="0"/>
    </xf>
    <xf numFmtId="4" fontId="23" fillId="6" borderId="184" xfId="0" applyNumberFormat="1" applyFont="1" applyFill="1" applyBorder="1" applyAlignment="1" applyProtection="1">
      <alignment horizontal="center" vertical="center"/>
      <protection locked="0"/>
    </xf>
    <xf numFmtId="4" fontId="23" fillId="5" borderId="10" xfId="0" applyNumberFormat="1" applyFont="1" applyFill="1" applyBorder="1" applyAlignment="1" applyProtection="1">
      <alignment horizontal="center" vertical="center"/>
      <protection hidden="1"/>
    </xf>
    <xf numFmtId="0" fontId="19" fillId="11" borderId="306" xfId="0" applyFont="1" applyFill="1" applyBorder="1" applyAlignment="1" applyProtection="1">
      <alignment horizontal="center" vertical="center" wrapText="1"/>
      <protection hidden="1"/>
    </xf>
    <xf numFmtId="0" fontId="19" fillId="11" borderId="307" xfId="0" applyFont="1" applyFill="1" applyBorder="1" applyAlignment="1" applyProtection="1">
      <alignment horizontal="center" vertical="center" wrapText="1"/>
      <protection hidden="1"/>
    </xf>
    <xf numFmtId="4" fontId="20" fillId="11" borderId="309" xfId="0" applyNumberFormat="1" applyFont="1" applyFill="1" applyBorder="1" applyAlignment="1" applyProtection="1">
      <alignment horizontal="center" vertical="center"/>
      <protection hidden="1"/>
    </xf>
    <xf numFmtId="4" fontId="11" fillId="6" borderId="258" xfId="0" applyNumberFormat="1" applyFont="1" applyFill="1" applyBorder="1" applyAlignment="1" applyProtection="1">
      <alignment horizontal="center"/>
      <protection locked="0"/>
    </xf>
    <xf numFmtId="4" fontId="11" fillId="4" borderId="7" xfId="0" applyNumberFormat="1" applyFont="1" applyFill="1" applyBorder="1" applyAlignment="1" applyProtection="1">
      <alignment horizontal="center"/>
      <protection hidden="1"/>
    </xf>
    <xf numFmtId="4" fontId="11" fillId="6" borderId="7" xfId="0" applyNumberFormat="1" applyFont="1" applyFill="1" applyBorder="1" applyAlignment="1" applyProtection="1">
      <alignment horizontal="center"/>
      <protection locked="0"/>
    </xf>
    <xf numFmtId="4" fontId="11" fillId="5" borderId="7" xfId="0" applyNumberFormat="1" applyFont="1" applyFill="1" applyBorder="1" applyAlignment="1" applyProtection="1">
      <alignment horizontal="center"/>
      <protection hidden="1"/>
    </xf>
    <xf numFmtId="4" fontId="11" fillId="4" borderId="183" xfId="0" applyNumberFormat="1" applyFont="1" applyFill="1" applyBorder="1" applyAlignment="1" applyProtection="1">
      <alignment horizontal="center"/>
      <protection hidden="1"/>
    </xf>
    <xf numFmtId="4" fontId="11" fillId="4" borderId="9" xfId="0" applyNumberFormat="1" applyFont="1" applyFill="1" applyBorder="1" applyAlignment="1" applyProtection="1">
      <alignment horizontal="center"/>
      <protection hidden="1"/>
    </xf>
    <xf numFmtId="4" fontId="11" fillId="4" borderId="304" xfId="0" applyNumberFormat="1" applyFont="1" applyFill="1" applyBorder="1" applyAlignment="1" applyProtection="1">
      <alignment horizontal="center"/>
      <protection hidden="1"/>
    </xf>
    <xf numFmtId="4" fontId="22" fillId="11" borderId="150" xfId="0" applyNumberFormat="1" applyFont="1" applyFill="1" applyBorder="1" applyAlignment="1" applyProtection="1">
      <alignment horizontal="center"/>
      <protection hidden="1"/>
    </xf>
    <xf numFmtId="4" fontId="12" fillId="11" borderId="112" xfId="0" applyNumberFormat="1" applyFont="1" applyFill="1" applyBorder="1" applyAlignment="1" applyProtection="1">
      <alignment horizontal="center"/>
      <protection hidden="1"/>
    </xf>
    <xf numFmtId="4" fontId="22" fillId="11" borderId="112" xfId="0" applyNumberFormat="1" applyFont="1" applyFill="1" applyBorder="1" applyAlignment="1" applyProtection="1">
      <alignment horizontal="center"/>
      <protection hidden="1"/>
    </xf>
    <xf numFmtId="4" fontId="12" fillId="11" borderId="151" xfId="0" applyNumberFormat="1" applyFont="1" applyFill="1" applyBorder="1" applyAlignment="1" applyProtection="1">
      <alignment horizontal="center"/>
      <protection hidden="1"/>
    </xf>
    <xf numFmtId="0" fontId="11" fillId="6" borderId="253" xfId="0" applyFont="1" applyFill="1" applyBorder="1" applyProtection="1">
      <protection locked="0"/>
    </xf>
    <xf numFmtId="3" fontId="23" fillId="11" borderId="12" xfId="0" applyNumberFormat="1" applyFont="1" applyFill="1" applyBorder="1" applyAlignment="1" applyProtection="1">
      <alignment horizontal="center" vertical="center"/>
      <protection locked="0"/>
    </xf>
    <xf numFmtId="14" fontId="23" fillId="6" borderId="33" xfId="0" applyNumberFormat="1" applyFont="1" applyFill="1" applyBorder="1" applyAlignment="1" applyProtection="1">
      <alignment horizontal="center" vertical="center"/>
      <protection locked="0"/>
    </xf>
    <xf numFmtId="3" fontId="23" fillId="6" borderId="33" xfId="0" applyNumberFormat="1" applyFont="1" applyFill="1" applyBorder="1" applyAlignment="1" applyProtection="1">
      <alignment horizontal="center" vertical="center"/>
      <protection locked="0"/>
    </xf>
    <xf numFmtId="3" fontId="23" fillId="11" borderId="33" xfId="0" applyNumberFormat="1" applyFont="1" applyFill="1" applyBorder="1" applyAlignment="1" applyProtection="1">
      <alignment horizontal="center" vertical="center"/>
      <protection locked="0"/>
    </xf>
    <xf numFmtId="1" fontId="23" fillId="6" borderId="33" xfId="0" applyNumberFormat="1" applyFont="1" applyFill="1" applyBorder="1" applyAlignment="1" applyProtection="1">
      <alignment horizontal="center" vertical="center"/>
      <protection locked="0"/>
    </xf>
    <xf numFmtId="0" fontId="15" fillId="11" borderId="150" xfId="0" applyFont="1" applyFill="1" applyBorder="1" applyAlignment="1" applyProtection="1">
      <alignment horizontal="left"/>
      <protection hidden="1"/>
    </xf>
    <xf numFmtId="3" fontId="23" fillId="11" borderId="112" xfId="0" applyNumberFormat="1" applyFont="1" applyFill="1" applyBorder="1" applyAlignment="1" applyProtection="1">
      <alignment horizontal="center" vertical="center"/>
      <protection hidden="1"/>
    </xf>
    <xf numFmtId="3" fontId="23" fillId="6" borderId="112" xfId="0" applyNumberFormat="1" applyFont="1" applyFill="1" applyBorder="1" applyAlignment="1" applyProtection="1">
      <alignment horizontal="center" vertical="center"/>
      <protection hidden="1"/>
    </xf>
    <xf numFmtId="4" fontId="20" fillId="11" borderId="112" xfId="0" applyNumberFormat="1" applyFont="1" applyFill="1" applyBorder="1" applyAlignment="1" applyProtection="1">
      <alignment horizontal="center" vertical="center"/>
      <protection hidden="1"/>
    </xf>
    <xf numFmtId="4" fontId="20" fillId="11" borderId="155" xfId="0" applyNumberFormat="1" applyFont="1" applyFill="1" applyBorder="1" applyAlignment="1" applyProtection="1">
      <alignment horizontal="center" vertical="center"/>
      <protection hidden="1"/>
    </xf>
    <xf numFmtId="4" fontId="20" fillId="11" borderId="243" xfId="0" applyNumberFormat="1" applyFont="1" applyFill="1" applyBorder="1" applyAlignment="1" applyProtection="1">
      <alignment horizontal="center" vertical="center"/>
      <protection hidden="1"/>
    </xf>
    <xf numFmtId="0" fontId="15" fillId="11" borderId="14" xfId="0" applyFont="1" applyFill="1" applyBorder="1" applyAlignment="1" applyProtection="1">
      <alignment horizontal="center" vertical="center" wrapText="1"/>
      <protection hidden="1"/>
    </xf>
    <xf numFmtId="0" fontId="15" fillId="11" borderId="256" xfId="0" applyFont="1" applyFill="1" applyBorder="1" applyAlignment="1" applyProtection="1">
      <alignment horizontal="center" vertical="center" wrapText="1"/>
      <protection hidden="1"/>
    </xf>
    <xf numFmtId="0" fontId="15" fillId="11" borderId="257" xfId="0" applyFont="1" applyFill="1" applyBorder="1" applyAlignment="1" applyProtection="1">
      <alignment horizontal="center" vertical="center" wrapText="1"/>
      <protection hidden="1"/>
    </xf>
    <xf numFmtId="4" fontId="22" fillId="11" borderId="15" xfId="0" applyNumberFormat="1" applyFont="1" applyFill="1" applyBorder="1" applyAlignment="1" applyProtection="1">
      <alignment horizontal="center"/>
      <protection hidden="1"/>
    </xf>
    <xf numFmtId="4" fontId="12" fillId="11" borderId="16" xfId="0" applyNumberFormat="1" applyFont="1" applyFill="1" applyBorder="1" applyAlignment="1" applyProtection="1">
      <alignment horizontal="center"/>
      <protection hidden="1"/>
    </xf>
    <xf numFmtId="4" fontId="22" fillId="11" borderId="16" xfId="0" applyNumberFormat="1" applyFont="1" applyFill="1" applyBorder="1" applyAlignment="1" applyProtection="1">
      <alignment horizontal="center"/>
      <protection hidden="1"/>
    </xf>
    <xf numFmtId="4" fontId="12" fillId="11" borderId="17" xfId="0" applyNumberFormat="1" applyFont="1" applyFill="1" applyBorder="1" applyAlignment="1" applyProtection="1">
      <alignment horizontal="center"/>
      <protection hidden="1"/>
    </xf>
    <xf numFmtId="4" fontId="11" fillId="6" borderId="255" xfId="0" applyNumberFormat="1" applyFont="1" applyFill="1" applyBorder="1" applyAlignment="1" applyProtection="1">
      <alignment horizontal="center"/>
      <protection locked="0"/>
    </xf>
    <xf numFmtId="4" fontId="11" fillId="4" borderId="10" xfId="0" applyNumberFormat="1" applyFont="1" applyFill="1" applyBorder="1" applyAlignment="1" applyProtection="1">
      <alignment horizontal="center"/>
      <protection hidden="1"/>
    </xf>
    <xf numFmtId="4" fontId="11" fillId="6" borderId="10" xfId="0" applyNumberFormat="1" applyFont="1" applyFill="1" applyBorder="1" applyAlignment="1" applyProtection="1">
      <alignment horizontal="center"/>
      <protection locked="0"/>
    </xf>
    <xf numFmtId="4" fontId="11" fillId="5" borderId="10" xfId="0" applyNumberFormat="1" applyFont="1" applyFill="1" applyBorder="1" applyAlignment="1" applyProtection="1">
      <alignment horizontal="center"/>
      <protection hidden="1"/>
    </xf>
    <xf numFmtId="4" fontId="11" fillId="4" borderId="11" xfId="0" applyNumberFormat="1" applyFont="1" applyFill="1" applyBorder="1" applyAlignment="1" applyProtection="1">
      <alignment horizontal="center"/>
      <protection hidden="1"/>
    </xf>
    <xf numFmtId="3" fontId="23" fillId="11" borderId="112" xfId="0" applyNumberFormat="1"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locked="0"/>
    </xf>
    <xf numFmtId="3" fontId="23" fillId="11" borderId="7" xfId="0" applyNumberFormat="1" applyFont="1" applyFill="1" applyBorder="1" applyAlignment="1" applyProtection="1">
      <alignment horizontal="center" vertical="center"/>
      <protection locked="0"/>
    </xf>
    <xf numFmtId="1" fontId="23" fillId="6" borderId="7" xfId="0" applyNumberFormat="1" applyFont="1" applyFill="1" applyBorder="1" applyAlignment="1" applyProtection="1">
      <alignment horizontal="center" vertical="center"/>
      <protection locked="0"/>
    </xf>
    <xf numFmtId="0" fontId="9" fillId="6" borderId="145" xfId="0" applyFont="1" applyFill="1" applyBorder="1" applyProtection="1">
      <protection hidden="1"/>
    </xf>
    <xf numFmtId="0" fontId="35" fillId="6" borderId="145" xfId="0" applyFont="1" applyFill="1" applyBorder="1" applyAlignment="1" applyProtection="1">
      <alignment horizontal="center" vertical="center" wrapText="1"/>
      <protection hidden="1"/>
    </xf>
    <xf numFmtId="3" fontId="23" fillId="11" borderId="256" xfId="0" applyNumberFormat="1" applyFont="1" applyFill="1" applyBorder="1" applyAlignment="1" applyProtection="1">
      <alignment horizontal="center" vertical="center"/>
      <protection locked="0"/>
    </xf>
    <xf numFmtId="14" fontId="23" fillId="6" borderId="10" xfId="0" applyNumberFormat="1" applyFont="1" applyFill="1" applyBorder="1" applyAlignment="1" applyProtection="1">
      <alignment horizontal="center" vertical="center"/>
      <protection locked="0"/>
    </xf>
    <xf numFmtId="3" fontId="23" fillId="6" borderId="10" xfId="0" applyNumberFormat="1" applyFont="1" applyFill="1" applyBorder="1" applyAlignment="1" applyProtection="1">
      <alignment horizontal="center" vertical="center"/>
      <protection locked="0"/>
    </xf>
    <xf numFmtId="3" fontId="23" fillId="11" borderId="10" xfId="0" applyNumberFormat="1" applyFont="1" applyFill="1" applyBorder="1" applyAlignment="1" applyProtection="1">
      <alignment horizontal="center" vertical="center"/>
      <protection locked="0"/>
    </xf>
    <xf numFmtId="1" fontId="23" fillId="6" borderId="10" xfId="0" applyNumberFormat="1" applyFont="1" applyFill="1" applyBorder="1" applyAlignment="1" applyProtection="1">
      <alignment horizontal="center" vertical="center"/>
      <protection locked="0"/>
    </xf>
    <xf numFmtId="0" fontId="0" fillId="6" borderId="0" xfId="0" applyFill="1" applyAlignment="1" applyProtection="1">
      <alignment horizontal="left" vertical="center"/>
      <protection hidden="1"/>
    </xf>
    <xf numFmtId="0" fontId="0" fillId="6" borderId="0" xfId="0"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6" borderId="0" xfId="0" applyFill="1" applyBorder="1" applyAlignment="1" applyProtection="1">
      <alignment horizontal="left" vertical="center"/>
      <protection hidden="1"/>
    </xf>
    <xf numFmtId="2" fontId="0" fillId="6" borderId="0" xfId="0" applyNumberFormat="1" applyFill="1" applyBorder="1" applyAlignment="1" applyProtection="1">
      <alignment horizontal="center" vertical="center"/>
      <protection hidden="1"/>
    </xf>
    <xf numFmtId="4" fontId="0" fillId="6" borderId="0" xfId="1" applyNumberFormat="1" applyFont="1" applyFill="1" applyBorder="1" applyAlignment="1" applyProtection="1">
      <alignment horizontal="center" vertical="center"/>
      <protection hidden="1"/>
    </xf>
    <xf numFmtId="4" fontId="15" fillId="10" borderId="242" xfId="1" applyNumberFormat="1" applyFont="1" applyFill="1" applyBorder="1" applyAlignment="1" applyProtection="1">
      <alignment horizontal="center" vertical="center"/>
      <protection hidden="1"/>
    </xf>
    <xf numFmtId="4" fontId="15" fillId="10" borderId="66" xfId="1" applyNumberFormat="1" applyFont="1" applyFill="1" applyBorder="1" applyAlignment="1" applyProtection="1">
      <alignment horizontal="center" vertical="center"/>
      <protection hidden="1"/>
    </xf>
    <xf numFmtId="4" fontId="15" fillId="6" borderId="55" xfId="1" applyNumberFormat="1" applyFont="1" applyFill="1" applyBorder="1" applyAlignment="1" applyProtection="1">
      <alignment horizontal="center" vertical="center"/>
      <protection hidden="1"/>
    </xf>
    <xf numFmtId="165" fontId="2" fillId="6" borderId="0" xfId="1" applyNumberFormat="1" applyFont="1" applyFill="1" applyBorder="1" applyAlignment="1" applyProtection="1">
      <alignment horizontal="center" vertical="center"/>
      <protection hidden="1"/>
    </xf>
    <xf numFmtId="0" fontId="9" fillId="6" borderId="0" xfId="0" applyFont="1" applyFill="1" applyAlignment="1" applyProtection="1">
      <alignment horizontal="center" vertical="center"/>
      <protection hidden="1"/>
    </xf>
    <xf numFmtId="4" fontId="1" fillId="6" borderId="0" xfId="1" applyNumberFormat="1" applyFont="1" applyFill="1" applyBorder="1" applyAlignment="1" applyProtection="1">
      <alignment horizontal="center" vertical="center"/>
      <protection hidden="1"/>
    </xf>
    <xf numFmtId="0" fontId="2" fillId="7" borderId="31" xfId="0" applyFont="1" applyFill="1" applyBorder="1" applyAlignment="1" applyProtection="1">
      <alignment horizontal="center" vertical="center"/>
      <protection hidden="1"/>
    </xf>
    <xf numFmtId="0" fontId="2" fillId="7" borderId="30" xfId="0" applyFont="1" applyFill="1" applyBorder="1" applyAlignment="1" applyProtection="1">
      <alignment horizontal="left" vertical="center"/>
      <protection hidden="1"/>
    </xf>
    <xf numFmtId="0" fontId="15" fillId="7" borderId="31"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protection hidden="1"/>
    </xf>
    <xf numFmtId="4" fontId="11" fillId="4" borderId="25" xfId="0" applyNumberFormat="1" applyFont="1" applyFill="1" applyBorder="1" applyAlignment="1" applyProtection="1">
      <alignment horizontal="center" vertical="center"/>
      <protection hidden="1"/>
    </xf>
    <xf numFmtId="1" fontId="11" fillId="0" borderId="12" xfId="0" applyNumberFormat="1" applyFont="1" applyFill="1" applyBorder="1" applyAlignment="1" applyProtection="1">
      <alignment horizontal="center" vertical="center"/>
      <protection locked="0"/>
    </xf>
    <xf numFmtId="4" fontId="11" fillId="6" borderId="25" xfId="0" applyNumberFormat="1" applyFont="1" applyFill="1" applyBorder="1" applyAlignment="1" applyProtection="1">
      <alignment horizontal="center" vertical="center"/>
      <protection locked="0"/>
    </xf>
    <xf numFmtId="0" fontId="14" fillId="7" borderId="64" xfId="0" applyFont="1" applyFill="1" applyBorder="1" applyAlignment="1" applyProtection="1">
      <alignment vertical="center"/>
      <protection hidden="1"/>
    </xf>
    <xf numFmtId="0" fontId="2" fillId="7" borderId="65" xfId="0" applyFont="1" applyFill="1" applyBorder="1" applyAlignment="1" applyProtection="1">
      <alignment vertical="center"/>
      <protection hidden="1"/>
    </xf>
    <xf numFmtId="0" fontId="2" fillId="7" borderId="66" xfId="0" applyFont="1" applyFill="1" applyBorder="1" applyAlignment="1" applyProtection="1">
      <alignment vertical="center"/>
      <protection hidden="1"/>
    </xf>
    <xf numFmtId="0" fontId="2" fillId="7" borderId="169" xfId="0" applyFont="1" applyFill="1" applyBorder="1" applyAlignment="1" applyProtection="1">
      <alignment horizontal="center" vertical="center"/>
      <protection hidden="1"/>
    </xf>
    <xf numFmtId="0" fontId="2" fillId="7" borderId="170" xfId="0" applyFont="1" applyFill="1" applyBorder="1" applyAlignment="1" applyProtection="1">
      <alignment horizontal="center" vertical="center"/>
      <protection hidden="1"/>
    </xf>
    <xf numFmtId="0" fontId="6" fillId="7" borderId="167" xfId="0" applyFont="1" applyFill="1" applyBorder="1" applyAlignment="1" applyProtection="1">
      <alignment vertical="center"/>
      <protection hidden="1"/>
    </xf>
    <xf numFmtId="165" fontId="0" fillId="4" borderId="26" xfId="0" applyNumberFormat="1" applyFont="1" applyFill="1" applyBorder="1" applyAlignment="1" applyProtection="1">
      <alignment horizontal="center" vertical="center"/>
      <protection hidden="1"/>
    </xf>
    <xf numFmtId="0" fontId="6" fillId="7" borderId="154" xfId="0" applyFont="1" applyFill="1" applyBorder="1" applyAlignment="1" applyProtection="1">
      <alignment vertical="center"/>
      <protection hidden="1"/>
    </xf>
    <xf numFmtId="4" fontId="1" fillId="4" borderId="20" xfId="1" applyNumberFormat="1" applyFont="1" applyFill="1" applyBorder="1" applyAlignment="1" applyProtection="1">
      <alignment horizontal="center" vertical="center"/>
      <protection hidden="1"/>
    </xf>
    <xf numFmtId="0" fontId="6" fillId="7" borderId="49" xfId="0" applyFont="1" applyFill="1" applyBorder="1" applyAlignment="1" applyProtection="1">
      <alignment vertical="center"/>
      <protection hidden="1"/>
    </xf>
    <xf numFmtId="4" fontId="1" fillId="4" borderId="31" xfId="1" applyNumberFormat="1" applyFont="1" applyFill="1" applyBorder="1" applyAlignment="1" applyProtection="1">
      <alignment horizontal="center" vertical="center"/>
      <protection hidden="1"/>
    </xf>
    <xf numFmtId="4" fontId="1" fillId="5" borderId="161" xfId="1" applyNumberFormat="1" applyFont="1" applyFill="1" applyBorder="1" applyAlignment="1" applyProtection="1">
      <alignment horizontal="center" vertical="center"/>
      <protection hidden="1"/>
    </xf>
    <xf numFmtId="0" fontId="6" fillId="7" borderId="46" xfId="0" applyFont="1" applyFill="1" applyBorder="1" applyAlignment="1" applyProtection="1">
      <alignment vertical="center"/>
      <protection hidden="1"/>
    </xf>
    <xf numFmtId="4" fontId="1" fillId="4" borderId="22" xfId="1" applyNumberFormat="1" applyFont="1" applyFill="1" applyBorder="1" applyAlignment="1" applyProtection="1">
      <alignment horizontal="center" vertical="center"/>
      <protection hidden="1"/>
    </xf>
    <xf numFmtId="4" fontId="1" fillId="5" borderId="23" xfId="1" applyNumberFormat="1" applyFont="1" applyFill="1" applyBorder="1" applyAlignment="1" applyProtection="1">
      <alignment horizontal="center" vertical="center"/>
      <protection hidden="1"/>
    </xf>
    <xf numFmtId="165" fontId="0" fillId="4" borderId="159" xfId="0" applyNumberFormat="1" applyFont="1" applyFill="1" applyBorder="1" applyAlignment="1" applyProtection="1">
      <alignment horizontal="center" vertical="center"/>
      <protection hidden="1"/>
    </xf>
    <xf numFmtId="0" fontId="6" fillId="7" borderId="156" xfId="0" applyFont="1" applyFill="1" applyBorder="1" applyAlignment="1" applyProtection="1">
      <alignment vertical="center"/>
      <protection hidden="1"/>
    </xf>
    <xf numFmtId="0" fontId="2" fillId="11" borderId="162" xfId="0" applyFont="1" applyFill="1" applyBorder="1" applyAlignment="1" applyProtection="1">
      <alignment horizontal="left" vertical="center"/>
      <protection hidden="1"/>
    </xf>
    <xf numFmtId="0" fontId="5" fillId="11" borderId="163" xfId="0" applyFont="1" applyFill="1" applyBorder="1" applyAlignment="1" applyProtection="1">
      <alignment vertical="center"/>
      <protection hidden="1"/>
    </xf>
    <xf numFmtId="4" fontId="2" fillId="11" borderId="164" xfId="1" applyNumberFormat="1" applyFont="1" applyFill="1" applyBorder="1" applyAlignment="1" applyProtection="1">
      <alignment horizontal="center" vertical="center"/>
      <protection hidden="1"/>
    </xf>
    <xf numFmtId="4" fontId="2" fillId="11" borderId="165" xfId="1" applyNumberFormat="1" applyFont="1" applyFill="1" applyBorder="1" applyAlignment="1" applyProtection="1">
      <alignment horizontal="center" vertical="center"/>
      <protection hidden="1"/>
    </xf>
    <xf numFmtId="0" fontId="2" fillId="6" borderId="0" xfId="0" applyFont="1" applyFill="1" applyAlignment="1" applyProtection="1">
      <alignment vertical="center"/>
      <protection hidden="1"/>
    </xf>
    <xf numFmtId="4" fontId="1" fillId="4" borderId="19" xfId="1" applyNumberFormat="1" applyFont="1" applyFill="1" applyBorder="1" applyAlignment="1" applyProtection="1">
      <alignment horizontal="center" vertical="center"/>
      <protection hidden="1"/>
    </xf>
    <xf numFmtId="4" fontId="1" fillId="8" borderId="161" xfId="1" applyNumberFormat="1" applyFont="1" applyFill="1" applyBorder="1" applyAlignment="1" applyProtection="1">
      <alignment horizontal="center" vertical="center"/>
      <protection hidden="1"/>
    </xf>
    <xf numFmtId="0" fontId="2" fillId="7" borderId="198" xfId="0" applyFont="1" applyFill="1" applyBorder="1" applyAlignment="1" applyProtection="1">
      <alignment horizontal="center" vertical="center"/>
      <protection hidden="1"/>
    </xf>
    <xf numFmtId="0" fontId="2" fillId="7" borderId="199" xfId="0" applyFont="1" applyFill="1" applyBorder="1" applyAlignment="1" applyProtection="1">
      <alignment horizontal="center" vertical="center"/>
      <protection hidden="1"/>
    </xf>
    <xf numFmtId="0" fontId="2" fillId="6" borderId="0" xfId="0" applyFont="1" applyFill="1" applyBorder="1" applyAlignment="1" applyProtection="1">
      <alignment vertical="center"/>
      <protection hidden="1"/>
    </xf>
    <xf numFmtId="0" fontId="2"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left" vertical="center"/>
      <protection hidden="1"/>
    </xf>
    <xf numFmtId="4" fontId="8" fillId="6" borderId="0" xfId="1" applyNumberFormat="1" applyFont="1" applyFill="1" applyBorder="1" applyAlignment="1" applyProtection="1">
      <alignment horizontal="center" vertical="center"/>
      <protection hidden="1"/>
    </xf>
    <xf numFmtId="3" fontId="1" fillId="6" borderId="0" xfId="1" applyNumberFormat="1" applyFont="1" applyFill="1" applyBorder="1" applyAlignment="1" applyProtection="1">
      <alignment horizontal="center" vertical="center"/>
      <protection hidden="1"/>
    </xf>
    <xf numFmtId="3" fontId="8" fillId="6" borderId="0" xfId="1" applyNumberFormat="1" applyFont="1" applyFill="1" applyBorder="1" applyAlignment="1" applyProtection="1">
      <alignment vertical="center"/>
      <protection hidden="1"/>
    </xf>
    <xf numFmtId="0" fontId="0" fillId="6" borderId="143" xfId="0" applyFill="1" applyBorder="1" applyAlignment="1" applyProtection="1">
      <alignment horizontal="left" vertical="center"/>
      <protection hidden="1"/>
    </xf>
    <xf numFmtId="0" fontId="2" fillId="6" borderId="143" xfId="0" applyFont="1" applyFill="1" applyBorder="1" applyAlignment="1" applyProtection="1">
      <alignment horizontal="left" vertical="center"/>
      <protection hidden="1"/>
    </xf>
    <xf numFmtId="4" fontId="8" fillId="6" borderId="143" xfId="1" applyNumberFormat="1" applyFont="1" applyFill="1" applyBorder="1" applyAlignment="1" applyProtection="1">
      <alignment horizontal="center" vertical="center"/>
      <protection hidden="1"/>
    </xf>
    <xf numFmtId="4" fontId="1" fillId="6" borderId="143" xfId="1" applyNumberFormat="1" applyFont="1" applyFill="1" applyBorder="1" applyAlignment="1" applyProtection="1">
      <alignment horizontal="center" vertical="center"/>
      <protection hidden="1"/>
    </xf>
    <xf numFmtId="3" fontId="1" fillId="6" borderId="143" xfId="1" applyNumberFormat="1" applyFont="1" applyFill="1" applyBorder="1" applyAlignment="1" applyProtection="1">
      <alignment horizontal="center" vertical="center"/>
      <protection hidden="1"/>
    </xf>
    <xf numFmtId="3" fontId="8" fillId="6" borderId="143" xfId="1" applyNumberFormat="1" applyFont="1" applyFill="1" applyBorder="1" applyAlignment="1" applyProtection="1">
      <alignment vertical="center"/>
      <protection hidden="1"/>
    </xf>
    <xf numFmtId="0" fontId="2" fillId="11" borderId="54" xfId="0" applyFont="1" applyFill="1" applyBorder="1" applyAlignment="1" applyProtection="1">
      <alignment vertical="center" wrapText="1"/>
      <protection hidden="1"/>
    </xf>
    <xf numFmtId="0" fontId="2" fillId="11" borderId="55" xfId="0" applyFont="1" applyFill="1" applyBorder="1" applyAlignment="1" applyProtection="1">
      <alignment vertical="center" wrapText="1"/>
      <protection hidden="1"/>
    </xf>
    <xf numFmtId="0" fontId="2" fillId="11" borderId="55" xfId="0" applyFont="1" applyFill="1" applyBorder="1" applyAlignment="1" applyProtection="1">
      <alignment horizontal="center" vertical="center"/>
      <protection hidden="1"/>
    </xf>
    <xf numFmtId="4" fontId="2" fillId="11" borderId="55" xfId="1" applyNumberFormat="1" applyFont="1" applyFill="1" applyBorder="1" applyAlignment="1" applyProtection="1">
      <alignment horizontal="center" vertical="center"/>
      <protection hidden="1"/>
    </xf>
    <xf numFmtId="4" fontId="2" fillId="11" borderId="56" xfId="1" applyNumberFormat="1" applyFont="1" applyFill="1" applyBorder="1" applyAlignment="1" applyProtection="1">
      <alignment horizontal="center" vertical="center"/>
      <protection hidden="1"/>
    </xf>
    <xf numFmtId="4" fontId="2" fillId="10" borderId="194" xfId="0" applyNumberFormat="1" applyFont="1" applyFill="1" applyBorder="1" applyAlignment="1" applyProtection="1">
      <alignment horizontal="center" vertical="center"/>
      <protection hidden="1"/>
    </xf>
    <xf numFmtId="4" fontId="2" fillId="9" borderId="195" xfId="0" applyNumberFormat="1" applyFont="1" applyFill="1" applyBorder="1" applyAlignment="1" applyProtection="1">
      <alignment horizontal="center" vertical="center"/>
      <protection hidden="1"/>
    </xf>
    <xf numFmtId="4" fontId="2" fillId="5" borderId="174" xfId="0" applyNumberFormat="1" applyFont="1" applyFill="1" applyBorder="1" applyAlignment="1" applyProtection="1">
      <alignment horizontal="center" vertical="center"/>
      <protection hidden="1"/>
    </xf>
    <xf numFmtId="4" fontId="2" fillId="9" borderId="171" xfId="0" applyNumberFormat="1" applyFont="1" applyFill="1" applyBorder="1" applyAlignment="1" applyProtection="1">
      <alignment horizontal="center" vertical="center"/>
      <protection hidden="1"/>
    </xf>
    <xf numFmtId="0" fontId="2" fillId="11" borderId="286" xfId="0" applyFont="1" applyFill="1" applyBorder="1" applyAlignment="1" applyProtection="1">
      <alignment vertical="center" wrapText="1"/>
      <protection hidden="1"/>
    </xf>
    <xf numFmtId="0" fontId="2" fillId="11" borderId="287" xfId="0" applyFont="1" applyFill="1" applyBorder="1" applyAlignment="1" applyProtection="1">
      <alignment vertical="center" wrapText="1"/>
      <protection hidden="1"/>
    </xf>
    <xf numFmtId="0" fontId="2" fillId="11" borderId="287" xfId="0" applyFont="1" applyFill="1" applyBorder="1" applyAlignment="1" applyProtection="1">
      <alignment horizontal="center" vertical="center"/>
      <protection hidden="1"/>
    </xf>
    <xf numFmtId="4" fontId="2" fillId="11" borderId="287" xfId="1" applyNumberFormat="1" applyFont="1" applyFill="1" applyBorder="1" applyAlignment="1" applyProtection="1">
      <alignment horizontal="center" vertical="center"/>
      <protection hidden="1"/>
    </xf>
    <xf numFmtId="4" fontId="2" fillId="11" borderId="288" xfId="1" applyNumberFormat="1" applyFont="1" applyFill="1" applyBorder="1" applyAlignment="1" applyProtection="1">
      <alignment horizontal="center" vertical="center"/>
      <protection hidden="1"/>
    </xf>
    <xf numFmtId="0" fontId="0" fillId="7" borderId="289" xfId="0" applyFill="1" applyBorder="1" applyAlignment="1" applyProtection="1">
      <alignment vertical="center"/>
      <protection hidden="1"/>
    </xf>
    <xf numFmtId="0" fontId="6" fillId="7" borderId="266" xfId="0" applyFont="1" applyFill="1" applyBorder="1" applyAlignment="1" applyProtection="1">
      <alignment vertical="center"/>
      <protection hidden="1"/>
    </xf>
    <xf numFmtId="4" fontId="2" fillId="4" borderId="290" xfId="0" applyNumberFormat="1" applyFont="1" applyFill="1" applyBorder="1" applyAlignment="1" applyProtection="1">
      <alignment horizontal="center" vertical="center"/>
      <protection hidden="1"/>
    </xf>
    <xf numFmtId="4" fontId="0" fillId="6" borderId="0" xfId="0" applyNumberFormat="1" applyFill="1" applyBorder="1" applyAlignment="1" applyProtection="1">
      <alignment horizontal="center" vertical="center"/>
      <protection hidden="1"/>
    </xf>
    <xf numFmtId="0" fontId="0" fillId="7" borderId="291" xfId="0" applyFill="1" applyBorder="1" applyAlignment="1" applyProtection="1">
      <alignment vertical="center"/>
      <protection hidden="1"/>
    </xf>
    <xf numFmtId="0" fontId="6" fillId="7" borderId="268" xfId="0" applyFont="1" applyFill="1" applyBorder="1" applyAlignment="1" applyProtection="1">
      <alignment vertical="center"/>
      <protection hidden="1"/>
    </xf>
    <xf numFmtId="4" fontId="2" fillId="4" borderId="292" xfId="0" applyNumberFormat="1" applyFont="1" applyFill="1" applyBorder="1" applyAlignment="1" applyProtection="1">
      <alignment horizontal="center" vertical="center"/>
      <protection hidden="1"/>
    </xf>
    <xf numFmtId="0" fontId="0" fillId="7" borderId="293" xfId="0" applyFill="1" applyBorder="1" applyAlignment="1" applyProtection="1">
      <alignment vertical="center"/>
      <protection hidden="1"/>
    </xf>
    <xf numFmtId="0" fontId="6" fillId="7" borderId="271" xfId="0" applyFont="1" applyFill="1" applyBorder="1" applyAlignment="1" applyProtection="1">
      <alignment vertical="center"/>
      <protection hidden="1"/>
    </xf>
    <xf numFmtId="4" fontId="2" fillId="4" borderId="294" xfId="0" applyNumberFormat="1" applyFont="1" applyFill="1" applyBorder="1" applyAlignment="1" applyProtection="1">
      <alignment horizontal="center" vertical="center"/>
      <protection hidden="1"/>
    </xf>
    <xf numFmtId="0" fontId="2" fillId="11" borderId="295" xfId="0" applyFont="1" applyFill="1" applyBorder="1" applyAlignment="1" applyProtection="1">
      <alignment vertical="center"/>
      <protection hidden="1"/>
    </xf>
    <xf numFmtId="0" fontId="2" fillId="11" borderId="296" xfId="0" applyFont="1" applyFill="1" applyBorder="1" applyAlignment="1" applyProtection="1">
      <alignment vertical="center"/>
      <protection hidden="1"/>
    </xf>
    <xf numFmtId="4" fontId="8" fillId="11" borderId="297" xfId="0" applyNumberFormat="1" applyFont="1" applyFill="1" applyBorder="1" applyAlignment="1" applyProtection="1">
      <alignment horizontal="center" vertical="center"/>
      <protection hidden="1"/>
    </xf>
    <xf numFmtId="4" fontId="2" fillId="9" borderId="298" xfId="0" applyNumberFormat="1" applyFont="1" applyFill="1" applyBorder="1" applyAlignment="1" applyProtection="1">
      <alignment horizontal="center" vertical="center"/>
      <protection hidden="1"/>
    </xf>
    <xf numFmtId="4" fontId="13" fillId="6" borderId="0" xfId="0" applyNumberFormat="1" applyFont="1" applyFill="1" applyBorder="1" applyAlignment="1" applyProtection="1">
      <alignment horizontal="center" vertical="center"/>
      <protection hidden="1"/>
    </xf>
    <xf numFmtId="4" fontId="8" fillId="6" borderId="0" xfId="0" applyNumberFormat="1" applyFont="1" applyFill="1" applyBorder="1" applyAlignment="1" applyProtection="1">
      <alignment horizontal="center" vertical="center"/>
      <protection hidden="1"/>
    </xf>
    <xf numFmtId="165" fontId="1" fillId="0" borderId="25" xfId="1" applyNumberFormat="1" applyFont="1" applyFill="1" applyBorder="1" applyAlignment="1" applyProtection="1">
      <alignment horizontal="center" vertical="center"/>
      <protection locked="0"/>
    </xf>
    <xf numFmtId="4" fontId="1" fillId="0" borderId="19" xfId="1" applyNumberFormat="1" applyFont="1" applyFill="1" applyBorder="1" applyAlignment="1" applyProtection="1">
      <alignment horizontal="center" vertical="center"/>
      <protection locked="0"/>
    </xf>
    <xf numFmtId="165" fontId="1" fillId="0" borderId="28" xfId="1" applyNumberFormat="1" applyFont="1" applyFill="1" applyBorder="1" applyAlignment="1" applyProtection="1">
      <alignment horizontal="center" vertical="center"/>
      <protection locked="0"/>
    </xf>
    <xf numFmtId="4" fontId="1" fillId="0" borderId="31" xfId="1" applyNumberFormat="1" applyFont="1" applyFill="1" applyBorder="1" applyAlignment="1" applyProtection="1">
      <alignment horizontal="center" vertical="center"/>
      <protection locked="0"/>
    </xf>
    <xf numFmtId="4" fontId="1" fillId="6" borderId="8" xfId="1" applyNumberFormat="1" applyFont="1" applyFill="1" applyBorder="1" applyAlignment="1" applyProtection="1">
      <alignment horizontal="center" vertical="center"/>
      <protection locked="0"/>
    </xf>
    <xf numFmtId="3" fontId="1" fillId="6" borderId="8" xfId="1" applyNumberFormat="1" applyFont="1" applyFill="1" applyBorder="1" applyAlignment="1" applyProtection="1">
      <alignment horizontal="center" vertical="center"/>
      <protection locked="0"/>
    </xf>
    <xf numFmtId="4" fontId="8" fillId="6" borderId="8" xfId="1" applyNumberFormat="1" applyFont="1" applyFill="1" applyBorder="1" applyAlignment="1" applyProtection="1">
      <alignment horizontal="center" vertical="center"/>
      <protection locked="0"/>
    </xf>
    <xf numFmtId="4" fontId="8" fillId="6" borderId="10" xfId="1" applyNumberFormat="1" applyFont="1" applyFill="1" applyBorder="1" applyAlignment="1" applyProtection="1">
      <alignment horizontal="center" vertical="center"/>
      <protection locked="0"/>
    </xf>
    <xf numFmtId="4" fontId="1" fillId="6" borderId="10" xfId="1" applyNumberFormat="1" applyFont="1" applyFill="1" applyBorder="1" applyAlignment="1" applyProtection="1">
      <alignment horizontal="center" vertical="center"/>
      <protection locked="0"/>
    </xf>
    <xf numFmtId="3" fontId="1" fillId="6" borderId="10" xfId="1" applyNumberFormat="1" applyFont="1" applyFill="1" applyBorder="1" applyAlignment="1" applyProtection="1">
      <alignment horizontal="center" vertical="center"/>
      <protection locked="0"/>
    </xf>
    <xf numFmtId="4" fontId="0" fillId="6" borderId="263" xfId="0" applyNumberFormat="1" applyFill="1" applyBorder="1" applyAlignment="1" applyProtection="1">
      <alignment horizontal="center" vertical="center"/>
      <protection locked="0"/>
    </xf>
    <xf numFmtId="4" fontId="0" fillId="6" borderId="264" xfId="0" applyNumberFormat="1" applyFill="1" applyBorder="1" applyAlignment="1" applyProtection="1">
      <alignment horizontal="center" vertical="center"/>
      <protection locked="0"/>
    </xf>
    <xf numFmtId="4" fontId="0" fillId="6" borderId="272" xfId="0" applyNumberFormat="1" applyFill="1" applyBorder="1" applyAlignment="1" applyProtection="1">
      <alignment horizontal="center" vertical="center"/>
      <protection locked="0"/>
    </xf>
    <xf numFmtId="4" fontId="0" fillId="6" borderId="0" xfId="0" applyNumberFormat="1" applyFill="1" applyAlignment="1" applyProtection="1">
      <alignment horizontal="center" vertical="center"/>
      <protection hidden="1"/>
    </xf>
    <xf numFmtId="1" fontId="2" fillId="7" borderId="248" xfId="0" applyNumberFormat="1" applyFont="1" applyFill="1" applyBorder="1" applyAlignment="1" applyProtection="1">
      <alignment horizontal="center" vertical="center" wrapText="1"/>
      <protection hidden="1"/>
    </xf>
    <xf numFmtId="1" fontId="2" fillId="12" borderId="249" xfId="0" applyNumberFormat="1"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165" fontId="0" fillId="4" borderId="29" xfId="0" applyNumberFormat="1" applyFont="1" applyFill="1" applyBorder="1" applyAlignment="1" applyProtection="1">
      <alignment horizontal="center" vertical="center"/>
      <protection hidden="1"/>
    </xf>
    <xf numFmtId="0" fontId="6" fillId="7" borderId="19" xfId="0" applyFont="1" applyFill="1" applyBorder="1" applyAlignment="1" applyProtection="1">
      <alignment horizontal="center" vertical="center"/>
      <protection hidden="1"/>
    </xf>
    <xf numFmtId="4" fontId="1" fillId="4" borderId="35" xfId="1"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protection hidden="1"/>
    </xf>
    <xf numFmtId="4" fontId="0" fillId="5" borderId="31" xfId="0" applyNumberFormat="1" applyFont="1" applyFill="1" applyBorder="1" applyAlignment="1" applyProtection="1">
      <alignment horizontal="center" vertical="center"/>
      <protection hidden="1"/>
    </xf>
    <xf numFmtId="4" fontId="1" fillId="5" borderId="32" xfId="1" applyNumberFormat="1" applyFont="1" applyFill="1" applyBorder="1" applyAlignment="1" applyProtection="1">
      <alignment horizontal="center" vertical="center"/>
      <protection hidden="1"/>
    </xf>
    <xf numFmtId="0" fontId="6" fillId="7" borderId="25" xfId="0" applyFont="1" applyFill="1" applyBorder="1" applyAlignment="1" applyProtection="1">
      <alignment horizontal="center" vertical="center"/>
      <protection hidden="1"/>
    </xf>
    <xf numFmtId="0" fontId="6" fillId="7" borderId="22" xfId="0" applyFont="1" applyFill="1" applyBorder="1" applyAlignment="1" applyProtection="1">
      <alignment horizontal="center" vertical="center"/>
      <protection hidden="1"/>
    </xf>
    <xf numFmtId="4" fontId="0" fillId="5" borderId="22" xfId="0" applyNumberFormat="1"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4" fontId="0" fillId="6" borderId="0" xfId="0" applyNumberFormat="1" applyFill="1" applyAlignment="1" applyProtection="1">
      <alignment vertical="center"/>
      <protection hidden="1"/>
    </xf>
    <xf numFmtId="0" fontId="2" fillId="11" borderId="150" xfId="0" applyFont="1" applyFill="1" applyBorder="1" applyAlignment="1" applyProtection="1">
      <alignment horizontal="left" vertical="center"/>
      <protection hidden="1"/>
    </xf>
    <xf numFmtId="0" fontId="5" fillId="11" borderId="155" xfId="0" applyFont="1" applyFill="1" applyBorder="1" applyAlignment="1" applyProtection="1">
      <alignment horizontal="center" vertical="center"/>
      <protection hidden="1"/>
    </xf>
    <xf numFmtId="4" fontId="2" fillId="11" borderId="112" xfId="1" applyNumberFormat="1" applyFont="1" applyFill="1" applyBorder="1" applyAlignment="1" applyProtection="1">
      <alignment horizontal="center" vertical="center"/>
      <protection hidden="1"/>
    </xf>
    <xf numFmtId="4" fontId="2" fillId="11" borderId="151" xfId="1" applyNumberFormat="1" applyFont="1" applyFill="1" applyBorder="1" applyAlignment="1" applyProtection="1">
      <alignment horizontal="center" vertical="center"/>
      <protection hidden="1"/>
    </xf>
    <xf numFmtId="4" fontId="2" fillId="6" borderId="0" xfId="0" applyNumberFormat="1" applyFont="1" applyFill="1" applyAlignment="1" applyProtection="1">
      <alignment vertical="center"/>
      <protection hidden="1"/>
    </xf>
    <xf numFmtId="0" fontId="2" fillId="7" borderId="178" xfId="0" applyFont="1" applyFill="1" applyBorder="1" applyAlignment="1" applyProtection="1">
      <alignment vertical="center"/>
      <protection hidden="1"/>
    </xf>
    <xf numFmtId="1" fontId="28" fillId="7" borderId="179" xfId="0" applyNumberFormat="1" applyFont="1" applyFill="1" applyBorder="1" applyAlignment="1" applyProtection="1">
      <alignment horizontal="center" vertical="center"/>
      <protection hidden="1"/>
    </xf>
    <xf numFmtId="0" fontId="2" fillId="7" borderId="179"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4" fontId="2" fillId="7" borderId="177" xfId="0" applyNumberFormat="1" applyFont="1" applyFill="1" applyBorder="1" applyAlignment="1" applyProtection="1">
      <alignment horizontal="center" vertical="center"/>
      <protection hidden="1"/>
    </xf>
    <xf numFmtId="0" fontId="2" fillId="7" borderId="80" xfId="0" applyFont="1" applyFill="1" applyBorder="1" applyAlignment="1" applyProtection="1">
      <alignment vertical="center"/>
      <protection hidden="1"/>
    </xf>
    <xf numFmtId="0" fontId="5" fillId="7" borderId="81" xfId="0" applyFont="1" applyFill="1" applyBorder="1" applyAlignment="1" applyProtection="1">
      <alignment vertical="center"/>
      <protection hidden="1"/>
    </xf>
    <xf numFmtId="0" fontId="5" fillId="7" borderId="81" xfId="0" applyFont="1" applyFill="1" applyBorder="1" applyAlignment="1" applyProtection="1">
      <alignment horizontal="center" vertical="center"/>
      <protection hidden="1"/>
    </xf>
    <xf numFmtId="1" fontId="2" fillId="7" borderId="81" xfId="0" applyNumberFormat="1"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0" fontId="0" fillId="7" borderId="75" xfId="0" applyFill="1" applyBorder="1" applyAlignment="1" applyProtection="1">
      <alignment vertical="center"/>
      <protection hidden="1"/>
    </xf>
    <xf numFmtId="0" fontId="6" fillId="7" borderId="76" xfId="0" applyFont="1" applyFill="1" applyBorder="1" applyAlignment="1" applyProtection="1">
      <alignment vertical="center"/>
      <protection hidden="1"/>
    </xf>
    <xf numFmtId="0" fontId="6" fillId="7" borderId="76" xfId="0" applyFont="1" applyFill="1" applyBorder="1" applyAlignment="1" applyProtection="1">
      <alignment horizontal="center" vertical="center"/>
      <protection hidden="1"/>
    </xf>
    <xf numFmtId="4" fontId="0" fillId="4" borderId="76" xfId="0" applyNumberFormat="1" applyFill="1" applyBorder="1" applyAlignment="1" applyProtection="1">
      <alignment horizontal="center" vertical="center"/>
      <protection hidden="1"/>
    </xf>
    <xf numFmtId="4" fontId="0" fillId="5" borderId="76" xfId="0" applyNumberFormat="1" applyFill="1" applyBorder="1" applyAlignment="1" applyProtection="1">
      <alignment horizontal="center" vertical="center"/>
      <protection hidden="1"/>
    </xf>
    <xf numFmtId="0" fontId="0" fillId="7" borderId="67" xfId="0" applyFill="1" applyBorder="1" applyAlignment="1" applyProtection="1">
      <alignment vertical="center"/>
      <protection hidden="1"/>
    </xf>
    <xf numFmtId="0" fontId="6" fillId="7" borderId="68" xfId="0" applyFont="1" applyFill="1" applyBorder="1" applyAlignment="1" applyProtection="1">
      <alignment vertical="center"/>
      <protection hidden="1"/>
    </xf>
    <xf numFmtId="0" fontId="6" fillId="7" borderId="68" xfId="0" applyFont="1" applyFill="1" applyBorder="1" applyAlignment="1" applyProtection="1">
      <alignment horizontal="center" vertical="center"/>
      <protection hidden="1"/>
    </xf>
    <xf numFmtId="4" fontId="0" fillId="4" borderId="68" xfId="0" applyNumberFormat="1" applyFill="1" applyBorder="1" applyAlignment="1" applyProtection="1">
      <alignment horizontal="center" vertical="center"/>
      <protection hidden="1"/>
    </xf>
    <xf numFmtId="4" fontId="0" fillId="5" borderId="68" xfId="0" applyNumberFormat="1" applyFill="1" applyBorder="1" applyAlignment="1" applyProtection="1">
      <alignment horizontal="center" vertical="center"/>
      <protection hidden="1"/>
    </xf>
    <xf numFmtId="0" fontId="0" fillId="7" borderId="69" xfId="0" applyFill="1" applyBorder="1" applyAlignment="1" applyProtection="1">
      <alignment vertical="center"/>
      <protection hidden="1"/>
    </xf>
    <xf numFmtId="0" fontId="6" fillId="7" borderId="70" xfId="0" applyFont="1" applyFill="1" applyBorder="1" applyAlignment="1" applyProtection="1">
      <alignment vertical="center"/>
      <protection hidden="1"/>
    </xf>
    <xf numFmtId="0" fontId="6" fillId="7" borderId="70" xfId="0" applyFont="1" applyFill="1" applyBorder="1" applyAlignment="1" applyProtection="1">
      <alignment horizontal="center" vertical="center"/>
      <protection hidden="1"/>
    </xf>
    <xf numFmtId="4" fontId="0" fillId="4" borderId="70" xfId="0" applyNumberFormat="1" applyFill="1" applyBorder="1" applyAlignment="1" applyProtection="1">
      <alignment horizontal="center" vertical="center"/>
      <protection hidden="1"/>
    </xf>
    <xf numFmtId="4" fontId="0" fillId="5" borderId="70" xfId="0" applyNumberFormat="1" applyFill="1" applyBorder="1" applyAlignment="1" applyProtection="1">
      <alignment horizontal="center" vertical="center"/>
      <protection hidden="1"/>
    </xf>
    <xf numFmtId="4" fontId="0" fillId="4" borderId="71" xfId="0" applyNumberFormat="1" applyFill="1" applyBorder="1" applyAlignment="1" applyProtection="1">
      <alignment horizontal="center" vertical="center"/>
      <protection hidden="1"/>
    </xf>
    <xf numFmtId="0" fontId="2" fillId="11" borderId="72" xfId="0" applyFont="1" applyFill="1" applyBorder="1" applyAlignment="1" applyProtection="1">
      <alignment vertical="center"/>
      <protection hidden="1"/>
    </xf>
    <xf numFmtId="0" fontId="2" fillId="11" borderId="73" xfId="0" applyFont="1" applyFill="1" applyBorder="1" applyAlignment="1" applyProtection="1">
      <alignment vertical="center"/>
      <protection hidden="1"/>
    </xf>
    <xf numFmtId="0" fontId="5" fillId="11" borderId="73" xfId="0" applyFont="1" applyFill="1" applyBorder="1" applyAlignment="1" applyProtection="1">
      <alignment horizontal="center" vertical="center"/>
      <protection hidden="1"/>
    </xf>
    <xf numFmtId="0" fontId="8" fillId="5" borderId="73" xfId="0" applyFont="1" applyFill="1" applyBorder="1" applyAlignment="1" applyProtection="1">
      <alignment horizontal="center" vertical="center"/>
      <protection hidden="1"/>
    </xf>
    <xf numFmtId="4" fontId="13" fillId="5" borderId="73" xfId="0" applyNumberFormat="1" applyFont="1" applyFill="1" applyBorder="1" applyAlignment="1" applyProtection="1">
      <alignment horizontal="center" vertical="center"/>
      <protection hidden="1"/>
    </xf>
    <xf numFmtId="4" fontId="8" fillId="5" borderId="73" xfId="0" applyNumberFormat="1" applyFont="1" applyFill="1" applyBorder="1" applyAlignment="1" applyProtection="1">
      <alignment horizontal="center" vertical="center"/>
      <protection hidden="1"/>
    </xf>
    <xf numFmtId="4" fontId="8" fillId="5" borderId="74" xfId="0" applyNumberFormat="1" applyFont="1" applyFill="1" applyBorder="1" applyAlignment="1" applyProtection="1">
      <alignment horizontal="center" vertical="center"/>
      <protection hidden="1"/>
    </xf>
    <xf numFmtId="0" fontId="2" fillId="7" borderId="83" xfId="0" applyFont="1" applyFill="1" applyBorder="1" applyAlignment="1" applyProtection="1">
      <alignment vertical="center"/>
      <protection hidden="1"/>
    </xf>
    <xf numFmtId="0" fontId="0" fillId="7" borderId="27" xfId="0" applyFill="1" applyBorder="1" applyAlignment="1" applyProtection="1">
      <alignment vertical="center"/>
      <protection hidden="1"/>
    </xf>
    <xf numFmtId="0" fontId="6" fillId="7" borderId="28" xfId="0" applyFont="1" applyFill="1" applyBorder="1" applyAlignment="1" applyProtection="1">
      <alignment vertical="center"/>
      <protection hidden="1"/>
    </xf>
    <xf numFmtId="4" fontId="0" fillId="4" borderId="28" xfId="0" applyNumberFormat="1" applyFill="1" applyBorder="1" applyAlignment="1" applyProtection="1">
      <alignment horizontal="center" vertical="center"/>
      <protection hidden="1"/>
    </xf>
    <xf numFmtId="4" fontId="0" fillId="5" borderId="28" xfId="0" applyNumberFormat="1" applyFill="1" applyBorder="1" applyAlignment="1" applyProtection="1">
      <alignment horizontal="center" vertical="center"/>
      <protection hidden="1"/>
    </xf>
    <xf numFmtId="0" fontId="0" fillId="7" borderId="34" xfId="0" applyFill="1" applyBorder="1" applyAlignment="1" applyProtection="1">
      <alignment vertical="center"/>
      <protection hidden="1"/>
    </xf>
    <xf numFmtId="0" fontId="6" fillId="7" borderId="19" xfId="0" applyFont="1" applyFill="1" applyBorder="1" applyAlignment="1" applyProtection="1">
      <alignment vertical="center"/>
      <protection hidden="1"/>
    </xf>
    <xf numFmtId="4" fontId="0" fillId="4" borderId="19" xfId="0" applyNumberFormat="1" applyFill="1" applyBorder="1" applyAlignment="1" applyProtection="1">
      <alignment horizontal="center" vertical="center"/>
      <protection hidden="1"/>
    </xf>
    <xf numFmtId="4" fontId="0" fillId="5" borderId="19" xfId="0" applyNumberFormat="1" applyFill="1" applyBorder="1" applyAlignment="1" applyProtection="1">
      <alignment horizontal="center" vertical="center"/>
      <protection hidden="1"/>
    </xf>
    <xf numFmtId="0" fontId="0" fillId="7" borderId="30" xfId="0" applyFill="1" applyBorder="1" applyAlignment="1" applyProtection="1">
      <alignment vertical="center"/>
      <protection hidden="1"/>
    </xf>
    <xf numFmtId="4" fontId="0" fillId="4" borderId="31" xfId="0" applyNumberFormat="1" applyFill="1" applyBorder="1" applyAlignment="1" applyProtection="1">
      <alignment horizontal="center" vertical="center"/>
      <protection hidden="1"/>
    </xf>
    <xf numFmtId="0" fontId="2" fillId="11" borderId="86" xfId="0" applyFont="1" applyFill="1" applyBorder="1" applyAlignment="1" applyProtection="1">
      <alignment vertical="center"/>
      <protection hidden="1"/>
    </xf>
    <xf numFmtId="0" fontId="2" fillId="11" borderId="87" xfId="0" applyFont="1" applyFill="1" applyBorder="1" applyAlignment="1" applyProtection="1">
      <alignment vertical="center"/>
      <protection hidden="1"/>
    </xf>
    <xf numFmtId="0" fontId="5" fillId="11" borderId="87" xfId="0" applyFont="1" applyFill="1" applyBorder="1" applyAlignment="1" applyProtection="1">
      <alignment horizontal="center" vertical="center"/>
      <protection hidden="1"/>
    </xf>
    <xf numFmtId="4" fontId="8" fillId="5" borderId="87" xfId="0" applyNumberFormat="1"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2" fillId="11" borderId="64" xfId="0" applyFont="1" applyFill="1" applyBorder="1" applyAlignment="1" applyProtection="1">
      <alignment vertical="center"/>
      <protection hidden="1"/>
    </xf>
    <xf numFmtId="0" fontId="2" fillId="11" borderId="269" xfId="0" applyFont="1" applyFill="1" applyBorder="1" applyAlignment="1" applyProtection="1">
      <alignment vertical="center"/>
      <protection hidden="1"/>
    </xf>
    <xf numFmtId="0" fontId="5" fillId="11" borderId="88" xfId="0" applyFont="1" applyFill="1" applyBorder="1" applyAlignment="1" applyProtection="1">
      <alignment horizontal="center" vertical="center"/>
      <protection hidden="1"/>
    </xf>
    <xf numFmtId="4" fontId="8" fillId="11" borderId="88" xfId="0" applyNumberFormat="1" applyFont="1" applyFill="1" applyBorder="1" applyAlignment="1" applyProtection="1">
      <alignment horizontal="center" vertical="center"/>
      <protection hidden="1"/>
    </xf>
    <xf numFmtId="4" fontId="13" fillId="5" borderId="88" xfId="0" applyNumberFormat="1" applyFont="1" applyFill="1" applyBorder="1" applyAlignment="1" applyProtection="1">
      <alignment horizontal="center" vertical="center"/>
      <protection hidden="1"/>
    </xf>
    <xf numFmtId="4" fontId="8" fillId="5" borderId="88" xfId="0" applyNumberFormat="1" applyFont="1" applyFill="1" applyBorder="1" applyAlignment="1" applyProtection="1">
      <alignment horizontal="center" vertical="center"/>
      <protection hidden="1"/>
    </xf>
    <xf numFmtId="4" fontId="8" fillId="5" borderId="89" xfId="0" applyNumberFormat="1" applyFont="1" applyFill="1" applyBorder="1" applyAlignment="1" applyProtection="1">
      <alignment horizontal="center" vertical="center"/>
      <protection hidden="1"/>
    </xf>
    <xf numFmtId="0" fontId="2" fillId="12" borderId="274" xfId="0" applyFont="1" applyFill="1" applyBorder="1" applyAlignment="1" applyProtection="1">
      <alignment horizontal="center" vertical="center"/>
      <protection hidden="1"/>
    </xf>
    <xf numFmtId="0" fontId="0" fillId="7" borderId="265" xfId="0" applyFill="1" applyBorder="1" applyAlignment="1" applyProtection="1">
      <alignment vertical="center"/>
      <protection hidden="1"/>
    </xf>
    <xf numFmtId="0" fontId="6" fillId="7" borderId="263" xfId="0" applyFont="1" applyFill="1" applyBorder="1" applyAlignment="1" applyProtection="1">
      <alignment horizontal="center" vertical="center"/>
      <protection hidden="1"/>
    </xf>
    <xf numFmtId="4" fontId="0" fillId="4" borderId="263" xfId="0" applyNumberFormat="1" applyFill="1" applyBorder="1" applyAlignment="1" applyProtection="1">
      <alignment horizontal="center" vertical="center"/>
      <protection hidden="1"/>
    </xf>
    <xf numFmtId="4" fontId="0" fillId="5" borderId="78" xfId="0" applyNumberFormat="1" applyFill="1" applyBorder="1" applyAlignment="1" applyProtection="1">
      <alignment horizontal="center" vertical="center"/>
      <protection hidden="1"/>
    </xf>
    <xf numFmtId="0" fontId="0" fillId="7" borderId="267" xfId="0" applyFill="1" applyBorder="1" applyAlignment="1" applyProtection="1">
      <alignment vertical="center"/>
      <protection hidden="1"/>
    </xf>
    <xf numFmtId="0" fontId="6" fillId="7" borderId="264" xfId="0" applyFont="1" applyFill="1" applyBorder="1" applyAlignment="1" applyProtection="1">
      <alignment horizontal="center" vertical="center"/>
      <protection hidden="1"/>
    </xf>
    <xf numFmtId="4" fontId="0" fillId="4" borderId="264" xfId="0" applyNumberFormat="1" applyFill="1" applyBorder="1" applyAlignment="1" applyProtection="1">
      <alignment horizontal="center" vertical="center"/>
      <protection hidden="1"/>
    </xf>
    <xf numFmtId="0" fontId="0" fillId="7" borderId="270" xfId="0" applyFill="1" applyBorder="1" applyAlignment="1" applyProtection="1">
      <alignment vertical="center"/>
      <protection hidden="1"/>
    </xf>
    <xf numFmtId="0" fontId="6" fillId="7" borderId="272" xfId="0" applyFont="1" applyFill="1" applyBorder="1" applyAlignment="1" applyProtection="1">
      <alignment horizontal="center" vertical="center"/>
      <protection hidden="1"/>
    </xf>
    <xf numFmtId="4" fontId="0" fillId="4" borderId="272" xfId="0" applyNumberFormat="1" applyFill="1" applyBorder="1" applyAlignment="1" applyProtection="1">
      <alignment horizontal="center" vertical="center"/>
      <protection hidden="1"/>
    </xf>
    <xf numFmtId="165" fontId="1" fillId="0" borderId="51" xfId="1" applyNumberFormat="1" applyFont="1" applyFill="1" applyBorder="1" applyAlignment="1" applyProtection="1">
      <alignment horizontal="center" vertical="center"/>
      <protection locked="0"/>
    </xf>
    <xf numFmtId="4" fontId="0" fillId="6" borderId="76" xfId="0" applyNumberFormat="1" applyFill="1" applyBorder="1" applyAlignment="1" applyProtection="1">
      <alignment horizontal="center" vertical="center"/>
      <protection locked="0"/>
    </xf>
    <xf numFmtId="4" fontId="0" fillId="6" borderId="68" xfId="0" applyNumberFormat="1" applyFill="1" applyBorder="1" applyAlignment="1" applyProtection="1">
      <alignment horizontal="center" vertical="center"/>
      <protection locked="0"/>
    </xf>
    <xf numFmtId="4" fontId="0" fillId="6" borderId="77" xfId="0" applyNumberFormat="1" applyFill="1" applyBorder="1" applyAlignment="1" applyProtection="1">
      <alignment horizontal="center" vertical="center"/>
      <protection locked="0"/>
    </xf>
    <xf numFmtId="0" fontId="0" fillId="6" borderId="67" xfId="0" applyFill="1" applyBorder="1" applyAlignment="1" applyProtection="1">
      <alignment vertical="center"/>
      <protection locked="0"/>
    </xf>
    <xf numFmtId="0" fontId="6" fillId="6" borderId="68" xfId="0" applyFont="1" applyFill="1" applyBorder="1" applyAlignment="1" applyProtection="1">
      <alignment vertical="center"/>
      <protection locked="0"/>
    </xf>
    <xf numFmtId="0" fontId="0" fillId="6" borderId="34" xfId="0" applyFill="1" applyBorder="1" applyAlignment="1" applyProtection="1">
      <alignment vertical="center"/>
      <protection locked="0"/>
    </xf>
    <xf numFmtId="0" fontId="6" fillId="6" borderId="19" xfId="0" applyFont="1" applyFill="1" applyBorder="1" applyAlignment="1" applyProtection="1">
      <alignment vertical="center"/>
      <protection locked="0"/>
    </xf>
    <xf numFmtId="4" fontId="0" fillId="6" borderId="28" xfId="0" applyNumberFormat="1" applyFill="1" applyBorder="1" applyAlignment="1" applyProtection="1">
      <alignment horizontal="center" vertical="center"/>
      <protection locked="0"/>
    </xf>
    <xf numFmtId="4" fontId="0" fillId="6" borderId="19" xfId="0" applyNumberFormat="1" applyFill="1" applyBorder="1" applyAlignment="1" applyProtection="1">
      <alignment horizontal="center" vertical="center"/>
      <protection locked="0"/>
    </xf>
    <xf numFmtId="4" fontId="0" fillId="6" borderId="29" xfId="0" applyNumberFormat="1" applyFill="1" applyBorder="1" applyAlignment="1" applyProtection="1">
      <alignment horizontal="center" vertical="center"/>
      <protection locked="0"/>
    </xf>
    <xf numFmtId="4" fontId="0" fillId="6" borderId="35" xfId="0" applyNumberFormat="1" applyFill="1" applyBorder="1" applyAlignment="1" applyProtection="1">
      <alignment horizontal="center" vertical="center"/>
      <protection locked="0"/>
    </xf>
    <xf numFmtId="4" fontId="23" fillId="5" borderId="183" xfId="0" applyNumberFormat="1" applyFont="1" applyFill="1" applyBorder="1" applyAlignment="1" applyProtection="1">
      <alignment horizontal="center" vertical="center"/>
      <protection hidden="1"/>
    </xf>
    <xf numFmtId="4" fontId="23" fillId="5" borderId="9" xfId="0" applyNumberFormat="1" applyFont="1" applyFill="1" applyBorder="1" applyAlignment="1" applyProtection="1">
      <alignment horizontal="center" vertical="center"/>
      <protection hidden="1"/>
    </xf>
    <xf numFmtId="4" fontId="11" fillId="4" borderId="22" xfId="0" applyNumberFormat="1" applyFont="1" applyFill="1" applyBorder="1" applyAlignment="1" applyProtection="1">
      <alignment horizontal="center" vertical="center"/>
      <protection hidden="1"/>
    </xf>
    <xf numFmtId="4" fontId="13" fillId="5" borderId="312" xfId="0" applyNumberFormat="1" applyFont="1" applyFill="1" applyBorder="1" applyAlignment="1" applyProtection="1">
      <alignment horizontal="center" vertical="center"/>
      <protection hidden="1"/>
    </xf>
    <xf numFmtId="4" fontId="8" fillId="5" borderId="312" xfId="0" applyNumberFormat="1" applyFont="1" applyFill="1" applyBorder="1" applyAlignment="1" applyProtection="1">
      <alignment horizontal="center" vertical="center"/>
      <protection hidden="1"/>
    </xf>
    <xf numFmtId="4" fontId="8" fillId="5" borderId="311" xfId="0" applyNumberFormat="1" applyFont="1" applyFill="1" applyBorder="1" applyAlignment="1" applyProtection="1">
      <alignment horizontal="center" vertical="center"/>
      <protection hidden="1"/>
    </xf>
    <xf numFmtId="164" fontId="33" fillId="21" borderId="175" xfId="1" applyNumberFormat="1" applyFont="1" applyFill="1" applyBorder="1" applyAlignment="1" applyProtection="1">
      <alignment horizontal="center" vertical="center"/>
      <protection hidden="1"/>
    </xf>
    <xf numFmtId="164" fontId="32" fillId="21" borderId="176" xfId="1" applyNumberFormat="1" applyFont="1" applyFill="1" applyBorder="1" applyAlignment="1" applyProtection="1">
      <alignment horizontal="center" vertical="center" wrapText="1"/>
      <protection hidden="1"/>
    </xf>
    <xf numFmtId="4" fontId="9" fillId="6" borderId="0" xfId="0"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4" fontId="9" fillId="6" borderId="0" xfId="1" applyNumberFormat="1" applyFont="1" applyFill="1" applyBorder="1" applyAlignment="1" applyProtection="1">
      <alignment horizontal="center" vertical="center"/>
      <protection hidden="1"/>
    </xf>
    <xf numFmtId="0" fontId="9" fillId="6" borderId="0"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0" xfId="0" applyFont="1" applyFill="1" applyBorder="1" applyAlignment="1" applyProtection="1">
      <alignment horizontal="center" vertical="center"/>
      <protection hidden="1"/>
    </xf>
    <xf numFmtId="0" fontId="10" fillId="7" borderId="0" xfId="0" applyFont="1" applyFill="1" applyBorder="1" applyAlignment="1">
      <alignment horizontal="center" vertical="center"/>
    </xf>
    <xf numFmtId="0" fontId="11" fillId="7" borderId="319" xfId="0" applyFont="1" applyFill="1" applyBorder="1" applyAlignment="1">
      <alignment vertical="center"/>
    </xf>
    <xf numFmtId="0" fontId="10" fillId="7" borderId="320" xfId="0" applyFont="1" applyFill="1" applyBorder="1" applyAlignment="1">
      <alignment horizontal="center" vertical="center"/>
    </xf>
    <xf numFmtId="0" fontId="11" fillId="7" borderId="321" xfId="0" applyFont="1" applyFill="1" applyBorder="1" applyAlignment="1">
      <alignment vertical="center"/>
    </xf>
    <xf numFmtId="0" fontId="11" fillId="7" borderId="322" xfId="0" applyFont="1" applyFill="1" applyBorder="1" applyAlignment="1">
      <alignment vertical="center"/>
    </xf>
    <xf numFmtId="0" fontId="10" fillId="7" borderId="323" xfId="0" applyFont="1" applyFill="1" applyBorder="1" applyAlignment="1">
      <alignment horizontal="center" vertical="center"/>
    </xf>
    <xf numFmtId="0" fontId="23" fillId="7" borderId="320"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23" xfId="0" applyFont="1" applyFill="1" applyBorder="1" applyAlignment="1">
      <alignment horizontal="left" vertical="center"/>
    </xf>
    <xf numFmtId="1" fontId="23" fillId="7" borderId="131" xfId="0" applyNumberFormat="1" applyFont="1" applyFill="1" applyBorder="1" applyAlignment="1">
      <alignment horizontal="center" vertical="center"/>
    </xf>
    <xf numFmtId="4" fontId="23" fillId="7" borderId="324" xfId="0" applyNumberFormat="1" applyFont="1" applyFill="1" applyBorder="1" applyAlignment="1">
      <alignment horizontal="center" vertical="center"/>
    </xf>
    <xf numFmtId="4" fontId="23" fillId="7" borderId="325" xfId="0" applyNumberFormat="1" applyFont="1" applyFill="1" applyBorder="1" applyAlignment="1">
      <alignment horizontal="center" vertical="center"/>
    </xf>
    <xf numFmtId="0" fontId="11" fillId="7" borderId="0" xfId="0" applyFont="1" applyFill="1" applyBorder="1" applyProtection="1">
      <protection hidden="1"/>
    </xf>
    <xf numFmtId="0" fontId="11" fillId="7" borderId="323" xfId="0" applyFont="1" applyFill="1" applyBorder="1" applyProtection="1">
      <protection hidden="1"/>
    </xf>
    <xf numFmtId="4" fontId="23" fillId="7" borderId="326" xfId="0" applyNumberFormat="1" applyFont="1" applyFill="1" applyBorder="1" applyAlignment="1">
      <alignment horizontal="center" vertical="center"/>
    </xf>
    <xf numFmtId="0" fontId="0" fillId="6" borderId="67" xfId="0" applyFill="1" applyBorder="1" applyAlignment="1" applyProtection="1">
      <alignment vertical="center"/>
      <protection hidden="1"/>
    </xf>
    <xf numFmtId="0" fontId="6" fillId="6" borderId="68" xfId="0" applyFont="1" applyFill="1" applyBorder="1" applyAlignment="1" applyProtection="1">
      <alignment vertical="center"/>
      <protection hidden="1"/>
    </xf>
    <xf numFmtId="0" fontId="11" fillId="6" borderId="0" xfId="0" applyFont="1" applyFill="1" applyBorder="1" applyAlignment="1" applyProtection="1">
      <alignment horizontal="left" vertical="center"/>
      <protection hidden="1"/>
    </xf>
    <xf numFmtId="0" fontId="2" fillId="7" borderId="66"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2" fillId="7" borderId="64" xfId="0" applyFont="1" applyFill="1" applyBorder="1" applyAlignment="1" applyProtection="1">
      <alignment horizontal="left" vertical="center"/>
      <protection hidden="1"/>
    </xf>
    <xf numFmtId="0" fontId="0" fillId="6" borderId="0" xfId="0" applyFill="1" applyProtection="1">
      <protection hidden="1"/>
    </xf>
    <xf numFmtId="0" fontId="0" fillId="6" borderId="0" xfId="0" applyFill="1" applyBorder="1" applyProtection="1">
      <protection hidden="1"/>
    </xf>
    <xf numFmtId="0" fontId="3" fillId="6" borderId="0" xfId="0" applyFont="1" applyFill="1" applyBorder="1" applyProtection="1">
      <protection hidden="1"/>
    </xf>
    <xf numFmtId="0" fontId="0" fillId="6" borderId="0" xfId="0" applyFill="1" applyAlignment="1" applyProtection="1">
      <alignment vertical="center" wrapText="1"/>
      <protection hidden="1"/>
    </xf>
    <xf numFmtId="0" fontId="0" fillId="6" borderId="0" xfId="0" quotePrefix="1" applyFill="1" applyProtection="1">
      <protection hidden="1"/>
    </xf>
    <xf numFmtId="0" fontId="0" fillId="7" borderId="200" xfId="0" applyFill="1" applyBorder="1" applyProtection="1">
      <protection hidden="1"/>
    </xf>
    <xf numFmtId="0" fontId="0" fillId="7" borderId="201" xfId="0" applyFill="1" applyBorder="1" applyProtection="1">
      <protection hidden="1"/>
    </xf>
    <xf numFmtId="0" fontId="0" fillId="7" borderId="202" xfId="0" applyFill="1" applyBorder="1" applyAlignment="1" applyProtection="1">
      <alignment horizontal="center" vertical="center"/>
      <protection hidden="1"/>
    </xf>
    <xf numFmtId="0" fontId="0" fillId="7" borderId="203" xfId="0" applyFill="1" applyBorder="1" applyProtection="1">
      <protection hidden="1"/>
    </xf>
    <xf numFmtId="0" fontId="0" fillId="7" borderId="0" xfId="0" applyFill="1" applyBorder="1" applyProtection="1">
      <protection hidden="1"/>
    </xf>
    <xf numFmtId="4" fontId="0" fillId="7" borderId="204" xfId="0" applyNumberFormat="1" applyFill="1" applyBorder="1" applyAlignment="1" applyProtection="1">
      <alignment horizontal="center" vertical="center"/>
      <protection hidden="1"/>
    </xf>
    <xf numFmtId="0" fontId="0" fillId="7" borderId="205" xfId="0" applyFill="1" applyBorder="1" applyProtection="1">
      <protection hidden="1"/>
    </xf>
    <xf numFmtId="0" fontId="0" fillId="7" borderId="41" xfId="0" applyFill="1" applyBorder="1" applyProtection="1">
      <protection hidden="1"/>
    </xf>
    <xf numFmtId="4" fontId="0" fillId="7" borderId="318" xfId="0" applyNumberFormat="1" applyFill="1" applyBorder="1" applyAlignment="1" applyProtection="1">
      <alignment horizontal="center" vertical="center"/>
      <protection hidden="1"/>
    </xf>
    <xf numFmtId="4" fontId="0" fillId="4" borderId="317"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protection hidden="1"/>
    </xf>
    <xf numFmtId="0" fontId="0" fillId="4" borderId="196" xfId="0" applyFill="1" applyBorder="1" applyAlignment="1" applyProtection="1">
      <alignment horizontal="center"/>
      <protection hidden="1"/>
    </xf>
    <xf numFmtId="3" fontId="0" fillId="4" borderId="196" xfId="0" applyNumberFormat="1" applyFill="1" applyBorder="1" applyAlignment="1" applyProtection="1">
      <alignment horizontal="center"/>
      <protection hidden="1"/>
    </xf>
    <xf numFmtId="0" fontId="0" fillId="6" borderId="0" xfId="0" applyFill="1" applyBorder="1" applyAlignment="1" applyProtection="1">
      <alignment horizontal="right" vertical="center"/>
      <protection hidden="1"/>
    </xf>
    <xf numFmtId="4" fontId="0" fillId="4" borderId="197" xfId="0" applyNumberFormat="1" applyFill="1" applyBorder="1" applyAlignment="1" applyProtection="1">
      <alignment horizontal="center"/>
      <protection hidden="1"/>
    </xf>
    <xf numFmtId="0" fontId="5" fillId="7" borderId="64" xfId="0" applyFont="1" applyFill="1" applyBorder="1" applyAlignment="1" applyProtection="1">
      <alignment horizontal="left" vertical="center"/>
      <protection hidden="1"/>
    </xf>
    <xf numFmtId="0" fontId="5" fillId="7" borderId="112" xfId="0" applyFont="1" applyFill="1" applyBorder="1" applyAlignment="1" applyProtection="1">
      <alignment horizontal="center" vertical="center"/>
      <protection hidden="1"/>
    </xf>
    <xf numFmtId="0" fontId="5" fillId="7" borderId="151" xfId="0" applyFont="1" applyFill="1" applyBorder="1" applyAlignment="1" applyProtection="1">
      <alignment horizontal="center" vertical="center"/>
      <protection hidden="1"/>
    </xf>
    <xf numFmtId="4" fontId="19" fillId="7" borderId="243" xfId="1" applyNumberFormat="1" applyFont="1" applyFill="1" applyBorder="1" applyAlignment="1" applyProtection="1">
      <alignment horizontal="center" vertical="center" wrapText="1"/>
      <protection hidden="1"/>
    </xf>
    <xf numFmtId="0" fontId="5" fillId="7" borderId="145" xfId="0" applyFont="1" applyFill="1" applyBorder="1" applyAlignment="1" applyProtection="1">
      <alignment horizontal="left" vertical="center"/>
      <protection hidden="1"/>
    </xf>
    <xf numFmtId="164" fontId="6" fillId="5" borderId="12" xfId="1" applyNumberFormat="1" applyFont="1" applyFill="1" applyBorder="1" applyAlignment="1" applyProtection="1">
      <alignment horizontal="center" vertical="center"/>
      <protection hidden="1"/>
    </xf>
    <xf numFmtId="164" fontId="0" fillId="6" borderId="0" xfId="1" applyNumberFormat="1" applyFont="1" applyFill="1" applyBorder="1" applyAlignment="1" applyProtection="1">
      <alignment horizontal="center" vertical="center"/>
      <protection hidden="1"/>
    </xf>
    <xf numFmtId="0" fontId="5" fillId="7" borderId="146" xfId="0" applyFont="1" applyFill="1" applyBorder="1" applyAlignment="1" applyProtection="1">
      <alignment horizontal="left" vertical="center"/>
      <protection hidden="1"/>
    </xf>
    <xf numFmtId="0" fontId="5" fillId="7" borderId="166" xfId="0" applyFont="1" applyFill="1" applyBorder="1" applyAlignment="1" applyProtection="1">
      <alignment vertical="center"/>
      <protection hidden="1"/>
    </xf>
    <xf numFmtId="164" fontId="5" fillId="5" borderId="10" xfId="1" applyNumberFormat="1" applyFont="1" applyFill="1" applyBorder="1" applyAlignment="1" applyProtection="1">
      <alignment horizontal="center" vertical="center"/>
      <protection hidden="1"/>
    </xf>
    <xf numFmtId="164" fontId="5" fillId="5" borderId="184" xfId="1" applyNumberFormat="1" applyFont="1" applyFill="1" applyBorder="1" applyAlignment="1" applyProtection="1">
      <alignment horizontal="center" vertical="center"/>
      <protection hidden="1"/>
    </xf>
    <xf numFmtId="0" fontId="5" fillId="7" borderId="150" xfId="0" applyFont="1" applyFill="1" applyBorder="1" applyAlignment="1" applyProtection="1">
      <alignment horizontal="left" vertical="center"/>
      <protection hidden="1"/>
    </xf>
    <xf numFmtId="164" fontId="5" fillId="5" borderId="112" xfId="1" applyNumberFormat="1" applyFont="1" applyFill="1" applyBorder="1" applyAlignment="1" applyProtection="1">
      <alignment horizontal="center" vertical="center"/>
      <protection hidden="1"/>
    </xf>
    <xf numFmtId="0" fontId="6" fillId="6" borderId="0" xfId="0" applyFont="1" applyFill="1" applyBorder="1" applyAlignment="1" applyProtection="1">
      <alignment horizontal="left" vertical="center"/>
      <protection hidden="1"/>
    </xf>
    <xf numFmtId="0" fontId="2" fillId="6" borderId="0" xfId="0" applyFont="1" applyFill="1" applyBorder="1" applyAlignment="1" applyProtection="1">
      <alignment horizontal="left" vertical="center"/>
      <protection hidden="1"/>
    </xf>
    <xf numFmtId="164" fontId="2" fillId="6" borderId="0" xfId="1" applyNumberFormat="1" applyFont="1" applyFill="1" applyBorder="1" applyAlignment="1" applyProtection="1">
      <alignment horizontal="center" vertical="center"/>
      <protection hidden="1"/>
    </xf>
    <xf numFmtId="164" fontId="0" fillId="6" borderId="0" xfId="0" applyNumberFormat="1" applyFill="1" applyAlignment="1" applyProtection="1">
      <alignment vertical="center"/>
      <protection hidden="1"/>
    </xf>
    <xf numFmtId="164" fontId="15" fillId="6" borderId="0" xfId="1" applyNumberFormat="1" applyFont="1" applyFill="1" applyBorder="1" applyAlignment="1" applyProtection="1">
      <alignment horizontal="center" vertical="center"/>
      <protection hidden="1"/>
    </xf>
    <xf numFmtId="1" fontId="0" fillId="6" borderId="0" xfId="0" applyNumberFormat="1" applyFill="1" applyAlignment="1" applyProtection="1">
      <alignment horizontal="center" vertical="center"/>
      <protection hidden="1"/>
    </xf>
    <xf numFmtId="0" fontId="0" fillId="4" borderId="0" xfId="0" applyFill="1" applyProtection="1">
      <protection hidden="1"/>
    </xf>
    <xf numFmtId="1" fontId="0" fillId="4" borderId="0" xfId="0" applyNumberFormat="1" applyFill="1" applyAlignment="1" applyProtection="1">
      <alignment horizontal="center" vertical="center"/>
      <protection hidden="1"/>
    </xf>
    <xf numFmtId="0" fontId="0" fillId="3" borderId="0" xfId="0" applyFill="1" applyProtection="1">
      <protection hidden="1"/>
    </xf>
    <xf numFmtId="1" fontId="0" fillId="3" borderId="0" xfId="0" applyNumberFormat="1" applyFill="1" applyAlignment="1" applyProtection="1">
      <alignment horizontal="center" vertical="center"/>
      <protection hidden="1"/>
    </xf>
    <xf numFmtId="0" fontId="0" fillId="16" borderId="0" xfId="0" applyFill="1" applyProtection="1">
      <protection hidden="1"/>
    </xf>
    <xf numFmtId="4" fontId="0" fillId="16" borderId="0" xfId="0" applyNumberFormat="1" applyFill="1" applyAlignment="1" applyProtection="1">
      <alignment horizontal="center" vertical="center"/>
      <protection hidden="1"/>
    </xf>
    <xf numFmtId="0" fontId="0" fillId="19" borderId="0" xfId="0" applyFill="1" applyProtection="1">
      <protection hidden="1"/>
    </xf>
    <xf numFmtId="4" fontId="0" fillId="19" borderId="0" xfId="0" applyNumberFormat="1" applyFill="1" applyAlignment="1" applyProtection="1">
      <alignment horizontal="center" vertical="center"/>
      <protection hidden="1"/>
    </xf>
    <xf numFmtId="1" fontId="0" fillId="5" borderId="0" xfId="0" applyNumberFormat="1" applyFill="1" applyAlignment="1" applyProtection="1">
      <alignment horizontal="center" vertical="center"/>
      <protection hidden="1"/>
    </xf>
    <xf numFmtId="0" fontId="0" fillId="5" borderId="0" xfId="0" applyFill="1" applyProtection="1">
      <protection hidden="1"/>
    </xf>
    <xf numFmtId="1" fontId="0" fillId="17" borderId="0" xfId="0" applyNumberFormat="1" applyFill="1" applyAlignment="1" applyProtection="1">
      <alignment horizontal="center" vertical="center"/>
      <protection hidden="1"/>
    </xf>
    <xf numFmtId="0" fontId="0" fillId="17" borderId="0" xfId="0" applyFill="1" applyProtection="1">
      <protection hidden="1"/>
    </xf>
    <xf numFmtId="1" fontId="0" fillId="18" borderId="0" xfId="0" applyNumberFormat="1" applyFill="1" applyAlignment="1" applyProtection="1">
      <alignment horizontal="center" vertical="center"/>
      <protection hidden="1"/>
    </xf>
    <xf numFmtId="0" fontId="11" fillId="7" borderId="313" xfId="0" applyFont="1" applyFill="1" applyBorder="1" applyAlignment="1" applyProtection="1">
      <alignment vertical="center"/>
      <protection hidden="1"/>
    </xf>
    <xf numFmtId="0" fontId="10" fillId="7" borderId="314" xfId="0" applyFont="1" applyFill="1" applyBorder="1" applyAlignment="1" applyProtection="1">
      <alignment horizontal="left" vertical="center"/>
      <protection hidden="1"/>
    </xf>
    <xf numFmtId="0" fontId="10" fillId="7" borderId="232" xfId="0" applyFont="1" applyFill="1" applyBorder="1" applyAlignment="1" applyProtection="1">
      <alignment vertical="center"/>
      <protection hidden="1"/>
    </xf>
    <xf numFmtId="0" fontId="10" fillId="6" borderId="0" xfId="0" applyFont="1" applyFill="1" applyBorder="1" applyAlignment="1" applyProtection="1">
      <alignment horizontal="left" vertical="center"/>
      <protection hidden="1"/>
    </xf>
    <xf numFmtId="0" fontId="11" fillId="7" borderId="315" xfId="0" applyFont="1" applyFill="1" applyBorder="1" applyAlignment="1" applyProtection="1">
      <alignment vertical="center"/>
      <protection hidden="1"/>
    </xf>
    <xf numFmtId="0" fontId="10" fillId="7" borderId="0" xfId="0" applyFont="1" applyFill="1" applyBorder="1" applyAlignment="1" applyProtection="1">
      <alignment horizontal="left" vertical="center"/>
      <protection hidden="1"/>
    </xf>
    <xf numFmtId="0" fontId="10" fillId="7" borderId="316" xfId="0" applyFont="1" applyFill="1" applyBorder="1" applyAlignment="1" applyProtection="1">
      <alignment vertical="center"/>
      <protection hidden="1"/>
    </xf>
    <xf numFmtId="4" fontId="10" fillId="7" borderId="0" xfId="0" applyNumberFormat="1" applyFont="1" applyFill="1" applyBorder="1" applyAlignment="1" applyProtection="1">
      <alignment horizontal="left" vertical="center"/>
      <protection hidden="1"/>
    </xf>
    <xf numFmtId="4" fontId="10" fillId="6" borderId="0" xfId="0" applyNumberFormat="1" applyFont="1" applyFill="1" applyBorder="1" applyAlignment="1" applyProtection="1">
      <alignment horizontal="left" vertical="center"/>
      <protection hidden="1"/>
    </xf>
    <xf numFmtId="0" fontId="42" fillId="7" borderId="315" xfId="0" applyFont="1" applyFill="1" applyBorder="1" applyAlignment="1" applyProtection="1">
      <alignment vertical="center"/>
      <protection hidden="1"/>
    </xf>
    <xf numFmtId="1" fontId="42" fillId="7" borderId="0" xfId="0" applyNumberFormat="1" applyFont="1" applyFill="1" applyBorder="1" applyAlignment="1" applyProtection="1">
      <alignment horizontal="left" vertical="center"/>
      <protection hidden="1"/>
    </xf>
    <xf numFmtId="0" fontId="0" fillId="7" borderId="0" xfId="0" applyFill="1" applyBorder="1" applyAlignment="1" applyProtection="1">
      <alignment vertical="center"/>
      <protection hidden="1"/>
    </xf>
    <xf numFmtId="0" fontId="0" fillId="7" borderId="204"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1" fontId="29" fillId="6" borderId="0" xfId="0" applyNumberFormat="1" applyFont="1" applyFill="1" applyBorder="1" applyAlignment="1" applyProtection="1">
      <alignment horizontal="left" vertical="center"/>
      <protection hidden="1"/>
    </xf>
    <xf numFmtId="0" fontId="11" fillId="7" borderId="327" xfId="0" applyFont="1" applyFill="1" applyBorder="1" applyAlignment="1" applyProtection="1">
      <alignment vertical="center"/>
      <protection hidden="1"/>
    </xf>
    <xf numFmtId="4" fontId="10" fillId="7" borderId="41" xfId="0" applyNumberFormat="1" applyFont="1" applyFill="1" applyBorder="1" applyAlignment="1" applyProtection="1">
      <alignment horizontal="left" vertical="center"/>
      <protection hidden="1"/>
    </xf>
    <xf numFmtId="0" fontId="0" fillId="7" borderId="206" xfId="0" applyFill="1" applyBorder="1" applyAlignment="1" applyProtection="1">
      <alignment vertical="center"/>
      <protection hidden="1"/>
    </xf>
    <xf numFmtId="0" fontId="0" fillId="7" borderId="207" xfId="0" applyFill="1" applyBorder="1" applyAlignment="1" applyProtection="1">
      <alignment vertical="center"/>
      <protection hidden="1"/>
    </xf>
    <xf numFmtId="1" fontId="2" fillId="7" borderId="328" xfId="0" applyNumberFormat="1" applyFont="1" applyFill="1" applyBorder="1" applyAlignment="1" applyProtection="1">
      <alignment horizontal="center" vertical="center"/>
      <protection hidden="1"/>
    </xf>
    <xf numFmtId="0" fontId="11" fillId="7" borderId="38" xfId="0" applyFont="1" applyFill="1" applyBorder="1" applyAlignment="1" applyProtection="1">
      <alignment horizontal="left" vertical="center"/>
      <protection hidden="1"/>
    </xf>
    <xf numFmtId="170" fontId="11" fillId="7" borderId="39" xfId="0" applyNumberFormat="1"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hidden="1"/>
    </xf>
    <xf numFmtId="4" fontId="0" fillId="7" borderId="38" xfId="1" applyNumberFormat="1" applyFont="1" applyFill="1" applyBorder="1" applyAlignment="1" applyProtection="1">
      <alignment horizontal="left" vertical="center"/>
      <protection hidden="1"/>
    </xf>
    <xf numFmtId="4" fontId="0" fillId="7" borderId="0" xfId="1" applyNumberFormat="1" applyFont="1" applyFill="1" applyBorder="1" applyAlignment="1" applyProtection="1">
      <alignment horizontal="left" vertical="center"/>
      <protection hidden="1"/>
    </xf>
    <xf numFmtId="4" fontId="0" fillId="7" borderId="39" xfId="1" applyNumberFormat="1" applyFont="1" applyFill="1" applyBorder="1" applyAlignment="1" applyProtection="1">
      <alignment horizontal="center" vertical="center"/>
      <protection hidden="1"/>
    </xf>
    <xf numFmtId="43" fontId="0" fillId="6" borderId="0" xfId="0" applyNumberFormat="1" applyFill="1" applyAlignment="1" applyProtection="1">
      <alignment vertical="center"/>
      <protection hidden="1"/>
    </xf>
    <xf numFmtId="0" fontId="39" fillId="6" borderId="0" xfId="0" applyFont="1" applyFill="1" applyAlignment="1" applyProtection="1">
      <alignment horizontal="center" vertical="center"/>
      <protection hidden="1"/>
    </xf>
    <xf numFmtId="4" fontId="0" fillId="7" borderId="38" xfId="1" applyNumberFormat="1" applyFont="1" applyFill="1" applyBorder="1" applyAlignment="1" applyProtection="1">
      <alignment horizontal="center" vertical="center"/>
      <protection hidden="1"/>
    </xf>
    <xf numFmtId="4" fontId="0" fillId="7" borderId="0" xfId="1" applyNumberFormat="1" applyFont="1" applyFill="1" applyBorder="1" applyAlignment="1" applyProtection="1">
      <alignment horizontal="center" vertical="center"/>
      <protection hidden="1"/>
    </xf>
    <xf numFmtId="4" fontId="2" fillId="7" borderId="40" xfId="1" applyNumberFormat="1" applyFont="1" applyFill="1" applyBorder="1" applyAlignment="1" applyProtection="1">
      <alignment horizontal="left" vertical="center"/>
      <protection hidden="1"/>
    </xf>
    <xf numFmtId="4" fontId="2" fillId="7" borderId="41" xfId="1" applyNumberFormat="1" applyFont="1" applyFill="1" applyBorder="1" applyAlignment="1" applyProtection="1">
      <alignment horizontal="left" vertical="center"/>
      <protection hidden="1"/>
    </xf>
    <xf numFmtId="4" fontId="2" fillId="7" borderId="42" xfId="1" applyNumberFormat="1" applyFont="1" applyFill="1" applyBorder="1" applyAlignment="1" applyProtection="1">
      <alignment horizontal="center" vertical="center"/>
      <protection hidden="1"/>
    </xf>
    <xf numFmtId="0" fontId="11" fillId="7" borderId="40" xfId="0" applyFont="1" applyFill="1" applyBorder="1" applyAlignment="1" applyProtection="1">
      <alignment horizontal="left" vertical="center"/>
      <protection hidden="1"/>
    </xf>
    <xf numFmtId="170" fontId="11" fillId="7" borderId="42" xfId="0" applyNumberFormat="1" applyFont="1" applyFill="1" applyBorder="1" applyAlignment="1" applyProtection="1">
      <alignment horizontal="center" vertical="center"/>
      <protection hidden="1"/>
    </xf>
    <xf numFmtId="4" fontId="11" fillId="6" borderId="0" xfId="0" applyNumberFormat="1" applyFont="1" applyFill="1" applyBorder="1" applyAlignment="1" applyProtection="1">
      <alignment horizontal="center" vertical="center"/>
      <protection hidden="1"/>
    </xf>
    <xf numFmtId="0" fontId="2" fillId="7" borderId="64" xfId="0" applyFont="1" applyFill="1" applyBorder="1" applyAlignment="1" applyProtection="1">
      <alignment vertical="center"/>
      <protection hidden="1"/>
    </xf>
    <xf numFmtId="0" fontId="0" fillId="7" borderId="66" xfId="0" applyFill="1" applyBorder="1" applyAlignment="1" applyProtection="1">
      <alignment vertical="center"/>
      <protection hidden="1"/>
    </xf>
    <xf numFmtId="4" fontId="0" fillId="7" borderId="54" xfId="1" applyNumberFormat="1" applyFont="1" applyFill="1" applyBorder="1" applyAlignment="1" applyProtection="1">
      <alignment horizontal="left" vertical="center"/>
      <protection hidden="1"/>
    </xf>
    <xf numFmtId="4" fontId="0" fillId="7" borderId="55" xfId="1" applyNumberFormat="1" applyFont="1" applyFill="1" applyBorder="1" applyAlignment="1" applyProtection="1">
      <alignment horizontal="left" vertical="center"/>
      <protection hidden="1"/>
    </xf>
    <xf numFmtId="4" fontId="0" fillId="7" borderId="55" xfId="0" applyNumberFormat="1" applyFill="1" applyBorder="1" applyAlignment="1" applyProtection="1">
      <alignment horizontal="center" vertical="center"/>
      <protection hidden="1"/>
    </xf>
    <xf numFmtId="0" fontId="0" fillId="7" borderId="145" xfId="0" applyFill="1" applyBorder="1" applyAlignment="1" applyProtection="1">
      <alignment vertical="center"/>
      <protection hidden="1"/>
    </xf>
    <xf numFmtId="170" fontId="0" fillId="7" borderId="175" xfId="0" applyNumberFormat="1" applyFill="1" applyBorder="1" applyAlignment="1" applyProtection="1">
      <alignment horizontal="center"/>
      <protection hidden="1"/>
    </xf>
    <xf numFmtId="4" fontId="0" fillId="7" borderId="145" xfId="1" applyNumberFormat="1" applyFont="1" applyFill="1" applyBorder="1" applyAlignment="1" applyProtection="1">
      <alignment horizontal="left" vertical="center"/>
      <protection hidden="1"/>
    </xf>
    <xf numFmtId="4" fontId="0" fillId="7" borderId="0" xfId="0" applyNumberFormat="1" applyFill="1" applyBorder="1" applyAlignment="1" applyProtection="1">
      <alignment horizontal="center" vertical="center"/>
      <protection hidden="1"/>
    </xf>
    <xf numFmtId="0" fontId="0" fillId="7" borderId="144" xfId="0" applyFill="1" applyBorder="1" applyAlignment="1" applyProtection="1">
      <alignment vertical="center"/>
      <protection hidden="1"/>
    </xf>
    <xf numFmtId="170" fontId="0" fillId="7" borderId="176" xfId="0" applyNumberFormat="1" applyFill="1" applyBorder="1" applyAlignment="1" applyProtection="1">
      <alignment horizontal="center"/>
      <protection hidden="1"/>
    </xf>
    <xf numFmtId="4" fontId="0" fillId="7" borderId="143" xfId="0" applyNumberFormat="1" applyFill="1" applyBorder="1" applyAlignment="1" applyProtection="1">
      <alignment horizontal="center" vertical="center"/>
      <protection hidden="1"/>
    </xf>
    <xf numFmtId="0" fontId="27" fillId="6" borderId="0" xfId="0" applyFont="1" applyFill="1" applyBorder="1" applyAlignment="1" applyProtection="1">
      <alignment horizontal="center" vertical="center"/>
      <protection hidden="1"/>
    </xf>
    <xf numFmtId="0" fontId="0" fillId="6" borderId="143" xfId="0" applyFill="1" applyBorder="1" applyAlignment="1" applyProtection="1">
      <alignment vertical="center"/>
      <protection hidden="1"/>
    </xf>
    <xf numFmtId="0" fontId="2" fillId="7" borderId="285" xfId="0" applyFont="1" applyFill="1" applyBorder="1" applyAlignment="1" applyProtection="1">
      <alignment vertical="center"/>
      <protection hidden="1"/>
    </xf>
    <xf numFmtId="0" fontId="0" fillId="7" borderId="279" xfId="0" applyFont="1" applyFill="1" applyBorder="1" applyAlignment="1" applyProtection="1">
      <alignment vertical="center"/>
      <protection hidden="1"/>
    </xf>
    <xf numFmtId="170" fontId="0" fillId="7" borderId="280" xfId="0" applyNumberFormat="1" applyFont="1" applyFill="1" applyBorder="1" applyAlignment="1" applyProtection="1">
      <alignment horizontal="center" vertical="center"/>
      <protection hidden="1"/>
    </xf>
    <xf numFmtId="170" fontId="0" fillId="6" borderId="0" xfId="0" applyNumberFormat="1" applyFill="1" applyAlignment="1" applyProtection="1">
      <alignment vertical="center"/>
      <protection hidden="1"/>
    </xf>
    <xf numFmtId="0" fontId="0" fillId="7" borderId="281" xfId="0" applyFont="1" applyFill="1" applyBorder="1" applyAlignment="1" applyProtection="1">
      <alignment vertical="center"/>
      <protection hidden="1"/>
    </xf>
    <xf numFmtId="170" fontId="0" fillId="7" borderId="282" xfId="0" applyNumberFormat="1" applyFont="1" applyFill="1" applyBorder="1" applyAlignment="1" applyProtection="1">
      <alignment horizontal="center" vertical="center"/>
      <protection hidden="1"/>
    </xf>
    <xf numFmtId="170" fontId="2" fillId="7" borderId="211" xfId="0" applyNumberFormat="1" applyFont="1" applyFill="1" applyBorder="1" applyAlignment="1" applyProtection="1">
      <alignment horizontal="center" vertical="center"/>
      <protection hidden="1"/>
    </xf>
    <xf numFmtId="170" fontId="2" fillId="7" borderId="252" xfId="0" applyNumberFormat="1" applyFont="1" applyFill="1" applyBorder="1" applyAlignment="1" applyProtection="1">
      <alignment horizontal="center" vertical="center"/>
      <protection hidden="1"/>
    </xf>
    <xf numFmtId="0" fontId="0" fillId="7" borderId="283" xfId="0" applyFont="1" applyFill="1" applyBorder="1" applyAlignment="1" applyProtection="1">
      <alignment vertical="center"/>
      <protection hidden="1"/>
    </xf>
    <xf numFmtId="170" fontId="0" fillId="7" borderId="284" xfId="0" applyNumberFormat="1" applyFont="1" applyFill="1" applyBorder="1" applyAlignment="1" applyProtection="1">
      <alignment horizontal="center" vertical="center"/>
      <protection hidden="1"/>
    </xf>
    <xf numFmtId="0" fontId="0" fillId="7" borderId="64" xfId="0" applyFont="1" applyFill="1" applyBorder="1" applyAlignment="1" applyProtection="1">
      <alignment vertical="center"/>
      <protection hidden="1"/>
    </xf>
    <xf numFmtId="170" fontId="0" fillId="7" borderId="194" xfId="0" applyNumberFormat="1" applyFont="1" applyFill="1" applyBorder="1" applyAlignment="1" applyProtection="1">
      <alignment horizontal="center" vertical="center"/>
      <protection hidden="1"/>
    </xf>
    <xf numFmtId="170" fontId="2" fillId="7" borderId="195" xfId="0" applyNumberFormat="1" applyFont="1" applyFill="1" applyBorder="1" applyAlignment="1" applyProtection="1">
      <alignment horizontal="center" vertical="center"/>
      <protection hidden="1"/>
    </xf>
    <xf numFmtId="43" fontId="0" fillId="6" borderId="0" xfId="0" applyNumberFormat="1" applyFill="1" applyBorder="1" applyAlignment="1" applyProtection="1">
      <alignment vertical="center"/>
      <protection hidden="1"/>
    </xf>
    <xf numFmtId="0" fontId="2" fillId="7" borderId="250" xfId="0"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43" fontId="0" fillId="7" borderId="7"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wrapText="1"/>
      <protection hidden="1"/>
    </xf>
    <xf numFmtId="43" fontId="0" fillId="7" borderId="258"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protection hidden="1"/>
    </xf>
    <xf numFmtId="165" fontId="0" fillId="4" borderId="8" xfId="0" applyNumberFormat="1" applyFill="1" applyBorder="1" applyAlignment="1" applyProtection="1">
      <alignment horizontal="center" vertical="center"/>
      <protection hidden="1"/>
    </xf>
    <xf numFmtId="164" fontId="0" fillId="4" borderId="8" xfId="0" applyNumberFormat="1" applyFill="1" applyBorder="1" applyAlignment="1" applyProtection="1">
      <alignment horizontal="center" vertical="center"/>
      <protection hidden="1"/>
    </xf>
    <xf numFmtId="164" fontId="0" fillId="4" borderId="9" xfId="0" applyNumberFormat="1" applyFill="1" applyBorder="1" applyAlignment="1" applyProtection="1">
      <alignment horizontal="center" vertical="center"/>
      <protection hidden="1"/>
    </xf>
    <xf numFmtId="164" fontId="0" fillId="4" borderId="253" xfId="0" applyNumberFormat="1" applyFill="1" applyBorder="1" applyAlignment="1" applyProtection="1">
      <alignment horizontal="center" vertical="center"/>
      <protection hidden="1"/>
    </xf>
    <xf numFmtId="165" fontId="0" fillId="4" borderId="12" xfId="0" applyNumberFormat="1" applyFill="1" applyBorder="1" applyAlignment="1" applyProtection="1">
      <alignment horizontal="center" vertical="center"/>
      <protection hidden="1"/>
    </xf>
    <xf numFmtId="164" fontId="0" fillId="4" borderId="12" xfId="0" applyNumberFormat="1" applyFill="1" applyBorder="1" applyAlignment="1" applyProtection="1">
      <alignment horizontal="center" vertical="center"/>
      <protection hidden="1"/>
    </xf>
    <xf numFmtId="164" fontId="0" fillId="6" borderId="0" xfId="0" applyNumberFormat="1" applyFill="1" applyBorder="1" applyAlignment="1" applyProtection="1">
      <alignment horizontal="center" vertical="center"/>
      <protection hidden="1"/>
    </xf>
    <xf numFmtId="164" fontId="0" fillId="4" borderId="254" xfId="0" applyNumberFormat="1" applyFill="1" applyBorder="1" applyAlignment="1" applyProtection="1">
      <alignment horizontal="center" vertical="center"/>
      <protection hidden="1"/>
    </xf>
    <xf numFmtId="165" fontId="0" fillId="5" borderId="10" xfId="0" applyNumberFormat="1" applyFill="1" applyBorder="1" applyAlignment="1" applyProtection="1">
      <alignment horizontal="center" vertical="center"/>
      <protection hidden="1"/>
    </xf>
    <xf numFmtId="164" fontId="0" fillId="5" borderId="10" xfId="0" applyNumberFormat="1" applyFill="1" applyBorder="1" applyAlignment="1" applyProtection="1">
      <alignment horizontal="center" vertical="center"/>
      <protection hidden="1"/>
    </xf>
    <xf numFmtId="164" fontId="0" fillId="5" borderId="11" xfId="0" applyNumberFormat="1" applyFill="1" applyBorder="1" applyAlignment="1" applyProtection="1">
      <alignment horizontal="center" vertical="center"/>
      <protection hidden="1"/>
    </xf>
    <xf numFmtId="164" fontId="0" fillId="5" borderId="255" xfId="0" applyNumberFormat="1" applyFill="1" applyBorder="1" applyAlignment="1" applyProtection="1">
      <alignment horizontal="center" vertical="center"/>
      <protection hidden="1"/>
    </xf>
    <xf numFmtId="43" fontId="0" fillId="7" borderId="260" xfId="0" applyNumberFormat="1" applyFill="1" applyBorder="1" applyAlignment="1" applyProtection="1">
      <alignment vertical="center"/>
      <protection hidden="1"/>
    </xf>
    <xf numFmtId="0" fontId="0" fillId="5" borderId="113" xfId="0" applyFill="1" applyBorder="1" applyAlignment="1" applyProtection="1">
      <alignment horizontal="left" vertical="center"/>
      <protection hidden="1"/>
    </xf>
    <xf numFmtId="43" fontId="0" fillId="5" borderId="103" xfId="0" applyNumberFormat="1" applyFill="1" applyBorder="1" applyAlignment="1" applyProtection="1">
      <alignment vertical="center"/>
      <protection hidden="1"/>
    </xf>
    <xf numFmtId="164" fontId="0" fillId="5" borderId="8" xfId="0" applyNumberFormat="1" applyFill="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164" fontId="0" fillId="5" borderId="254" xfId="0" applyNumberForma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43" fontId="0" fillId="4" borderId="103" xfId="0" applyNumberFormat="1" applyFill="1" applyBorder="1" applyAlignment="1" applyProtection="1">
      <alignment vertical="center"/>
      <protection hidden="1"/>
    </xf>
    <xf numFmtId="0" fontId="0" fillId="6" borderId="145" xfId="0" applyFill="1" applyBorder="1" applyAlignment="1" applyProtection="1">
      <alignment horizontal="left" vertical="center"/>
      <protection hidden="1"/>
    </xf>
    <xf numFmtId="164" fontId="0" fillId="6" borderId="239" xfId="0" applyNumberFormat="1" applyFill="1" applyBorder="1" applyAlignment="1" applyProtection="1">
      <alignment horizontal="center" vertical="center"/>
      <protection hidden="1"/>
    </xf>
    <xf numFmtId="164" fontId="0" fillId="6" borderId="113" xfId="0" applyNumberFormat="1" applyFill="1" applyBorder="1" applyAlignment="1" applyProtection="1">
      <alignment horizontal="center" vertical="center"/>
      <protection hidden="1"/>
    </xf>
    <xf numFmtId="164" fontId="0" fillId="6" borderId="238" xfId="0" applyNumberFormat="1" applyFill="1" applyBorder="1" applyAlignment="1" applyProtection="1">
      <alignment horizontal="center" vertical="center"/>
      <protection hidden="1"/>
    </xf>
    <xf numFmtId="164" fontId="0" fillId="6" borderId="196" xfId="0" applyNumberFormat="1" applyFill="1" applyBorder="1" applyAlignment="1" applyProtection="1">
      <alignment horizontal="center" vertical="center"/>
      <protection hidden="1"/>
    </xf>
    <xf numFmtId="164" fontId="0" fillId="6" borderId="175" xfId="0" applyNumberFormat="1" applyFill="1" applyBorder="1" applyAlignment="1" applyProtection="1">
      <alignment horizontal="center" vertical="center"/>
      <protection hidden="1"/>
    </xf>
    <xf numFmtId="164" fontId="0" fillId="6" borderId="145" xfId="0" applyNumberFormat="1" applyFill="1" applyBorder="1" applyAlignment="1" applyProtection="1">
      <alignment horizontal="center" vertical="center"/>
      <protection hidden="1"/>
    </xf>
    <xf numFmtId="0" fontId="2" fillId="5" borderId="113" xfId="0" applyFont="1" applyFill="1" applyBorder="1" applyAlignment="1" applyProtection="1">
      <alignment horizontal="left" vertical="center"/>
      <protection hidden="1"/>
    </xf>
    <xf numFmtId="43" fontId="2" fillId="5" borderId="103" xfId="0" applyNumberFormat="1" applyFont="1" applyFill="1" applyBorder="1" applyAlignment="1" applyProtection="1">
      <alignment vertical="center"/>
      <protection hidden="1"/>
    </xf>
    <xf numFmtId="164" fontId="2" fillId="5" borderId="8" xfId="0" applyNumberFormat="1" applyFont="1" applyFill="1" applyBorder="1" applyAlignment="1" applyProtection="1">
      <alignment horizontal="center" vertical="center"/>
      <protection hidden="1"/>
    </xf>
    <xf numFmtId="164" fontId="2" fillId="5" borderId="9" xfId="0" applyNumberFormat="1" applyFont="1" applyFill="1" applyBorder="1" applyAlignment="1" applyProtection="1">
      <alignment horizontal="center" vertical="center"/>
      <protection hidden="1"/>
    </xf>
    <xf numFmtId="43" fontId="2" fillId="6" borderId="0" xfId="0" applyNumberFormat="1" applyFont="1" applyFill="1" applyBorder="1" applyAlignment="1" applyProtection="1">
      <alignment vertical="center"/>
      <protection hidden="1"/>
    </xf>
    <xf numFmtId="164" fontId="2" fillId="5" borderId="254" xfId="0" applyNumberFormat="1" applyFont="1" applyFill="1" applyBorder="1" applyAlignment="1" applyProtection="1">
      <alignment horizontal="center" vertical="center"/>
      <protection hidden="1"/>
    </xf>
    <xf numFmtId="0" fontId="0" fillId="6" borderId="146" xfId="0" applyFill="1" applyBorder="1" applyAlignment="1" applyProtection="1">
      <alignment horizontal="left" vertical="center"/>
      <protection hidden="1"/>
    </xf>
    <xf numFmtId="43" fontId="0" fillId="6" borderId="236" xfId="0" applyNumberFormat="1" applyFill="1" applyBorder="1" applyAlignment="1" applyProtection="1">
      <alignment vertical="center"/>
      <protection hidden="1"/>
    </xf>
    <xf numFmtId="164" fontId="0" fillId="6" borderId="236" xfId="0" applyNumberFormat="1" applyFill="1" applyBorder="1" applyAlignment="1" applyProtection="1">
      <alignment horizontal="center" vertical="center"/>
      <protection hidden="1"/>
    </xf>
    <xf numFmtId="164" fontId="0" fillId="6" borderId="237" xfId="0" applyNumberFormat="1" applyFill="1" applyBorder="1" applyAlignment="1" applyProtection="1">
      <alignment horizontal="center" vertical="center"/>
      <protection hidden="1"/>
    </xf>
    <xf numFmtId="164" fontId="0" fillId="6" borderId="146" xfId="0" applyNumberFormat="1" applyFill="1" applyBorder="1" applyAlignment="1" applyProtection="1">
      <alignment horizontal="center" vertical="center"/>
      <protection hidden="1"/>
    </xf>
    <xf numFmtId="0" fontId="2" fillId="6" borderId="147" xfId="0" applyFont="1" applyFill="1" applyBorder="1" applyAlignment="1" applyProtection="1">
      <alignment horizontal="left" vertical="center"/>
      <protection hidden="1"/>
    </xf>
    <xf numFmtId="43" fontId="0" fillId="6" borderId="245" xfId="0" applyNumberFormat="1" applyFill="1" applyBorder="1" applyAlignment="1" applyProtection="1">
      <alignment vertical="center"/>
      <protection hidden="1"/>
    </xf>
    <xf numFmtId="164" fontId="0" fillId="6" borderId="245" xfId="0" applyNumberFormat="1" applyFill="1" applyBorder="1" applyAlignment="1" applyProtection="1">
      <alignment horizontal="center" vertical="center"/>
      <protection hidden="1"/>
    </xf>
    <xf numFmtId="164" fontId="0" fillId="6" borderId="147" xfId="0" applyNumberFormat="1" applyFill="1" applyBorder="1" applyAlignment="1" applyProtection="1">
      <alignment horizontal="center" vertical="center"/>
      <protection hidden="1"/>
    </xf>
    <xf numFmtId="4" fontId="0" fillId="4" borderId="8" xfId="0" applyNumberFormat="1" applyFill="1" applyBorder="1" applyAlignment="1" applyProtection="1">
      <alignment horizontal="center" vertical="center"/>
      <protection hidden="1"/>
    </xf>
    <xf numFmtId="4" fontId="0" fillId="4" borderId="254" xfId="0" applyNumberFormat="1" applyFill="1" applyBorder="1" applyAlignment="1" applyProtection="1">
      <alignment horizontal="center" vertical="center"/>
      <protection hidden="1"/>
    </xf>
    <xf numFmtId="0" fontId="2" fillId="5" borderId="166" xfId="0" applyFont="1" applyFill="1" applyBorder="1" applyAlignment="1" applyProtection="1">
      <alignment horizontal="left" vertical="center"/>
      <protection hidden="1"/>
    </xf>
    <xf numFmtId="43" fontId="2" fillId="5" borderId="241" xfId="0" applyNumberFormat="1" applyFont="1" applyFill="1" applyBorder="1" applyAlignment="1" applyProtection="1">
      <alignment vertical="center"/>
      <protection hidden="1"/>
    </xf>
    <xf numFmtId="4" fontId="2" fillId="5" borderId="10" xfId="0" applyNumberFormat="1" applyFont="1" applyFill="1" applyBorder="1" applyAlignment="1" applyProtection="1">
      <alignment horizontal="center" vertical="center"/>
      <protection hidden="1"/>
    </xf>
    <xf numFmtId="164" fontId="2" fillId="5" borderId="11" xfId="0" applyNumberFormat="1" applyFont="1" applyFill="1" applyBorder="1" applyAlignment="1" applyProtection="1">
      <alignment horizontal="center" vertical="center"/>
      <protection hidden="1"/>
    </xf>
    <xf numFmtId="4" fontId="2" fillId="5" borderId="255" xfId="0" applyNumberFormat="1" applyFont="1" applyFill="1" applyBorder="1" applyAlignment="1" applyProtection="1">
      <alignment horizontal="center" vertical="center"/>
      <protection hidden="1"/>
    </xf>
    <xf numFmtId="164" fontId="2" fillId="5" borderId="10" xfId="0" applyNumberFormat="1" applyFont="1" applyFill="1" applyBorder="1" applyAlignment="1" applyProtection="1">
      <alignment horizontal="center" vertical="center"/>
      <protection hidden="1"/>
    </xf>
    <xf numFmtId="0" fontId="0" fillId="6" borderId="65" xfId="0" applyFill="1" applyBorder="1" applyAlignment="1" applyProtection="1">
      <alignment horizontal="left" vertical="center"/>
      <protection hidden="1"/>
    </xf>
    <xf numFmtId="43" fontId="0" fillId="6" borderId="65" xfId="0" applyNumberFormat="1" applyFill="1" applyBorder="1" applyAlignment="1" applyProtection="1">
      <alignment vertical="center"/>
      <protection hidden="1"/>
    </xf>
    <xf numFmtId="164" fontId="0" fillId="6" borderId="65" xfId="0" applyNumberFormat="1" applyFill="1" applyBorder="1" applyAlignment="1" applyProtection="1">
      <alignment horizontal="center" vertical="center"/>
      <protection hidden="1"/>
    </xf>
    <xf numFmtId="164" fontId="0" fillId="6" borderId="143"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vertical="center"/>
      <protection hidden="1"/>
    </xf>
    <xf numFmtId="164" fontId="0" fillId="7" borderId="112" xfId="0" applyNumberFormat="1" applyFill="1" applyBorder="1" applyAlignment="1" applyProtection="1">
      <alignment horizontal="center" vertical="center"/>
      <protection hidden="1"/>
    </xf>
    <xf numFmtId="164" fontId="0" fillId="7" borderId="151" xfId="0" applyNumberFormat="1" applyFill="1" applyBorder="1" applyAlignment="1" applyProtection="1">
      <alignment horizontal="center" vertical="center"/>
      <protection hidden="1"/>
    </xf>
    <xf numFmtId="164" fontId="0" fillId="7" borderId="150" xfId="0" applyNumberFormat="1" applyFill="1" applyBorder="1" applyAlignment="1" applyProtection="1">
      <alignment horizontal="center" vertical="center"/>
      <protection hidden="1"/>
    </xf>
    <xf numFmtId="0" fontId="0" fillId="4" borderId="147" xfId="0" applyFill="1" applyBorder="1" applyAlignment="1" applyProtection="1">
      <alignment horizontal="left" vertical="center"/>
      <protection hidden="1"/>
    </xf>
    <xf numFmtId="43" fontId="0" fillId="4" borderId="259" xfId="0" applyNumberFormat="1" applyFill="1" applyBorder="1" applyAlignment="1" applyProtection="1">
      <alignment vertical="center"/>
      <protection hidden="1"/>
    </xf>
    <xf numFmtId="164" fontId="0" fillId="4" borderId="13" xfId="0" applyNumberFormat="1" applyFill="1" applyBorder="1" applyAlignment="1" applyProtection="1">
      <alignment horizontal="center" vertical="center"/>
      <protection hidden="1"/>
    </xf>
    <xf numFmtId="164" fontId="0" fillId="4" borderId="258" xfId="0" applyNumberFormat="1" applyFill="1" applyBorder="1" applyAlignment="1" applyProtection="1">
      <alignment horizontal="center" vertical="center"/>
      <protection hidden="1"/>
    </xf>
    <xf numFmtId="164" fontId="0" fillId="4" borderId="7" xfId="0" applyNumberFormat="1" applyFill="1" applyBorder="1" applyAlignment="1" applyProtection="1">
      <alignment horizontal="center" vertical="center"/>
      <protection hidden="1"/>
    </xf>
    <xf numFmtId="164" fontId="2" fillId="5" borderId="255" xfId="0" applyNumberFormat="1" applyFont="1" applyFill="1" applyBorder="1" applyAlignment="1" applyProtection="1">
      <alignment horizontal="center" vertical="center"/>
      <protection hidden="1"/>
    </xf>
    <xf numFmtId="43" fontId="9" fillId="6" borderId="0" xfId="0" applyNumberFormat="1" applyFont="1" applyFill="1" applyBorder="1" applyAlignment="1" applyProtection="1">
      <alignment vertical="center"/>
      <protection hidden="1"/>
    </xf>
    <xf numFmtId="43" fontId="0" fillId="6" borderId="55" xfId="0" applyNumberFormat="1" applyFill="1" applyBorder="1" applyAlignment="1" applyProtection="1">
      <alignment vertical="center"/>
      <protection hidden="1"/>
    </xf>
    <xf numFmtId="170" fontId="0" fillId="6" borderId="0" xfId="0" applyNumberFormat="1" applyFill="1" applyBorder="1" applyAlignment="1" applyProtection="1">
      <alignment horizontal="center" vertical="center"/>
      <protection hidden="1"/>
    </xf>
    <xf numFmtId="4" fontId="9" fillId="6" borderId="0" xfId="0" applyNumberFormat="1" applyFont="1" applyFill="1" applyBorder="1" applyAlignment="1" applyProtection="1">
      <alignment horizontal="left" vertical="center"/>
      <protection hidden="1"/>
    </xf>
    <xf numFmtId="0" fontId="0" fillId="4" borderId="0" xfId="0" applyFill="1" applyBorder="1" applyAlignment="1" applyProtection="1">
      <alignment vertical="center"/>
      <protection hidden="1"/>
    </xf>
    <xf numFmtId="0" fontId="0" fillId="2" borderId="0" xfId="0" applyFill="1" applyAlignment="1" applyProtection="1">
      <alignment vertical="center"/>
      <protection hidden="1"/>
    </xf>
    <xf numFmtId="3" fontId="0" fillId="6" borderId="0" xfId="0" applyNumberFormat="1" applyFill="1" applyBorder="1" applyAlignment="1" applyProtection="1">
      <alignment horizontal="center" vertical="center"/>
      <protection hidden="1"/>
    </xf>
    <xf numFmtId="0" fontId="2" fillId="7" borderId="215" xfId="0" applyFont="1" applyFill="1" applyBorder="1" applyAlignment="1" applyProtection="1">
      <alignment vertical="center"/>
      <protection hidden="1"/>
    </xf>
    <xf numFmtId="4" fontId="0" fillId="5" borderId="216" xfId="0" applyNumberFormat="1" applyFont="1" applyFill="1" applyBorder="1" applyAlignment="1" applyProtection="1">
      <alignment horizontal="center" vertical="center"/>
      <protection hidden="1"/>
    </xf>
    <xf numFmtId="4" fontId="2" fillId="9" borderId="217" xfId="0" applyNumberFormat="1" applyFont="1" applyFill="1" applyBorder="1" applyAlignment="1" applyProtection="1">
      <alignment horizontal="center" vertical="center"/>
      <protection hidden="1"/>
    </xf>
    <xf numFmtId="0" fontId="2" fillId="7" borderId="208" xfId="0" applyFont="1" applyFill="1" applyBorder="1" applyAlignment="1" applyProtection="1">
      <alignment vertical="center"/>
      <protection hidden="1"/>
    </xf>
    <xf numFmtId="4" fontId="0" fillId="5" borderId="218" xfId="0" applyNumberFormat="1" applyFont="1" applyFill="1" applyBorder="1" applyAlignment="1" applyProtection="1">
      <alignment horizontal="center" vertical="center"/>
      <protection hidden="1"/>
    </xf>
    <xf numFmtId="4" fontId="2" fillId="9" borderId="219" xfId="0" applyNumberFormat="1" applyFont="1" applyFill="1" applyBorder="1" applyAlignment="1" applyProtection="1">
      <alignment horizontal="center" vertical="center"/>
      <protection hidden="1"/>
    </xf>
    <xf numFmtId="0" fontId="2" fillId="7" borderId="234" xfId="0" applyFont="1" applyFill="1" applyBorder="1" applyAlignment="1" applyProtection="1">
      <alignment vertical="center"/>
      <protection hidden="1"/>
    </xf>
    <xf numFmtId="4" fontId="0" fillId="5" borderId="235" xfId="0" applyNumberFormat="1" applyFont="1" applyFill="1" applyBorder="1" applyAlignment="1" applyProtection="1">
      <alignment horizontal="center" vertical="center"/>
      <protection hidden="1"/>
    </xf>
    <xf numFmtId="0" fontId="2" fillId="7" borderId="209" xfId="0" applyFont="1" applyFill="1" applyBorder="1" applyAlignment="1" applyProtection="1">
      <alignment vertical="center"/>
      <protection hidden="1"/>
    </xf>
    <xf numFmtId="4" fontId="0" fillId="5" borderId="220" xfId="0" applyNumberFormat="1" applyFont="1" applyFill="1" applyBorder="1" applyAlignment="1" applyProtection="1">
      <alignment horizontal="center" vertical="center"/>
      <protection hidden="1"/>
    </xf>
    <xf numFmtId="4" fontId="2" fillId="9" borderId="221" xfId="0" applyNumberFormat="1" applyFont="1" applyFill="1" applyBorder="1" applyAlignment="1" applyProtection="1">
      <alignment horizontal="center" vertical="center"/>
      <protection hidden="1"/>
    </xf>
    <xf numFmtId="0" fontId="27" fillId="6" borderId="132" xfId="0" applyFont="1" applyFill="1" applyBorder="1" applyAlignment="1" applyProtection="1">
      <alignment horizontal="center" vertical="center"/>
      <protection hidden="1"/>
    </xf>
    <xf numFmtId="0" fontId="0" fillId="6" borderId="133" xfId="0" applyFill="1" applyBorder="1" applyAlignment="1" applyProtection="1">
      <alignment vertical="center"/>
      <protection hidden="1"/>
    </xf>
    <xf numFmtId="0" fontId="0" fillId="6" borderId="133" xfId="0" applyFill="1" applyBorder="1" applyAlignment="1" applyProtection="1">
      <alignment horizontal="center" vertical="center"/>
      <protection hidden="1"/>
    </xf>
    <xf numFmtId="4" fontId="0" fillId="6" borderId="133" xfId="0" applyNumberFormat="1" applyFill="1" applyBorder="1" applyAlignment="1" applyProtection="1">
      <alignment horizontal="center" vertical="center"/>
      <protection hidden="1"/>
    </xf>
    <xf numFmtId="4" fontId="0" fillId="6" borderId="134" xfId="0" applyNumberFormat="1" applyFill="1" applyBorder="1" applyAlignment="1" applyProtection="1">
      <alignment horizontal="center" vertical="center"/>
      <protection hidden="1"/>
    </xf>
    <xf numFmtId="0" fontId="27" fillId="6" borderId="135" xfId="0" applyFont="1" applyFill="1" applyBorder="1" applyAlignment="1" applyProtection="1">
      <alignment horizontal="center" vertical="center"/>
      <protection hidden="1"/>
    </xf>
    <xf numFmtId="0" fontId="3" fillId="6" borderId="228" xfId="0" applyFont="1" applyFill="1" applyBorder="1" applyAlignment="1" applyProtection="1">
      <alignment horizontal="center" vertical="center"/>
      <protection hidden="1"/>
    </xf>
    <xf numFmtId="4" fontId="0" fillId="6" borderId="136" xfId="0" applyNumberFormat="1" applyFill="1" applyBorder="1" applyAlignment="1" applyProtection="1">
      <alignment horizontal="center" vertical="center"/>
      <protection hidden="1"/>
    </xf>
    <xf numFmtId="0" fontId="0" fillId="6" borderId="117" xfId="0" applyFill="1" applyBorder="1" applyAlignment="1" applyProtection="1">
      <alignment vertical="center"/>
      <protection hidden="1"/>
    </xf>
    <xf numFmtId="0" fontId="0" fillId="6" borderId="118" xfId="0" applyFill="1" applyBorder="1" applyAlignment="1" applyProtection="1">
      <alignment horizontal="center" vertical="center"/>
      <protection hidden="1"/>
    </xf>
    <xf numFmtId="1" fontId="0" fillId="6" borderId="118" xfId="0" applyNumberFormat="1" applyFill="1" applyBorder="1" applyAlignment="1" applyProtection="1">
      <alignment horizontal="center" vertical="center"/>
      <protection hidden="1"/>
    </xf>
    <xf numFmtId="1" fontId="0" fillId="6" borderId="224" xfId="0" applyNumberFormat="1" applyFill="1" applyBorder="1" applyAlignment="1" applyProtection="1">
      <alignment horizontal="center" vertical="center"/>
      <protection hidden="1"/>
    </xf>
    <xf numFmtId="1" fontId="3" fillId="6" borderId="228" xfId="0" applyNumberFormat="1" applyFont="1" applyFill="1" applyBorder="1" applyAlignment="1" applyProtection="1">
      <alignment horizontal="center" vertical="center"/>
      <protection hidden="1"/>
    </xf>
    <xf numFmtId="3" fontId="0" fillId="6" borderId="136" xfId="0" applyNumberFormat="1" applyFill="1" applyBorder="1" applyAlignment="1" applyProtection="1">
      <alignment horizontal="center" vertical="center"/>
      <protection hidden="1"/>
    </xf>
    <xf numFmtId="0" fontId="0" fillId="6" borderId="120" xfId="0" applyFill="1" applyBorder="1" applyAlignment="1" applyProtection="1">
      <alignment vertical="center"/>
      <protection hidden="1"/>
    </xf>
    <xf numFmtId="0" fontId="0" fillId="6" borderId="1" xfId="0" applyFill="1" applyBorder="1" applyAlignment="1" applyProtection="1">
      <alignment horizontal="center" vertical="center"/>
      <protection hidden="1"/>
    </xf>
    <xf numFmtId="1" fontId="0" fillId="6" borderId="1" xfId="0" applyNumberFormat="1" applyFill="1" applyBorder="1" applyAlignment="1" applyProtection="1">
      <alignment horizontal="center" vertical="center"/>
      <protection hidden="1"/>
    </xf>
    <xf numFmtId="1" fontId="0" fillId="6" borderId="5" xfId="0" applyNumberFormat="1" applyFill="1" applyBorder="1" applyAlignment="1" applyProtection="1">
      <alignment horizontal="center" vertical="center"/>
      <protection hidden="1"/>
    </xf>
    <xf numFmtId="1" fontId="3" fillId="6" borderId="229" xfId="0" applyNumberFormat="1" applyFont="1" applyFill="1" applyBorder="1" applyAlignment="1" applyProtection="1">
      <alignment horizontal="center" vertical="center"/>
      <protection hidden="1"/>
    </xf>
    <xf numFmtId="0" fontId="0" fillId="3" borderId="122" xfId="0" applyFill="1" applyBorder="1" applyAlignment="1" applyProtection="1">
      <alignment vertical="center"/>
      <protection hidden="1"/>
    </xf>
    <xf numFmtId="0" fontId="0" fillId="3" borderId="123" xfId="0" applyFill="1" applyBorder="1" applyAlignment="1" applyProtection="1">
      <alignment horizontal="center" vertical="center"/>
      <protection hidden="1"/>
    </xf>
    <xf numFmtId="1" fontId="0" fillId="3" borderId="123" xfId="0" applyNumberFormat="1" applyFill="1" applyBorder="1" applyAlignment="1" applyProtection="1">
      <alignment horizontal="center" vertical="center"/>
      <protection hidden="1"/>
    </xf>
    <xf numFmtId="1" fontId="0" fillId="3" borderId="225" xfId="0" applyNumberFormat="1" applyFill="1" applyBorder="1" applyAlignment="1" applyProtection="1">
      <alignment horizontal="center" vertical="center"/>
      <protection hidden="1"/>
    </xf>
    <xf numFmtId="4" fontId="0" fillId="3" borderId="3" xfId="0" applyNumberFormat="1" applyFill="1" applyBorder="1" applyAlignment="1" applyProtection="1">
      <alignment horizontal="center" vertical="center"/>
      <protection hidden="1"/>
    </xf>
    <xf numFmtId="0" fontId="0" fillId="3" borderId="129"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1" fontId="0" fillId="3" borderId="2" xfId="0" applyNumberFormat="1" applyFill="1" applyBorder="1" applyAlignment="1" applyProtection="1">
      <alignment horizontal="center" vertical="center"/>
      <protection hidden="1"/>
    </xf>
    <xf numFmtId="1" fontId="0" fillId="3" borderId="52" xfId="0" applyNumberFormat="1" applyFill="1" applyBorder="1" applyAlignment="1" applyProtection="1">
      <alignment horizontal="center" vertical="center"/>
      <protection hidden="1"/>
    </xf>
    <xf numFmtId="4" fontId="0" fillId="3" borderId="188" xfId="0" applyNumberFormat="1" applyFill="1" applyBorder="1" applyAlignment="1" applyProtection="1">
      <alignment horizontal="center" vertical="center"/>
      <protection hidden="1"/>
    </xf>
    <xf numFmtId="0" fontId="0" fillId="3" borderId="222" xfId="0" applyFill="1" applyBorder="1" applyAlignment="1" applyProtection="1">
      <alignment vertical="center"/>
      <protection hidden="1"/>
    </xf>
    <xf numFmtId="0" fontId="0" fillId="3" borderId="223" xfId="0" applyFill="1" applyBorder="1" applyAlignment="1" applyProtection="1">
      <alignment horizontal="center" vertical="center"/>
      <protection hidden="1"/>
    </xf>
    <xf numFmtId="1" fontId="0" fillId="3" borderId="223" xfId="0" applyNumberFormat="1" applyFill="1" applyBorder="1" applyAlignment="1" applyProtection="1">
      <alignment horizontal="center" vertical="center"/>
      <protection hidden="1"/>
    </xf>
    <xf numFmtId="1" fontId="0" fillId="3" borderId="227" xfId="0" applyNumberFormat="1" applyFill="1" applyBorder="1" applyAlignment="1" applyProtection="1">
      <alignment horizontal="center" vertical="center"/>
      <protection hidden="1"/>
    </xf>
    <xf numFmtId="1" fontId="3" fillId="3" borderId="125" xfId="0" applyNumberFormat="1" applyFont="1" applyFill="1" applyBorder="1" applyAlignment="1" applyProtection="1">
      <alignment horizontal="center" vertical="center"/>
      <protection hidden="1"/>
    </xf>
    <xf numFmtId="0" fontId="0" fillId="3"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27" fillId="6" borderId="137" xfId="0" applyFont="1" applyFill="1" applyBorder="1" applyAlignment="1" applyProtection="1">
      <alignment horizontal="center" vertical="center"/>
      <protection hidden="1"/>
    </xf>
    <xf numFmtId="0" fontId="0" fillId="6" borderId="138" xfId="0" applyFill="1" applyBorder="1" applyAlignment="1" applyProtection="1">
      <alignment vertical="center"/>
      <protection hidden="1"/>
    </xf>
    <xf numFmtId="0" fontId="0" fillId="6" borderId="138" xfId="0" applyFill="1" applyBorder="1" applyAlignment="1" applyProtection="1">
      <alignment horizontal="center" vertical="center"/>
      <protection hidden="1"/>
    </xf>
    <xf numFmtId="4" fontId="0" fillId="6" borderId="139" xfId="0" applyNumberFormat="1" applyFill="1" applyBorder="1" applyAlignment="1" applyProtection="1">
      <alignment horizontal="center" vertical="center"/>
      <protection hidden="1"/>
    </xf>
    <xf numFmtId="0" fontId="0" fillId="6" borderId="134" xfId="0" applyFill="1" applyBorder="1" applyAlignment="1" applyProtection="1">
      <alignment vertical="center"/>
      <protection hidden="1"/>
    </xf>
    <xf numFmtId="0" fontId="0" fillId="6" borderId="136" xfId="0" applyFill="1" applyBorder="1" applyAlignment="1" applyProtection="1">
      <alignment vertical="center"/>
      <protection hidden="1"/>
    </xf>
    <xf numFmtId="0" fontId="0" fillId="6" borderId="133" xfId="0" applyFill="1" applyBorder="1" applyAlignment="1" applyProtection="1">
      <alignment horizontal="right" vertical="center"/>
      <protection hidden="1"/>
    </xf>
    <xf numFmtId="0" fontId="0" fillId="15" borderId="126" xfId="0" applyFill="1" applyBorder="1" applyAlignment="1" applyProtection="1">
      <alignment vertical="center"/>
      <protection hidden="1"/>
    </xf>
    <xf numFmtId="0" fontId="0" fillId="15" borderId="127" xfId="0" applyFill="1" applyBorder="1" applyAlignment="1" applyProtection="1">
      <alignment horizontal="center" vertical="center"/>
      <protection hidden="1"/>
    </xf>
    <xf numFmtId="4" fontId="0" fillId="15" borderId="128" xfId="0" applyNumberFormat="1" applyFill="1" applyBorder="1" applyAlignment="1" applyProtection="1">
      <alignment horizontal="center" vertical="center"/>
      <protection hidden="1"/>
    </xf>
    <xf numFmtId="0" fontId="0" fillId="12" borderId="117" xfId="0" applyFill="1" applyBorder="1" applyAlignment="1" applyProtection="1">
      <alignment vertical="center"/>
      <protection hidden="1"/>
    </xf>
    <xf numFmtId="0" fontId="0" fillId="12" borderId="118" xfId="0" applyFill="1" applyBorder="1" applyAlignment="1" applyProtection="1">
      <alignment horizontal="center" vertical="center"/>
      <protection hidden="1"/>
    </xf>
    <xf numFmtId="169" fontId="0" fillId="12" borderId="118" xfId="0" applyNumberFormat="1" applyFill="1" applyBorder="1" applyAlignment="1" applyProtection="1">
      <alignment horizontal="center" vertical="center"/>
      <protection hidden="1"/>
    </xf>
    <xf numFmtId="169" fontId="3" fillId="12" borderId="119" xfId="0" applyNumberFormat="1" applyFont="1" applyFill="1" applyBorder="1" applyAlignment="1" applyProtection="1">
      <alignment horizontal="center" vertical="center"/>
      <protection hidden="1"/>
    </xf>
    <xf numFmtId="4" fontId="0" fillId="3" borderId="120" xfId="0" applyNumberFormat="1" applyFill="1" applyBorder="1" applyAlignment="1" applyProtection="1">
      <alignment vertical="center"/>
      <protection hidden="1"/>
    </xf>
    <xf numFmtId="4" fontId="0" fillId="3" borderId="1" xfId="0" applyNumberFormat="1" applyFill="1" applyBorder="1" applyAlignment="1" applyProtection="1">
      <alignment horizontal="center" vertical="center"/>
      <protection hidden="1"/>
    </xf>
    <xf numFmtId="169" fontId="0" fillId="3" borderId="1" xfId="0" applyNumberFormat="1" applyFill="1" applyBorder="1" applyAlignment="1" applyProtection="1">
      <alignment horizontal="center" vertical="center"/>
      <protection hidden="1"/>
    </xf>
    <xf numFmtId="169" fontId="3" fillId="3" borderId="149" xfId="0" applyNumberFormat="1" applyFont="1" applyFill="1" applyBorder="1" applyAlignment="1" applyProtection="1">
      <alignment horizontal="center" vertical="center"/>
      <protection hidden="1"/>
    </xf>
    <xf numFmtId="4" fontId="0" fillId="3" borderId="148" xfId="0" applyNumberFormat="1" applyFill="1" applyBorder="1" applyAlignment="1" applyProtection="1">
      <alignment vertical="center"/>
      <protection hidden="1"/>
    </xf>
    <xf numFmtId="4" fontId="0" fillId="3" borderId="4" xfId="0" applyNumberFormat="1" applyFill="1" applyBorder="1" applyAlignment="1" applyProtection="1">
      <alignment horizontal="center" vertical="center"/>
      <protection hidden="1"/>
    </xf>
    <xf numFmtId="169" fontId="0" fillId="3" borderId="4" xfId="0" applyNumberFormat="1" applyFill="1" applyBorder="1" applyAlignment="1" applyProtection="1">
      <alignment horizontal="center" vertical="center"/>
      <protection hidden="1"/>
    </xf>
    <xf numFmtId="169" fontId="3" fillId="3" borderId="121" xfId="0" applyNumberFormat="1" applyFont="1" applyFill="1" applyBorder="1" applyAlignment="1" applyProtection="1">
      <alignment horizontal="center" vertical="center"/>
      <protection hidden="1"/>
    </xf>
    <xf numFmtId="0" fontId="0" fillId="6" borderId="139" xfId="0" applyFill="1" applyBorder="1" applyAlignment="1" applyProtection="1">
      <alignment vertical="center"/>
      <protection hidden="1"/>
    </xf>
    <xf numFmtId="4" fontId="0" fillId="6" borderId="0" xfId="0" applyNumberFormat="1" applyFill="1" applyBorder="1" applyAlignment="1" applyProtection="1">
      <alignment vertical="center"/>
      <protection hidden="1"/>
    </xf>
    <xf numFmtId="4" fontId="0" fillId="12" borderId="119" xfId="0" applyNumberFormat="1" applyFill="1" applyBorder="1" applyAlignment="1" applyProtection="1">
      <alignment horizontal="center" vertical="center"/>
      <protection hidden="1"/>
    </xf>
    <xf numFmtId="4" fontId="3" fillId="3" borderId="121" xfId="0" applyNumberFormat="1" applyFont="1" applyFill="1" applyBorder="1" applyAlignment="1" applyProtection="1">
      <alignment horizontal="center" vertical="center"/>
      <protection hidden="1"/>
    </xf>
    <xf numFmtId="4" fontId="27" fillId="6" borderId="136" xfId="0" applyNumberFormat="1" applyFont="1" applyFill="1" applyBorder="1" applyAlignment="1" applyProtection="1">
      <alignment horizontal="center" vertical="center"/>
      <protection hidden="1"/>
    </xf>
    <xf numFmtId="4" fontId="0" fillId="6" borderId="2" xfId="0" applyNumberFormat="1" applyFill="1" applyBorder="1" applyAlignment="1" applyProtection="1">
      <alignment horizontal="center" vertical="center"/>
      <protection hidden="1"/>
    </xf>
    <xf numFmtId="4" fontId="3" fillId="6" borderId="130" xfId="0" applyNumberFormat="1" applyFont="1" applyFill="1" applyBorder="1" applyAlignment="1" applyProtection="1">
      <alignment horizontal="center" vertical="center"/>
      <protection hidden="1"/>
    </xf>
    <xf numFmtId="4" fontId="0" fillId="16" borderId="122" xfId="0" applyNumberFormat="1" applyFill="1" applyBorder="1" applyAlignment="1" applyProtection="1">
      <alignment vertical="center"/>
      <protection hidden="1"/>
    </xf>
    <xf numFmtId="4" fontId="0" fillId="16" borderId="123" xfId="0" applyNumberFormat="1" applyFill="1" applyBorder="1" applyAlignment="1" applyProtection="1">
      <alignment horizontal="center" vertical="center"/>
      <protection hidden="1"/>
    </xf>
    <xf numFmtId="4" fontId="3" fillId="16" borderId="124" xfId="0" applyNumberFormat="1" applyFont="1" applyFill="1" applyBorder="1" applyAlignment="1" applyProtection="1">
      <alignment horizontal="center" vertical="center"/>
      <protection hidden="1"/>
    </xf>
    <xf numFmtId="4" fontId="0" fillId="6" borderId="129" xfId="0" applyNumberFormat="1" applyFill="1" applyBorder="1" applyAlignment="1" applyProtection="1">
      <alignment vertical="center"/>
      <protection hidden="1"/>
    </xf>
    <xf numFmtId="0" fontId="27" fillId="6" borderId="140" xfId="0" applyFont="1" applyFill="1" applyBorder="1" applyAlignment="1" applyProtection="1">
      <alignment horizontal="center" vertical="center"/>
      <protection hidden="1"/>
    </xf>
    <xf numFmtId="0" fontId="0" fillId="6" borderId="141" xfId="0" applyFill="1" applyBorder="1" applyAlignment="1" applyProtection="1">
      <alignment vertical="center"/>
      <protection hidden="1"/>
    </xf>
    <xf numFmtId="0" fontId="0" fillId="6" borderId="141" xfId="0" applyFill="1" applyBorder="1" applyAlignment="1" applyProtection="1">
      <alignment horizontal="center" vertical="center"/>
      <protection hidden="1"/>
    </xf>
    <xf numFmtId="4" fontId="0" fillId="6" borderId="141" xfId="0" applyNumberFormat="1" applyFill="1" applyBorder="1" applyAlignment="1" applyProtection="1">
      <alignment horizontal="center" vertical="center"/>
      <protection hidden="1"/>
    </xf>
    <xf numFmtId="4" fontId="0" fillId="6" borderId="142" xfId="0" applyNumberFormat="1" applyFill="1" applyBorder="1" applyAlignment="1" applyProtection="1">
      <alignment horizontal="center" vertical="center"/>
      <protection hidden="1"/>
    </xf>
    <xf numFmtId="0" fontId="0" fillId="7" borderId="76" xfId="0" applyFill="1" applyBorder="1" applyAlignment="1" applyProtection="1">
      <alignment vertical="center"/>
      <protection hidden="1"/>
    </xf>
    <xf numFmtId="0" fontId="0" fillId="6" borderId="1" xfId="0" applyFill="1" applyBorder="1" applyAlignment="1" applyProtection="1">
      <alignment horizontal="right" vertical="center"/>
      <protection hidden="1"/>
    </xf>
    <xf numFmtId="0" fontId="0" fillId="6" borderId="2" xfId="0" applyFill="1" applyBorder="1" applyAlignment="1" applyProtection="1">
      <alignment horizontal="right" vertical="center"/>
      <protection hidden="1"/>
    </xf>
    <xf numFmtId="0" fontId="2" fillId="6" borderId="1" xfId="0" applyFont="1" applyFill="1" applyBorder="1" applyAlignment="1" applyProtection="1">
      <alignment horizontal="right" vertical="center"/>
      <protection hidden="1"/>
    </xf>
    <xf numFmtId="0" fontId="2" fillId="6" borderId="1" xfId="0" applyFont="1" applyFill="1" applyBorder="1" applyAlignment="1" applyProtection="1">
      <alignment horizontal="center" vertical="center"/>
      <protection hidden="1"/>
    </xf>
    <xf numFmtId="4" fontId="2" fillId="6" borderId="1" xfId="0" applyNumberFormat="1"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4" fontId="0" fillId="6" borderId="1" xfId="0" applyNumberFormat="1" applyFill="1" applyBorder="1" applyAlignment="1" applyProtection="1">
      <alignment horizontal="center" vertical="center"/>
      <protection hidden="1"/>
    </xf>
    <xf numFmtId="4" fontId="0" fillId="6" borderId="5" xfId="0" applyNumberFormat="1" applyFill="1" applyBorder="1" applyAlignment="1" applyProtection="1">
      <alignment horizontal="center" vertical="center"/>
      <protection hidden="1"/>
    </xf>
    <xf numFmtId="4" fontId="0" fillId="6" borderId="6"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4" fontId="0" fillId="6" borderId="1" xfId="0" applyNumberFormat="1" applyFill="1" applyBorder="1" applyAlignment="1" applyProtection="1">
      <alignment horizontal="left" vertical="center" wrapText="1"/>
      <protection hidden="1"/>
    </xf>
    <xf numFmtId="3" fontId="0" fillId="6" borderId="136" xfId="0" applyNumberFormat="1" applyFill="1" applyBorder="1" applyAlignment="1" applyProtection="1">
      <alignment horizontal="left" vertical="center"/>
      <protection hidden="1"/>
    </xf>
    <xf numFmtId="3" fontId="3" fillId="6" borderId="2" xfId="0" applyNumberFormat="1" applyFont="1" applyFill="1" applyBorder="1" applyAlignment="1" applyProtection="1">
      <alignment horizontal="center" vertical="center"/>
      <protection hidden="1"/>
    </xf>
    <xf numFmtId="0" fontId="0" fillId="6" borderId="125" xfId="0" applyFill="1" applyBorder="1" applyAlignment="1" applyProtection="1">
      <alignment horizontal="left" vertical="center"/>
      <protection hidden="1"/>
    </xf>
    <xf numFmtId="4" fontId="0" fillId="6" borderId="125" xfId="0" applyNumberFormat="1" applyFill="1" applyBorder="1" applyAlignment="1" applyProtection="1">
      <alignment horizontal="left" vertical="center"/>
      <protection hidden="1"/>
    </xf>
    <xf numFmtId="0" fontId="0" fillId="4" borderId="125" xfId="0" applyFill="1" applyBorder="1" applyAlignment="1" applyProtection="1">
      <alignment horizontal="left" vertical="center"/>
      <protection hidden="1"/>
    </xf>
    <xf numFmtId="4" fontId="0" fillId="4" borderId="125" xfId="0" applyNumberFormat="1" applyFill="1" applyBorder="1" applyAlignment="1" applyProtection="1">
      <alignment horizontal="left" vertical="center"/>
      <protection hidden="1"/>
    </xf>
    <xf numFmtId="169" fontId="0" fillId="6" borderId="1" xfId="0" applyNumberFormat="1" applyFill="1" applyBorder="1" applyAlignment="1" applyProtection="1">
      <alignment horizontal="center" vertical="center"/>
      <protection hidden="1"/>
    </xf>
    <xf numFmtId="169" fontId="0" fillId="6" borderId="5"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locked="0" hidden="1"/>
    </xf>
    <xf numFmtId="0" fontId="10" fillId="7" borderId="201" xfId="0" applyFont="1" applyFill="1" applyBorder="1" applyAlignment="1" applyProtection="1">
      <alignment vertical="center"/>
      <protection hidden="1"/>
    </xf>
    <xf numFmtId="0" fontId="10" fillId="7" borderId="201" xfId="0" applyFont="1" applyFill="1" applyBorder="1" applyAlignment="1" applyProtection="1">
      <alignment horizontal="left" vertical="center"/>
      <protection hidden="1"/>
    </xf>
    <xf numFmtId="0" fontId="11" fillId="7" borderId="200" xfId="0" applyFont="1" applyFill="1" applyBorder="1" applyAlignment="1" applyProtection="1">
      <alignment vertical="center"/>
      <protection hidden="1"/>
    </xf>
    <xf numFmtId="0" fontId="11" fillId="7" borderId="206" xfId="0" applyFont="1" applyFill="1" applyBorder="1" applyAlignment="1" applyProtection="1">
      <alignment horizontal="left" vertical="center"/>
      <protection hidden="1"/>
    </xf>
    <xf numFmtId="0" fontId="0" fillId="7" borderId="201" xfId="0" applyFill="1" applyBorder="1" applyAlignment="1" applyProtection="1">
      <alignment horizontal="center" vertical="center"/>
      <protection hidden="1"/>
    </xf>
    <xf numFmtId="0" fontId="0" fillId="7" borderId="206" xfId="0" applyFill="1" applyBorder="1" applyAlignment="1" applyProtection="1">
      <alignment horizontal="center" vertical="center"/>
      <protection hidden="1"/>
    </xf>
    <xf numFmtId="0" fontId="43" fillId="7" borderId="200" xfId="0" applyFont="1" applyFill="1" applyBorder="1" applyAlignment="1" applyProtection="1">
      <alignment vertical="center"/>
      <protection hidden="1"/>
    </xf>
    <xf numFmtId="0" fontId="43" fillId="7" borderId="205" xfId="0" applyFont="1" applyFill="1" applyBorder="1" applyAlignment="1" applyProtection="1">
      <alignment vertical="center"/>
      <protection hidden="1"/>
    </xf>
    <xf numFmtId="0" fontId="43" fillId="7" borderId="201" xfId="0" applyFont="1" applyFill="1" applyBorder="1" applyAlignment="1" applyProtection="1">
      <alignment horizontal="left" vertical="center"/>
      <protection hidden="1"/>
    </xf>
    <xf numFmtId="0" fontId="43" fillId="7" borderId="206" xfId="0" applyFont="1" applyFill="1" applyBorder="1" applyAlignment="1" applyProtection="1">
      <alignment vertical="center"/>
      <protection hidden="1"/>
    </xf>
    <xf numFmtId="1" fontId="11" fillId="7" borderId="207" xfId="0" applyNumberFormat="1" applyFont="1" applyFill="1" applyBorder="1" applyAlignment="1" applyProtection="1">
      <alignment horizontal="center" vertical="center"/>
      <protection hidden="1"/>
    </xf>
    <xf numFmtId="1" fontId="44" fillId="7" borderId="207" xfId="0" applyNumberFormat="1" applyFont="1" applyFill="1" applyBorder="1" applyAlignment="1" applyProtection="1">
      <alignment horizontal="center" vertical="center"/>
      <protection hidden="1"/>
    </xf>
    <xf numFmtId="0" fontId="11" fillId="7" borderId="201" xfId="0" applyFont="1" applyFill="1" applyBorder="1" applyAlignment="1" applyProtection="1">
      <alignment horizontal="right" vertical="center"/>
      <protection hidden="1"/>
    </xf>
    <xf numFmtId="0" fontId="11" fillId="7" borderId="205" xfId="0" applyFont="1" applyFill="1" applyBorder="1" applyAlignment="1" applyProtection="1">
      <alignment vertical="center"/>
      <protection hidden="1"/>
    </xf>
    <xf numFmtId="0" fontId="10" fillId="7" borderId="206" xfId="0" applyFont="1" applyFill="1" applyBorder="1" applyAlignment="1" applyProtection="1">
      <alignment vertical="center"/>
      <protection hidden="1"/>
    </xf>
    <xf numFmtId="4" fontId="0" fillId="6" borderId="8" xfId="1" applyNumberFormat="1" applyFont="1" applyFill="1" applyBorder="1" applyAlignment="1" applyProtection="1">
      <alignment horizontal="center" vertical="center"/>
      <protection locked="0"/>
    </xf>
    <xf numFmtId="0" fontId="0" fillId="6" borderId="157" xfId="0" applyFont="1" applyFill="1" applyBorder="1" applyAlignment="1" applyProtection="1">
      <alignment horizontal="left" vertical="center"/>
      <protection locked="0"/>
    </xf>
    <xf numFmtId="0" fontId="0" fillId="6" borderId="143" xfId="0" applyFont="1" applyFill="1" applyBorder="1" applyAlignment="1" applyProtection="1">
      <alignment horizontal="left" vertical="center"/>
      <protection locked="0"/>
    </xf>
    <xf numFmtId="171" fontId="23" fillId="6" borderId="12" xfId="0" applyNumberFormat="1" applyFont="1" applyFill="1" applyBorder="1" applyAlignment="1" applyProtection="1">
      <alignment horizontal="center" vertical="center"/>
      <protection locked="0"/>
    </xf>
    <xf numFmtId="171" fontId="23" fillId="6" borderId="33" xfId="0" applyNumberFormat="1" applyFont="1" applyFill="1" applyBorder="1" applyAlignment="1" applyProtection="1">
      <alignment horizontal="center" vertical="center"/>
      <protection locked="0"/>
    </xf>
    <xf numFmtId="4" fontId="11" fillId="6" borderId="0" xfId="1" applyNumberFormat="1" applyFont="1" applyFill="1" applyBorder="1" applyAlignment="1" applyProtection="1">
      <alignment horizontal="center" vertical="center"/>
      <protection hidden="1"/>
    </xf>
    <xf numFmtId="4" fontId="11" fillId="6" borderId="0" xfId="0" applyNumberFormat="1" applyFont="1" applyFill="1" applyAlignment="1" applyProtection="1">
      <alignment horizontal="center" vertical="center"/>
      <protection hidden="1"/>
    </xf>
    <xf numFmtId="170" fontId="11" fillId="6" borderId="0" xfId="0" applyNumberFormat="1" applyFont="1" applyFill="1" applyAlignment="1" applyProtection="1">
      <alignment horizontal="center" vertical="center"/>
      <protection hidden="1"/>
    </xf>
    <xf numFmtId="170" fontId="11" fillId="6"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4" fontId="11" fillId="6" borderId="0" xfId="0" applyNumberFormat="1" applyFont="1" applyFill="1" applyAlignment="1" applyProtection="1">
      <alignment vertical="center"/>
      <protection hidden="1"/>
    </xf>
    <xf numFmtId="4" fontId="15" fillId="6" borderId="0" xfId="0" applyNumberFormat="1" applyFont="1" applyFill="1" applyAlignment="1" applyProtection="1">
      <alignment horizontal="center" vertical="center"/>
      <protection hidden="1"/>
    </xf>
    <xf numFmtId="0" fontId="0" fillId="7" borderId="329" xfId="0" applyFill="1" applyBorder="1" applyAlignment="1" applyProtection="1">
      <alignment vertical="center"/>
      <protection hidden="1"/>
    </xf>
    <xf numFmtId="0" fontId="0" fillId="7" borderId="330" xfId="0" applyFill="1" applyBorder="1" applyAlignment="1" applyProtection="1">
      <alignment vertical="center"/>
      <protection hidden="1"/>
    </xf>
    <xf numFmtId="0" fontId="0" fillId="7" borderId="331" xfId="0" applyFill="1" applyBorder="1" applyAlignment="1" applyProtection="1">
      <alignment vertical="center"/>
      <protection hidden="1"/>
    </xf>
    <xf numFmtId="4" fontId="3" fillId="6" borderId="0" xfId="0" applyNumberFormat="1" applyFont="1" applyFill="1" applyBorder="1" applyAlignment="1" applyProtection="1">
      <alignment horizontal="center" vertical="center"/>
      <protection hidden="1"/>
    </xf>
    <xf numFmtId="0" fontId="0" fillId="6" borderId="53" xfId="0" applyFill="1" applyBorder="1" applyAlignment="1" applyProtection="1">
      <alignment vertical="center"/>
      <protection hidden="1"/>
    </xf>
    <xf numFmtId="4" fontId="0" fillId="6" borderId="53" xfId="0" applyNumberFormat="1" applyFill="1" applyBorder="1" applyAlignment="1" applyProtection="1">
      <alignment horizontal="center" vertical="center"/>
      <protection hidden="1"/>
    </xf>
    <xf numFmtId="4" fontId="3" fillId="6" borderId="53" xfId="0" applyNumberFormat="1" applyFont="1" applyFill="1" applyBorder="1" applyAlignment="1" applyProtection="1">
      <alignment horizontal="center" vertical="center"/>
      <protection hidden="1"/>
    </xf>
    <xf numFmtId="0" fontId="0" fillId="7" borderId="76" xfId="0" applyFill="1" applyBorder="1" applyAlignment="1" applyProtection="1">
      <alignment horizontal="right" vertical="center"/>
      <protection hidden="1"/>
    </xf>
    <xf numFmtId="4" fontId="0" fillId="11" borderId="143" xfId="0" applyNumberFormat="1" applyFill="1" applyBorder="1" applyAlignment="1" applyProtection="1">
      <alignment horizontal="center" vertical="center"/>
      <protection hidden="1"/>
    </xf>
    <xf numFmtId="3" fontId="3" fillId="6" borderId="0" xfId="0" applyNumberFormat="1" applyFont="1" applyFill="1" applyBorder="1" applyAlignment="1" applyProtection="1">
      <alignment horizontal="center" vertical="center"/>
      <protection hidden="1"/>
    </xf>
    <xf numFmtId="0" fontId="45" fillId="6" borderId="0" xfId="0" applyFont="1" applyFill="1" applyProtection="1">
      <protection hidden="1"/>
    </xf>
    <xf numFmtId="0" fontId="45" fillId="6" borderId="0" xfId="0" applyFont="1" applyFill="1" applyAlignment="1" applyProtection="1">
      <alignment horizontal="center" vertical="center"/>
      <protection hidden="1"/>
    </xf>
    <xf numFmtId="1" fontId="45" fillId="6" borderId="0" xfId="0" applyNumberFormat="1" applyFont="1" applyFill="1" applyAlignment="1" applyProtection="1">
      <alignment horizontal="center" vertical="center"/>
      <protection hidden="1"/>
    </xf>
    <xf numFmtId="0" fontId="45" fillId="4" borderId="0" xfId="0" applyFont="1" applyFill="1" applyProtection="1">
      <protection hidden="1"/>
    </xf>
    <xf numFmtId="1" fontId="45" fillId="4" borderId="0" xfId="0" applyNumberFormat="1" applyFont="1" applyFill="1" applyAlignment="1" applyProtection="1">
      <alignment horizontal="center" vertical="center"/>
      <protection hidden="1"/>
    </xf>
    <xf numFmtId="0" fontId="45" fillId="3" borderId="0" xfId="0" applyFont="1" applyFill="1" applyProtection="1">
      <protection hidden="1"/>
    </xf>
    <xf numFmtId="1" fontId="45" fillId="3" borderId="0" xfId="0" applyNumberFormat="1" applyFont="1" applyFill="1" applyAlignment="1" applyProtection="1">
      <alignment horizontal="center" vertical="center"/>
      <protection hidden="1"/>
    </xf>
    <xf numFmtId="4" fontId="45" fillId="6" borderId="0" xfId="0" applyNumberFormat="1" applyFont="1" applyFill="1" applyAlignment="1" applyProtection="1">
      <alignment horizontal="center" vertical="center"/>
      <protection hidden="1"/>
    </xf>
    <xf numFmtId="0" fontId="45" fillId="16" borderId="0" xfId="0" applyFont="1" applyFill="1" applyProtection="1">
      <protection hidden="1"/>
    </xf>
    <xf numFmtId="4" fontId="45" fillId="16" borderId="0" xfId="0" applyNumberFormat="1" applyFont="1" applyFill="1" applyAlignment="1" applyProtection="1">
      <alignment horizontal="center" vertical="center"/>
      <protection hidden="1"/>
    </xf>
    <xf numFmtId="0" fontId="45" fillId="19" borderId="0" xfId="0" applyFont="1" applyFill="1" applyProtection="1">
      <protection hidden="1"/>
    </xf>
    <xf numFmtId="4" fontId="45" fillId="19" borderId="0" xfId="0" applyNumberFormat="1" applyFont="1" applyFill="1" applyAlignment="1" applyProtection="1">
      <alignment horizontal="center" vertical="center"/>
      <protection hidden="1"/>
    </xf>
    <xf numFmtId="0" fontId="46" fillId="6" borderId="0" xfId="0" applyFont="1" applyFill="1" applyProtection="1">
      <protection hidden="1"/>
    </xf>
    <xf numFmtId="1" fontId="45" fillId="5" borderId="0" xfId="0" applyNumberFormat="1" applyFont="1" applyFill="1" applyAlignment="1" applyProtection="1">
      <alignment horizontal="center" vertical="center"/>
      <protection hidden="1"/>
    </xf>
    <xf numFmtId="0" fontId="45" fillId="20" borderId="0" xfId="0" applyFont="1" applyFill="1" applyProtection="1">
      <protection hidden="1"/>
    </xf>
    <xf numFmtId="4" fontId="45" fillId="20" borderId="0" xfId="0" applyNumberFormat="1" applyFont="1" applyFill="1" applyAlignment="1" applyProtection="1">
      <alignment horizontal="center" vertical="center"/>
      <protection hidden="1"/>
    </xf>
    <xf numFmtId="1" fontId="45" fillId="17" borderId="0" xfId="0" applyNumberFormat="1" applyFont="1" applyFill="1" applyAlignment="1" applyProtection="1">
      <alignment horizontal="center" vertical="center"/>
      <protection hidden="1"/>
    </xf>
    <xf numFmtId="4" fontId="2" fillId="6" borderId="179" xfId="0" applyNumberFormat="1" applyFont="1" applyFill="1" applyBorder="1" applyAlignment="1" applyProtection="1">
      <alignment horizontal="center" vertical="center"/>
      <protection locked="0"/>
    </xf>
    <xf numFmtId="4" fontId="2" fillId="6" borderId="333" xfId="0" applyNumberFormat="1" applyFont="1" applyFill="1" applyBorder="1" applyAlignment="1" applyProtection="1">
      <alignment horizontal="center" vertical="center"/>
      <protection locked="0"/>
    </xf>
    <xf numFmtId="4" fontId="2" fillId="7" borderId="333" xfId="0" applyNumberFormat="1"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170" fontId="2" fillId="7" borderId="212" xfId="0" applyNumberFormat="1" applyFont="1" applyFill="1" applyBorder="1" applyAlignment="1" applyProtection="1">
      <alignment horizontal="center" vertical="center"/>
      <protection hidden="1"/>
    </xf>
    <xf numFmtId="0" fontId="6" fillId="6" borderId="0" xfId="0" applyFont="1" applyFill="1" applyAlignment="1" applyProtection="1">
      <alignment vertical="center"/>
      <protection hidden="1"/>
    </xf>
    <xf numFmtId="170" fontId="0" fillId="6" borderId="143" xfId="0" applyNumberFormat="1" applyFill="1" applyBorder="1" applyAlignment="1" applyProtection="1">
      <alignment vertical="center"/>
      <protection hidden="1"/>
    </xf>
    <xf numFmtId="170" fontId="0" fillId="6" borderId="0" xfId="0" applyNumberFormat="1" applyFont="1" applyFill="1" applyBorder="1" applyAlignment="1" applyProtection="1">
      <alignment horizontal="center" vertical="center"/>
      <protection hidden="1"/>
    </xf>
    <xf numFmtId="170" fontId="2" fillId="6" borderId="0" xfId="0" applyNumberFormat="1" applyFont="1" applyFill="1" applyBorder="1" applyAlignment="1" applyProtection="1">
      <alignment horizontal="center" vertical="center"/>
      <protection hidden="1"/>
    </xf>
    <xf numFmtId="0" fontId="48" fillId="6" borderId="0" xfId="0" applyFont="1" applyFill="1" applyBorder="1" applyAlignment="1" applyProtection="1">
      <alignment vertical="center"/>
      <protection hidden="1"/>
    </xf>
    <xf numFmtId="164" fontId="6" fillId="5" borderId="244" xfId="1" applyNumberFormat="1" applyFont="1" applyFill="1" applyBorder="1" applyAlignment="1" applyProtection="1">
      <alignment horizontal="center" vertical="center"/>
      <protection hidden="1"/>
    </xf>
    <xf numFmtId="4" fontId="19" fillId="9" borderId="242" xfId="1" applyNumberFormat="1" applyFont="1" applyFill="1" applyBorder="1" applyAlignment="1" applyProtection="1">
      <alignment horizontal="center" vertical="center"/>
      <protection hidden="1"/>
    </xf>
    <xf numFmtId="164" fontId="5" fillId="9" borderId="243" xfId="1" applyNumberFormat="1" applyFont="1" applyFill="1" applyBorder="1" applyAlignment="1" applyProtection="1">
      <alignment horizontal="center" vertical="center"/>
      <protection hidden="1"/>
    </xf>
    <xf numFmtId="4" fontId="11" fillId="6" borderId="300" xfId="0" applyNumberFormat="1" applyFont="1" applyFill="1" applyBorder="1" applyAlignment="1" applyProtection="1">
      <alignment horizontal="center"/>
      <protection locked="0"/>
    </xf>
    <xf numFmtId="4" fontId="11" fillId="6" borderId="301" xfId="0" applyNumberFormat="1" applyFont="1" applyFill="1" applyBorder="1" applyAlignment="1" applyProtection="1">
      <alignment horizontal="center"/>
      <protection locked="0"/>
    </xf>
    <xf numFmtId="4" fontId="11" fillId="6" borderId="303" xfId="0" applyNumberFormat="1" applyFont="1" applyFill="1" applyBorder="1" applyAlignment="1" applyProtection="1">
      <alignment horizontal="center"/>
      <protection locked="0"/>
    </xf>
    <xf numFmtId="4" fontId="11" fillId="6" borderId="308" xfId="0" applyNumberFormat="1" applyFont="1" applyFill="1" applyBorder="1" applyAlignment="1" applyProtection="1">
      <alignment horizontal="center"/>
      <protection locked="0"/>
    </xf>
    <xf numFmtId="4" fontId="11" fillId="6" borderId="242" xfId="0" applyNumberFormat="1" applyFont="1" applyFill="1" applyBorder="1" applyAlignment="1" applyProtection="1">
      <alignment horizontal="center"/>
      <protection locked="0"/>
    </xf>
    <xf numFmtId="0" fontId="24" fillId="6" borderId="145"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locked="0" hidden="1"/>
    </xf>
    <xf numFmtId="0" fontId="6" fillId="7" borderId="25"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165" fontId="0" fillId="7" borderId="65" xfId="0" applyNumberFormat="1" applyFill="1" applyBorder="1" applyAlignment="1" applyProtection="1">
      <alignment horizontal="center" vertical="center"/>
      <protection hidden="1"/>
    </xf>
    <xf numFmtId="0" fontId="11" fillId="6" borderId="0" xfId="0" applyFont="1" applyFill="1" applyAlignment="1" applyProtection="1">
      <alignment horizontal="left" vertical="center"/>
      <protection hidden="1"/>
    </xf>
    <xf numFmtId="0" fontId="15" fillId="7" borderId="59" xfId="0" applyFont="1" applyFill="1" applyBorder="1" applyAlignment="1" applyProtection="1">
      <alignment horizontal="left" vertical="center"/>
      <protection hidden="1"/>
    </xf>
    <xf numFmtId="1" fontId="29" fillId="6" borderId="115" xfId="0" applyNumberFormat="1" applyFont="1" applyFill="1" applyBorder="1" applyAlignment="1" applyProtection="1">
      <alignment horizontal="center" vertical="center"/>
      <protection locked="0"/>
    </xf>
    <xf numFmtId="0" fontId="23" fillId="6" borderId="0" xfId="0" applyFont="1" applyFill="1" applyBorder="1" applyAlignment="1" applyProtection="1">
      <alignment horizontal="center" vertical="center"/>
      <protection hidden="1"/>
    </xf>
    <xf numFmtId="0" fontId="15" fillId="7" borderId="43" xfId="0" applyFont="1" applyFill="1" applyBorder="1" applyAlignment="1" applyProtection="1">
      <alignment horizontal="left" vertical="center"/>
      <protection hidden="1"/>
    </xf>
    <xf numFmtId="4" fontId="11" fillId="6" borderId="116" xfId="0" applyNumberFormat="1" applyFont="1" applyFill="1" applyBorder="1" applyAlignment="1" applyProtection="1">
      <alignment horizontal="center" vertical="center"/>
      <protection locked="0"/>
    </xf>
    <xf numFmtId="4" fontId="11" fillId="6" borderId="45" xfId="0" applyNumberFormat="1" applyFont="1" applyFill="1" applyBorder="1" applyAlignment="1" applyProtection="1">
      <alignment horizontal="center" vertical="center"/>
      <protection locked="0"/>
    </xf>
    <xf numFmtId="0" fontId="11" fillId="6" borderId="44" xfId="0" applyFont="1" applyFill="1" applyBorder="1" applyAlignment="1" applyProtection="1">
      <alignment vertical="center"/>
      <protection locked="0"/>
    </xf>
    <xf numFmtId="0" fontId="11" fillId="6" borderId="44" xfId="0" applyFont="1" applyFill="1" applyBorder="1" applyAlignment="1" applyProtection="1">
      <alignment horizontal="left" vertical="center"/>
      <protection locked="0"/>
    </xf>
    <xf numFmtId="0" fontId="19" fillId="7" borderId="44" xfId="0" applyFont="1" applyFill="1" applyBorder="1" applyAlignment="1" applyProtection="1">
      <alignment vertical="center"/>
      <protection hidden="1"/>
    </xf>
    <xf numFmtId="0" fontId="15" fillId="7" borderId="61" xfId="0" applyFont="1" applyFill="1" applyBorder="1" applyAlignment="1" applyProtection="1">
      <alignment horizontal="left" vertical="center"/>
      <protection hidden="1"/>
    </xf>
    <xf numFmtId="4" fontId="11" fillId="6" borderId="62" xfId="0" applyNumberFormat="1" applyFont="1" applyFill="1" applyBorder="1" applyAlignment="1" applyProtection="1">
      <alignment horizontal="left" vertical="center"/>
      <protection locked="0"/>
    </xf>
    <xf numFmtId="0" fontId="11" fillId="6" borderId="62" xfId="0" applyFont="1" applyFill="1" applyBorder="1" applyAlignment="1" applyProtection="1">
      <alignment horizontal="left" vertical="center"/>
      <protection locked="0"/>
    </xf>
    <xf numFmtId="0" fontId="19" fillId="7" borderId="62" xfId="0" applyFont="1" applyFill="1" applyBorder="1" applyAlignment="1" applyProtection="1">
      <alignment vertical="center"/>
      <protection hidden="1"/>
    </xf>
    <xf numFmtId="4" fontId="11" fillId="6" borderId="63" xfId="0" applyNumberFormat="1" applyFont="1" applyFill="1" applyBorder="1" applyAlignment="1" applyProtection="1">
      <alignment horizontal="center" vertical="center"/>
      <protection locked="0"/>
    </xf>
    <xf numFmtId="0" fontId="15" fillId="7" borderId="15" xfId="0" applyFont="1" applyFill="1" applyBorder="1" applyAlignment="1" applyProtection="1">
      <alignment vertical="center"/>
      <protection hidden="1"/>
    </xf>
    <xf numFmtId="0" fontId="15" fillId="7" borderId="16" xfId="0" applyFont="1" applyFill="1" applyBorder="1" applyAlignment="1" applyProtection="1">
      <alignment horizontal="center" vertical="center"/>
      <protection hidden="1"/>
    </xf>
    <xf numFmtId="0" fontId="15" fillId="7" borderId="17" xfId="0" applyFont="1" applyFill="1" applyBorder="1" applyAlignment="1" applyProtection="1">
      <alignment horizontal="center" vertical="center"/>
      <protection hidden="1"/>
    </xf>
    <xf numFmtId="0" fontId="15" fillId="7" borderId="176" xfId="0" applyFont="1" applyFill="1" applyBorder="1" applyAlignment="1" applyProtection="1">
      <alignment horizontal="center" vertical="center" wrapText="1"/>
      <protection hidden="1"/>
    </xf>
    <xf numFmtId="0" fontId="23" fillId="7" borderId="7" xfId="0" applyFont="1" applyFill="1" applyBorder="1" applyAlignment="1" applyProtection="1">
      <alignment vertical="center"/>
      <protection hidden="1"/>
    </xf>
    <xf numFmtId="1" fontId="11" fillId="0" borderId="7" xfId="0" applyNumberFormat="1" applyFont="1" applyFill="1" applyBorder="1" applyAlignment="1" applyProtection="1">
      <alignment horizontal="center" vertical="center"/>
      <protection locked="0"/>
    </xf>
    <xf numFmtId="1" fontId="11" fillId="0" borderId="183" xfId="0" applyNumberFormat="1" applyFont="1" applyFill="1" applyBorder="1" applyAlignment="1" applyProtection="1">
      <alignment horizontal="center" vertical="center"/>
      <protection locked="0"/>
    </xf>
    <xf numFmtId="4" fontId="11" fillId="6" borderId="239" xfId="0" applyNumberFormat="1" applyFont="1" applyFill="1" applyBorder="1" applyAlignment="1" applyProtection="1">
      <alignment horizontal="center" vertical="center"/>
      <protection locked="0"/>
    </xf>
    <xf numFmtId="2" fontId="11" fillId="6" borderId="0"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vertical="center"/>
      <protection hidden="1"/>
    </xf>
    <xf numFmtId="0" fontId="23" fillId="7" borderId="8" xfId="0" applyFont="1" applyFill="1" applyBorder="1" applyAlignment="1" applyProtection="1">
      <alignment vertical="center"/>
      <protection hidden="1"/>
    </xf>
    <xf numFmtId="4" fontId="11" fillId="0" borderId="8" xfId="1" applyNumberFormat="1" applyFont="1" applyFill="1" applyBorder="1" applyAlignment="1" applyProtection="1">
      <alignment horizontal="center" vertical="center"/>
      <protection locked="0"/>
    </xf>
    <xf numFmtId="4" fontId="11" fillId="0" borderId="9" xfId="1" applyNumberFormat="1" applyFont="1" applyFill="1" applyBorder="1" applyAlignment="1" applyProtection="1">
      <alignment horizontal="center" vertical="center"/>
      <protection locked="0"/>
    </xf>
    <xf numFmtId="4" fontId="11" fillId="4" borderId="196" xfId="1" applyNumberFormat="1" applyFont="1" applyFill="1" applyBorder="1" applyAlignment="1" applyProtection="1">
      <alignment horizontal="center" vertical="center"/>
      <protection hidden="1"/>
    </xf>
    <xf numFmtId="1" fontId="11" fillId="0" borderId="8" xfId="0" applyNumberFormat="1" applyFont="1" applyFill="1" applyBorder="1" applyAlignment="1" applyProtection="1">
      <alignment horizontal="center" vertical="center"/>
      <protection locked="0"/>
    </xf>
    <xf numFmtId="1" fontId="11" fillId="0" borderId="9" xfId="0" applyNumberFormat="1" applyFont="1" applyFill="1" applyBorder="1" applyAlignment="1" applyProtection="1">
      <alignment horizontal="center" vertical="center"/>
      <protection locked="0"/>
    </xf>
    <xf numFmtId="4" fontId="11" fillId="6" borderId="196" xfId="0" applyNumberFormat="1" applyFont="1" applyFill="1" applyBorder="1" applyAlignment="1" applyProtection="1">
      <alignment horizontal="center" vertical="center"/>
      <protection locked="0"/>
    </xf>
    <xf numFmtId="1" fontId="11" fillId="6" borderId="0" xfId="0" applyNumberFormat="1" applyFont="1" applyFill="1" applyBorder="1" applyAlignment="1" applyProtection="1">
      <alignment horizontal="center" vertical="center"/>
      <protection hidden="1"/>
    </xf>
    <xf numFmtId="165" fontId="11" fillId="4" borderId="8" xfId="1" applyNumberFormat="1" applyFont="1" applyFill="1" applyBorder="1" applyAlignment="1" applyProtection="1">
      <alignment horizontal="center" vertical="center"/>
      <protection hidden="1"/>
    </xf>
    <xf numFmtId="165" fontId="11" fillId="4" borderId="9" xfId="1" applyNumberFormat="1" applyFont="1" applyFill="1" applyBorder="1" applyAlignment="1" applyProtection="1">
      <alignment horizontal="center" vertical="center"/>
      <protection hidden="1"/>
    </xf>
    <xf numFmtId="2" fontId="12" fillId="6" borderId="0" xfId="0" applyNumberFormat="1" applyFont="1" applyFill="1" applyBorder="1" applyAlignment="1" applyProtection="1">
      <alignment horizontal="center" vertical="center"/>
      <protection hidden="1"/>
    </xf>
    <xf numFmtId="165" fontId="11" fillId="4" borderId="10" xfId="1" applyNumberFormat="1" applyFont="1" applyFill="1" applyBorder="1" applyAlignment="1" applyProtection="1">
      <alignment horizontal="center" vertical="center"/>
      <protection hidden="1"/>
    </xf>
    <xf numFmtId="165" fontId="11" fillId="4" borderId="11" xfId="1" applyNumberFormat="1" applyFont="1" applyFill="1" applyBorder="1" applyAlignment="1" applyProtection="1">
      <alignment horizontal="center" vertical="center"/>
      <protection hidden="1"/>
    </xf>
    <xf numFmtId="0" fontId="23" fillId="7" borderId="12" xfId="0" applyFont="1" applyFill="1" applyBorder="1" applyAlignment="1" applyProtection="1">
      <alignment vertical="center"/>
      <protection hidden="1"/>
    </xf>
    <xf numFmtId="1" fontId="11" fillId="0" borderId="13" xfId="0" applyNumberFormat="1" applyFont="1" applyFill="1" applyBorder="1" applyAlignment="1" applyProtection="1">
      <alignment horizontal="center" vertical="center"/>
      <protection locked="0"/>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165" fontId="15" fillId="10" borderId="112" xfId="1" applyNumberFormat="1" applyFont="1" applyFill="1" applyBorder="1" applyAlignment="1" applyProtection="1">
      <alignment horizontal="center" vertical="center"/>
      <protection hidden="1"/>
    </xf>
    <xf numFmtId="165" fontId="15" fillId="10" borderId="151" xfId="1" applyNumberFormat="1" applyFont="1" applyFill="1" applyBorder="1" applyAlignment="1" applyProtection="1">
      <alignment horizontal="center" vertical="center"/>
      <protection hidden="1"/>
    </xf>
    <xf numFmtId="0" fontId="15" fillId="6" borderId="55" xfId="0" applyFont="1" applyFill="1" applyBorder="1" applyAlignment="1" applyProtection="1">
      <alignment horizontal="left" vertical="center"/>
      <protection hidden="1"/>
    </xf>
    <xf numFmtId="165" fontId="15" fillId="6" borderId="55" xfId="1" applyNumberFormat="1" applyFont="1" applyFill="1" applyBorder="1" applyAlignment="1" applyProtection="1">
      <alignment horizontal="center" vertical="center"/>
      <protection hidden="1"/>
    </xf>
    <xf numFmtId="165" fontId="15" fillId="6" borderId="0" xfId="1" applyNumberFormat="1" applyFont="1" applyFill="1" applyBorder="1" applyAlignment="1" applyProtection="1">
      <alignment horizontal="center" vertical="center"/>
      <protection hidden="1"/>
    </xf>
    <xf numFmtId="0" fontId="15" fillId="7" borderId="31" xfId="0" applyFont="1" applyFill="1" applyBorder="1" applyAlignment="1" applyProtection="1">
      <alignment horizontal="center" vertical="center"/>
      <protection hidden="1"/>
    </xf>
    <xf numFmtId="0" fontId="15" fillId="7" borderId="30" xfId="0" applyFont="1" applyFill="1" applyBorder="1" applyAlignment="1" applyProtection="1">
      <alignment horizontal="left" vertical="center"/>
      <protection hidden="1"/>
    </xf>
    <xf numFmtId="0" fontId="15" fillId="7" borderId="32" xfId="0" applyFont="1" applyFill="1" applyBorder="1" applyAlignment="1" applyProtection="1">
      <alignment horizontal="center" vertical="center"/>
      <protection hidden="1"/>
    </xf>
    <xf numFmtId="1" fontId="11" fillId="0" borderId="25" xfId="0" applyNumberFormat="1"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hidden="1"/>
    </xf>
    <xf numFmtId="0" fontId="11" fillId="6" borderId="0" xfId="0" applyFont="1" applyFill="1" applyBorder="1" applyAlignment="1" applyProtection="1">
      <alignment horizontal="left" vertical="center"/>
      <protection locked="0" hidden="1"/>
    </xf>
    <xf numFmtId="0" fontId="23" fillId="6" borderId="0" xfId="0" applyFont="1" applyFill="1" applyBorder="1" applyAlignment="1" applyProtection="1">
      <alignment horizontal="center" vertical="center"/>
      <protection locked="0" hidden="1"/>
    </xf>
    <xf numFmtId="0" fontId="11" fillId="6" borderId="0" xfId="0" applyFont="1" applyFill="1" applyAlignment="1" applyProtection="1">
      <alignment horizontal="center" vertical="center"/>
      <protection locked="0" hidden="1"/>
    </xf>
    <xf numFmtId="4" fontId="11" fillId="6" borderId="0" xfId="1" applyNumberFormat="1" applyFont="1" applyFill="1" applyBorder="1" applyAlignment="1" applyProtection="1">
      <alignment horizontal="center" vertical="center"/>
      <protection locked="0" hidden="1"/>
    </xf>
    <xf numFmtId="0" fontId="11" fillId="6" borderId="0" xfId="0" applyFont="1" applyFill="1" applyAlignment="1" applyProtection="1">
      <alignment vertical="center"/>
      <protection locked="0" hidden="1"/>
    </xf>
    <xf numFmtId="0" fontId="11" fillId="6" borderId="0" xfId="0" applyFont="1" applyFill="1" applyBorder="1" applyAlignment="1" applyProtection="1">
      <alignment vertical="center"/>
      <protection locked="0" hidden="1"/>
    </xf>
    <xf numFmtId="0" fontId="11" fillId="6" borderId="0" xfId="0" applyFont="1" applyFill="1" applyAlignment="1" applyProtection="1">
      <alignment horizontal="left" vertical="center"/>
      <protection locked="0" hidden="1"/>
    </xf>
    <xf numFmtId="0" fontId="23" fillId="6" borderId="0" xfId="0" applyFont="1" applyFill="1" applyBorder="1" applyAlignment="1" applyProtection="1">
      <alignment vertical="center"/>
      <protection locked="0" hidden="1"/>
    </xf>
    <xf numFmtId="4" fontId="11" fillId="6" borderId="0" xfId="0" applyNumberFormat="1" applyFont="1" applyFill="1" applyBorder="1" applyAlignment="1" applyProtection="1">
      <alignment horizontal="center" vertical="center"/>
      <protection locked="0" hidden="1"/>
    </xf>
    <xf numFmtId="4" fontId="11" fillId="6" borderId="0" xfId="0" applyNumberFormat="1" applyFont="1" applyFill="1" applyBorder="1" applyAlignment="1" applyProtection="1">
      <alignment vertical="center"/>
      <protection locked="0" hidden="1"/>
    </xf>
    <xf numFmtId="164" fontId="11" fillId="6" borderId="0" xfId="0" applyNumberFormat="1" applyFont="1" applyFill="1" applyAlignment="1" applyProtection="1">
      <alignment vertical="center"/>
      <protection locked="0" hidden="1"/>
    </xf>
    <xf numFmtId="1" fontId="11" fillId="2" borderId="0" xfId="0" applyNumberFormat="1" applyFont="1" applyFill="1" applyBorder="1" applyAlignment="1" applyProtection="1">
      <alignment horizontal="center" vertical="center"/>
      <protection locked="0" hidden="1"/>
    </xf>
    <xf numFmtId="4" fontId="0" fillId="6" borderId="79" xfId="0" applyNumberFormat="1" applyFill="1" applyBorder="1" applyAlignment="1" applyProtection="1">
      <alignment horizontal="center" vertical="center"/>
      <protection locked="0"/>
    </xf>
    <xf numFmtId="4" fontId="0" fillId="6" borderId="278" xfId="0" applyNumberFormat="1" applyFill="1" applyBorder="1" applyAlignment="1" applyProtection="1">
      <alignment horizontal="center" vertical="center"/>
      <protection locked="0"/>
    </xf>
    <xf numFmtId="4" fontId="0" fillId="5" borderId="277" xfId="0" applyNumberFormat="1" applyFill="1" applyBorder="1" applyAlignment="1" applyProtection="1">
      <alignment horizontal="center" vertical="center"/>
      <protection hidden="1"/>
    </xf>
    <xf numFmtId="4" fontId="0" fillId="6" borderId="78" xfId="0" applyNumberFormat="1" applyFill="1" applyBorder="1" applyAlignment="1" applyProtection="1">
      <alignment horizontal="center" vertical="center"/>
      <protection locked="0"/>
    </xf>
    <xf numFmtId="4" fontId="0" fillId="5" borderId="334" xfId="0" applyNumberFormat="1" applyFill="1" applyBorder="1" applyAlignment="1" applyProtection="1">
      <alignment horizontal="center" vertical="center"/>
      <protection hidden="1"/>
    </xf>
    <xf numFmtId="4" fontId="0" fillId="5" borderId="335" xfId="0" applyNumberFormat="1" applyFill="1" applyBorder="1" applyAlignment="1" applyProtection="1">
      <alignment horizontal="center" vertical="center"/>
      <protection hidden="1"/>
    </xf>
    <xf numFmtId="4" fontId="0" fillId="5" borderId="336" xfId="0" applyNumberFormat="1" applyFill="1" applyBorder="1" applyAlignment="1" applyProtection="1">
      <alignment horizontal="center" vertical="center"/>
      <protection hidden="1"/>
    </xf>
    <xf numFmtId="4" fontId="0" fillId="5" borderId="337" xfId="0" applyNumberFormat="1" applyFill="1" applyBorder="1" applyAlignment="1" applyProtection="1">
      <alignment horizontal="center" vertical="center"/>
      <protection hidden="1"/>
    </xf>
    <xf numFmtId="4" fontId="0" fillId="6" borderId="338" xfId="0" applyNumberFormat="1" applyFill="1" applyBorder="1" applyAlignment="1" applyProtection="1">
      <alignment horizontal="center" vertical="center"/>
      <protection locked="0"/>
    </xf>
    <xf numFmtId="4" fontId="0" fillId="5" borderId="338" xfId="0" applyNumberFormat="1" applyFill="1" applyBorder="1" applyAlignment="1" applyProtection="1">
      <alignment horizontal="center" vertical="center"/>
      <protection hidden="1"/>
    </xf>
    <xf numFmtId="4" fontId="0" fillId="5" borderId="339" xfId="0" applyNumberFormat="1" applyFill="1" applyBorder="1" applyAlignment="1" applyProtection="1">
      <alignment horizontal="center" vertical="center"/>
      <protection hidden="1"/>
    </xf>
    <xf numFmtId="43" fontId="0" fillId="7" borderId="111" xfId="0" applyNumberFormat="1" applyFill="1" applyBorder="1" applyAlignment="1" applyProtection="1">
      <alignment horizontal="center" vertical="center"/>
      <protection hidden="1"/>
    </xf>
    <xf numFmtId="164" fontId="0" fillId="4" borderId="102" xfId="0" applyNumberFormat="1" applyFill="1" applyBorder="1" applyAlignment="1" applyProtection="1">
      <alignment horizontal="center" vertical="center"/>
      <protection hidden="1"/>
    </xf>
    <xf numFmtId="164" fontId="0" fillId="5" borderId="184" xfId="0" applyNumberFormat="1" applyFill="1" applyBorder="1" applyAlignment="1" applyProtection="1">
      <alignment horizontal="center" vertical="center"/>
      <protection hidden="1"/>
    </xf>
    <xf numFmtId="164" fontId="0" fillId="5" borderId="102" xfId="0" applyNumberFormat="1" applyFill="1" applyBorder="1" applyAlignment="1" applyProtection="1">
      <alignment horizontal="center" vertical="center"/>
      <protection hidden="1"/>
    </xf>
    <xf numFmtId="164" fontId="2" fillId="5" borderId="102" xfId="0" applyNumberFormat="1" applyFont="1" applyFill="1" applyBorder="1" applyAlignment="1" applyProtection="1">
      <alignment horizontal="center" vertical="center"/>
      <protection hidden="1"/>
    </xf>
    <xf numFmtId="4" fontId="2" fillId="5" borderId="184" xfId="0" applyNumberFormat="1" applyFont="1" applyFill="1" applyBorder="1" applyAlignment="1" applyProtection="1">
      <alignment horizontal="center" vertical="center"/>
      <protection hidden="1"/>
    </xf>
    <xf numFmtId="164" fontId="0" fillId="7" borderId="155" xfId="0" applyNumberFormat="1" applyFill="1" applyBorder="1" applyAlignment="1" applyProtection="1">
      <alignment horizontal="center" vertical="center"/>
      <protection hidden="1"/>
    </xf>
    <xf numFmtId="164" fontId="0" fillId="4" borderId="244" xfId="0" applyNumberFormat="1" applyFill="1" applyBorder="1" applyAlignment="1" applyProtection="1">
      <alignment horizontal="center" vertical="center"/>
      <protection hidden="1"/>
    </xf>
    <xf numFmtId="164" fontId="2" fillId="5" borderId="184" xfId="0" applyNumberFormat="1" applyFont="1" applyFill="1" applyBorder="1" applyAlignment="1" applyProtection="1">
      <alignment horizontal="center" vertical="center"/>
      <protection hidden="1"/>
    </xf>
    <xf numFmtId="43" fontId="0" fillId="7" borderId="55" xfId="0" applyNumberFormat="1" applyFill="1" applyBorder="1" applyAlignment="1" applyProtection="1">
      <alignment vertical="center"/>
      <protection hidden="1"/>
    </xf>
    <xf numFmtId="43" fontId="0" fillId="7" borderId="55" xfId="0" applyNumberFormat="1" applyFill="1" applyBorder="1" applyAlignment="1" applyProtection="1">
      <alignment horizontal="center" vertical="center"/>
      <protection hidden="1"/>
    </xf>
    <xf numFmtId="165" fontId="0" fillId="4" borderId="244" xfId="0" applyNumberFormat="1" applyFill="1" applyBorder="1" applyAlignment="1" applyProtection="1">
      <alignment horizontal="center" vertical="center"/>
      <protection hidden="1"/>
    </xf>
    <xf numFmtId="165" fontId="0" fillId="4" borderId="102" xfId="0" applyNumberFormat="1" applyFill="1" applyBorder="1" applyAlignment="1" applyProtection="1">
      <alignment horizontal="center" vertical="center"/>
      <protection hidden="1"/>
    </xf>
    <xf numFmtId="165" fontId="0" fillId="5" borderId="184" xfId="0" applyNumberFormat="1" applyFill="1" applyBorder="1" applyAlignment="1" applyProtection="1">
      <alignment horizontal="center" vertical="center"/>
      <protection hidden="1"/>
    </xf>
    <xf numFmtId="43" fontId="0" fillId="7" borderId="56" xfId="0" applyNumberFormat="1" applyFill="1" applyBorder="1" applyAlignment="1" applyProtection="1">
      <alignment horizontal="center" vertical="center"/>
      <protection hidden="1"/>
    </xf>
    <xf numFmtId="0" fontId="2" fillId="7" borderId="114" xfId="0" applyFont="1" applyFill="1" applyBorder="1" applyAlignment="1" applyProtection="1">
      <alignment horizontal="left" vertical="center"/>
      <protection hidden="1"/>
    </xf>
    <xf numFmtId="0" fontId="2" fillId="7" borderId="54" xfId="0" applyFont="1" applyFill="1" applyBorder="1" applyAlignment="1" applyProtection="1">
      <alignment vertical="center"/>
      <protection hidden="1"/>
    </xf>
    <xf numFmtId="0" fontId="4" fillId="14" borderId="37" xfId="0" applyFont="1" applyFill="1" applyBorder="1" applyAlignment="1" applyProtection="1">
      <alignment vertical="center"/>
      <protection hidden="1"/>
    </xf>
    <xf numFmtId="0" fontId="2" fillId="7" borderId="143" xfId="0" applyFont="1" applyFill="1" applyBorder="1" applyAlignment="1" applyProtection="1">
      <alignment vertical="center"/>
      <protection hidden="1"/>
    </xf>
    <xf numFmtId="0" fontId="2" fillId="7" borderId="247" xfId="0" applyFont="1" applyFill="1" applyBorder="1" applyAlignment="1" applyProtection="1">
      <alignment horizontal="center" vertical="center"/>
      <protection hidden="1"/>
    </xf>
    <xf numFmtId="0" fontId="2" fillId="7" borderId="144" xfId="0" applyFont="1" applyFill="1" applyBorder="1" applyAlignment="1" applyProtection="1">
      <alignment vertical="center"/>
      <protection hidden="1"/>
    </xf>
    <xf numFmtId="0" fontId="2" fillId="7" borderId="251" xfId="0" applyFont="1" applyFill="1" applyBorder="1" applyAlignment="1" applyProtection="1">
      <alignment vertical="center"/>
      <protection hidden="1"/>
    </xf>
    <xf numFmtId="0" fontId="2" fillId="7" borderId="233" xfId="0" applyFont="1" applyFill="1" applyBorder="1" applyAlignment="1" applyProtection="1">
      <alignment vertical="center"/>
      <protection hidden="1"/>
    </xf>
    <xf numFmtId="2" fontId="11" fillId="6" borderId="0" xfId="0" applyNumberFormat="1" applyFont="1" applyFill="1" applyAlignment="1" applyProtection="1">
      <alignment horizontal="center" vertical="center"/>
      <protection hidden="1"/>
    </xf>
    <xf numFmtId="0" fontId="0" fillId="3" borderId="133" xfId="0" applyFill="1" applyBorder="1" applyAlignment="1" applyProtection="1">
      <alignment vertical="center"/>
      <protection hidden="1"/>
    </xf>
    <xf numFmtId="4" fontId="0" fillId="3" borderId="133" xfId="0" applyNumberFormat="1" applyFill="1" applyBorder="1" applyAlignment="1" applyProtection="1">
      <alignment horizontal="center" vertical="center"/>
      <protection hidden="1"/>
    </xf>
    <xf numFmtId="0" fontId="0" fillId="3" borderId="133" xfId="0" applyFill="1" applyBorder="1" applyAlignment="1" applyProtection="1">
      <alignment horizontal="center" vertical="center"/>
      <protection hidden="1"/>
    </xf>
    <xf numFmtId="0" fontId="30" fillId="22" borderId="0" xfId="0" applyFont="1" applyFill="1" applyBorder="1" applyAlignment="1" applyProtection="1">
      <alignment vertical="center"/>
      <protection hidden="1"/>
    </xf>
    <xf numFmtId="0" fontId="0" fillId="22" borderId="0" xfId="0" applyFill="1" applyBorder="1" applyAlignment="1" applyProtection="1">
      <alignment vertical="center"/>
      <protection hidden="1"/>
    </xf>
    <xf numFmtId="0" fontId="0" fillId="22" borderId="0" xfId="0" applyFill="1" applyBorder="1" applyAlignment="1" applyProtection="1">
      <alignment horizontal="center" vertical="center"/>
      <protection hidden="1"/>
    </xf>
    <xf numFmtId="4" fontId="0" fillId="22" borderId="0" xfId="0" applyNumberForma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hidden="1"/>
    </xf>
    <xf numFmtId="0" fontId="11" fillId="6" borderId="1" xfId="0" applyFont="1" applyFill="1" applyBorder="1" applyAlignment="1" applyProtection="1">
      <alignment vertical="center"/>
      <protection hidden="1"/>
    </xf>
    <xf numFmtId="165" fontId="11" fillId="6" borderId="1" xfId="0" applyNumberFormat="1" applyFont="1" applyFill="1" applyBorder="1" applyAlignment="1" applyProtection="1">
      <alignment horizontal="center" vertical="center"/>
      <protection hidden="1"/>
    </xf>
    <xf numFmtId="0" fontId="23" fillId="6" borderId="5" xfId="0" applyFont="1" applyFill="1" applyBorder="1" applyAlignment="1" applyProtection="1">
      <alignment horizontal="center" vertical="center"/>
      <protection hidden="1"/>
    </xf>
    <xf numFmtId="0" fontId="23" fillId="6" borderId="344"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hidden="1"/>
    </xf>
    <xf numFmtId="0" fontId="11" fillId="6" borderId="345" xfId="0" applyFont="1" applyFill="1" applyBorder="1" applyAlignment="1" applyProtection="1">
      <alignment horizontal="center" vertical="center"/>
      <protection hidden="1"/>
    </xf>
    <xf numFmtId="0" fontId="23" fillId="6" borderId="52" xfId="0" applyFont="1" applyFill="1" applyBorder="1" applyAlignment="1" applyProtection="1">
      <alignment horizontal="center" vertical="center"/>
      <protection hidden="1"/>
    </xf>
    <xf numFmtId="0" fontId="23" fillId="6" borderId="53" xfId="0" applyFont="1" applyFill="1" applyBorder="1" applyAlignment="1" applyProtection="1">
      <alignment horizontal="center" vertical="center"/>
      <protection hidden="1"/>
    </xf>
    <xf numFmtId="0" fontId="23" fillId="6" borderId="346" xfId="0" applyFont="1" applyFill="1" applyBorder="1" applyAlignment="1" applyProtection="1">
      <alignment horizontal="center" vertical="center"/>
      <protection hidden="1"/>
    </xf>
    <xf numFmtId="0" fontId="23" fillId="6" borderId="347" xfId="0" applyFon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locked="0" hidden="1"/>
    </xf>
    <xf numFmtId="0" fontId="11" fillId="6" borderId="1" xfId="0" applyFont="1" applyFill="1" applyBorder="1" applyAlignment="1" applyProtection="1">
      <alignment horizontal="center" vertical="center"/>
      <protection locked="0" hidden="1"/>
    </xf>
    <xf numFmtId="0" fontId="23" fillId="6" borderId="2" xfId="0" applyFont="1" applyFill="1" applyBorder="1" applyAlignment="1" applyProtection="1">
      <alignment horizontal="center" vertical="center"/>
      <protection locked="0" hidden="1"/>
    </xf>
    <xf numFmtId="0" fontId="23" fillId="6" borderId="3" xfId="0" applyFont="1" applyFill="1" applyBorder="1" applyAlignment="1" applyProtection="1">
      <alignment horizontal="center" vertical="center"/>
      <protection locked="0" hidden="1"/>
    </xf>
    <xf numFmtId="0" fontId="23" fillId="6" borderId="4" xfId="0" applyFont="1" applyFill="1" applyBorder="1" applyAlignment="1" applyProtection="1">
      <alignment horizontal="center" vertical="center"/>
      <protection locked="0" hidden="1"/>
    </xf>
    <xf numFmtId="0" fontId="11" fillId="6" borderId="5" xfId="0" applyFont="1" applyFill="1" applyBorder="1" applyAlignment="1" applyProtection="1">
      <alignment horizontal="center" vertical="center"/>
      <protection locked="0" hidden="1"/>
    </xf>
    <xf numFmtId="4" fontId="11" fillId="6" borderId="1" xfId="1" applyNumberFormat="1" applyFont="1" applyFill="1" applyBorder="1" applyAlignment="1" applyProtection="1">
      <alignment horizontal="center" vertical="center"/>
      <protection locked="0" hidden="1"/>
    </xf>
    <xf numFmtId="0" fontId="23" fillId="6" borderId="5" xfId="0" applyFont="1" applyFill="1" applyBorder="1" applyAlignment="1" applyProtection="1">
      <alignment horizontal="center" vertical="center"/>
      <protection locked="0" hidden="1"/>
    </xf>
    <xf numFmtId="4" fontId="11" fillId="6" borderId="345" xfId="1" applyNumberFormat="1" applyFont="1" applyFill="1" applyBorder="1" applyAlignment="1" applyProtection="1">
      <alignment horizontal="center" vertical="center"/>
      <protection locked="0" hidden="1"/>
    </xf>
    <xf numFmtId="4" fontId="0" fillId="6" borderId="348" xfId="0" applyNumberFormat="1" applyFill="1" applyBorder="1" applyAlignment="1" applyProtection="1">
      <alignment horizontal="center" vertical="center"/>
      <protection hidden="1"/>
    </xf>
    <xf numFmtId="3" fontId="0" fillId="6" borderId="348" xfId="0" applyNumberFormat="1" applyFill="1" applyBorder="1" applyAlignment="1" applyProtection="1">
      <alignment horizontal="center" vertical="center"/>
      <protection hidden="1"/>
    </xf>
    <xf numFmtId="1" fontId="0" fillId="6" borderId="348" xfId="0" applyNumberFormat="1" applyFill="1" applyBorder="1" applyAlignment="1" applyProtection="1">
      <alignment horizontal="center" vertical="center"/>
      <protection hidden="1"/>
    </xf>
    <xf numFmtId="0" fontId="0" fillId="6" borderId="126" xfId="0" applyFill="1" applyBorder="1" applyAlignment="1" applyProtection="1">
      <alignment vertical="center"/>
      <protection hidden="1"/>
    </xf>
    <xf numFmtId="0" fontId="0" fillId="6" borderId="226" xfId="0" applyFill="1" applyBorder="1" applyAlignment="1" applyProtection="1">
      <alignment horizontal="center" vertical="center"/>
      <protection hidden="1"/>
    </xf>
    <xf numFmtId="0" fontId="0" fillId="6" borderId="127" xfId="0" applyFill="1" applyBorder="1" applyAlignment="1" applyProtection="1">
      <alignment horizontal="center" vertical="center"/>
      <protection hidden="1"/>
    </xf>
    <xf numFmtId="0" fontId="2" fillId="3" borderId="133" xfId="0" applyFont="1" applyFill="1" applyBorder="1" applyAlignment="1" applyProtection="1">
      <alignment vertical="center"/>
      <protection hidden="1"/>
    </xf>
    <xf numFmtId="1" fontId="3" fillId="3" borderId="230" xfId="0" applyNumberFormat="1" applyFont="1" applyFill="1" applyBorder="1" applyAlignment="1" applyProtection="1">
      <alignment horizontal="center" vertical="center"/>
      <protection hidden="1"/>
    </xf>
    <xf numFmtId="1" fontId="3" fillId="3" borderId="231" xfId="0" applyNumberFormat="1" applyFont="1" applyFill="1" applyBorder="1" applyAlignment="1" applyProtection="1">
      <alignment horizontal="center" vertical="center"/>
      <protection hidden="1"/>
    </xf>
    <xf numFmtId="4" fontId="0" fillId="4" borderId="0" xfId="0" applyNumberFormat="1"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3" fontId="11" fillId="6" borderId="0" xfId="0" applyNumberFormat="1" applyFont="1" applyFill="1" applyAlignment="1" applyProtection="1">
      <alignment vertical="center"/>
      <protection hidden="1"/>
    </xf>
    <xf numFmtId="0" fontId="11" fillId="7" borderId="150" xfId="0" applyFont="1" applyFill="1" applyBorder="1" applyAlignment="1" applyProtection="1">
      <alignment horizontal="center" vertical="center"/>
      <protection hidden="1"/>
    </xf>
    <xf numFmtId="0" fontId="11" fillId="7" borderId="151" xfId="0" applyFont="1" applyFill="1" applyBorder="1" applyAlignment="1" applyProtection="1">
      <alignment horizontal="center" vertical="center"/>
      <protection hidden="1"/>
    </xf>
    <xf numFmtId="4" fontId="11" fillId="4" borderId="13" xfId="0" applyNumberFormat="1" applyFont="1" applyFill="1" applyBorder="1" applyAlignment="1" applyProtection="1">
      <alignment horizontal="center" vertical="center"/>
      <protection hidden="1"/>
    </xf>
    <xf numFmtId="4" fontId="11" fillId="4" borderId="255" xfId="0" applyNumberFormat="1" applyFont="1" applyFill="1" applyBorder="1" applyAlignment="1" applyProtection="1">
      <alignment horizontal="center" vertical="center"/>
      <protection hidden="1"/>
    </xf>
    <xf numFmtId="4" fontId="11" fillId="6" borderId="253" xfId="0" applyNumberFormat="1" applyFont="1" applyFill="1" applyBorder="1" applyAlignment="1" applyProtection="1">
      <alignment horizontal="center" vertical="center"/>
      <protection locked="0"/>
    </xf>
    <xf numFmtId="4" fontId="11" fillId="6" borderId="11" xfId="0" applyNumberFormat="1" applyFont="1" applyFill="1" applyBorder="1" applyAlignment="1" applyProtection="1">
      <alignment horizontal="center" vertical="center"/>
      <protection locked="0"/>
    </xf>
    <xf numFmtId="1" fontId="0" fillId="6" borderId="0" xfId="0" applyNumberFormat="1" applyFill="1" applyBorder="1" applyAlignment="1" applyProtection="1">
      <alignment horizontal="center" vertical="center"/>
      <protection hidden="1"/>
    </xf>
    <xf numFmtId="1" fontId="3" fillId="6" borderId="0" xfId="0" applyNumberFormat="1" applyFont="1" applyFill="1" applyBorder="1" applyAlignment="1" applyProtection="1">
      <alignment horizontal="center" vertical="center"/>
      <protection hidden="1"/>
    </xf>
    <xf numFmtId="4" fontId="0" fillId="6" borderId="118" xfId="0" applyNumberFormat="1" applyFill="1" applyBorder="1" applyAlignment="1" applyProtection="1">
      <alignment horizontal="center" vertical="center"/>
      <protection hidden="1"/>
    </xf>
    <xf numFmtId="0" fontId="0" fillId="4" borderId="122" xfId="0" applyFill="1" applyBorder="1" applyAlignment="1" applyProtection="1">
      <alignment vertical="center"/>
      <protection hidden="1"/>
    </xf>
    <xf numFmtId="0" fontId="0" fillId="4" borderId="123" xfId="0" applyFill="1" applyBorder="1" applyAlignment="1" applyProtection="1">
      <alignment horizontal="center" vertical="center"/>
      <protection hidden="1"/>
    </xf>
    <xf numFmtId="4" fontId="0" fillId="4" borderId="123" xfId="0" applyNumberFormat="1" applyFill="1" applyBorder="1" applyAlignment="1" applyProtection="1">
      <alignment horizontal="center" vertical="center"/>
      <protection hidden="1"/>
    </xf>
    <xf numFmtId="0" fontId="0" fillId="4" borderId="129" xfId="0" applyFill="1" applyBorder="1" applyAlignment="1" applyProtection="1">
      <alignment vertical="center"/>
      <protection hidden="1"/>
    </xf>
    <xf numFmtId="0" fontId="0" fillId="4" borderId="2" xfId="0" applyFill="1" applyBorder="1" applyAlignment="1" applyProtection="1">
      <alignment horizontal="center" vertical="center"/>
      <protection hidden="1"/>
    </xf>
    <xf numFmtId="0" fontId="0" fillId="4" borderId="222" xfId="0" applyFill="1" applyBorder="1" applyAlignment="1" applyProtection="1">
      <alignment vertical="center"/>
      <protection hidden="1"/>
    </xf>
    <xf numFmtId="0" fontId="0" fillId="4" borderId="223" xfId="0" applyFill="1" applyBorder="1" applyAlignment="1" applyProtection="1">
      <alignment horizontal="center" vertical="center"/>
      <protection hidden="1"/>
    </xf>
    <xf numFmtId="4" fontId="3" fillId="6" borderId="228" xfId="0" applyNumberFormat="1" applyFont="1" applyFill="1" applyBorder="1" applyAlignment="1" applyProtection="1">
      <alignment horizontal="center" vertical="center"/>
      <protection hidden="1"/>
    </xf>
    <xf numFmtId="4" fontId="3" fillId="6" borderId="229" xfId="0" applyNumberFormat="1" applyFont="1" applyFill="1" applyBorder="1" applyAlignment="1" applyProtection="1">
      <alignment horizontal="center" vertical="center"/>
      <protection hidden="1"/>
    </xf>
    <xf numFmtId="4" fontId="3" fillId="4" borderId="230" xfId="0" applyNumberFormat="1" applyFont="1" applyFill="1" applyBorder="1" applyAlignment="1" applyProtection="1">
      <alignment horizontal="center" vertical="center"/>
      <protection hidden="1"/>
    </xf>
    <xf numFmtId="4" fontId="3" fillId="4" borderId="231" xfId="0" applyNumberFormat="1" applyFont="1" applyFill="1" applyBorder="1" applyAlignment="1" applyProtection="1">
      <alignment horizontal="center" vertical="center"/>
      <protection hidden="1"/>
    </xf>
    <xf numFmtId="4" fontId="3" fillId="4" borderId="125" xfId="0" applyNumberFormat="1" applyFont="1" applyFill="1" applyBorder="1" applyAlignment="1" applyProtection="1">
      <alignment horizontal="center" vertical="center"/>
      <protection hidden="1"/>
    </xf>
    <xf numFmtId="4" fontId="0" fillId="3" borderId="185" xfId="0" applyNumberFormat="1" applyFill="1" applyBorder="1" applyAlignment="1" applyProtection="1">
      <alignment vertical="center"/>
      <protection hidden="1"/>
    </xf>
    <xf numFmtId="4" fontId="3" fillId="3" borderId="186" xfId="0" applyNumberFormat="1" applyFont="1" applyFill="1" applyBorder="1" applyAlignment="1" applyProtection="1">
      <alignment horizontal="center" vertical="center"/>
      <protection hidden="1"/>
    </xf>
    <xf numFmtId="4" fontId="0" fillId="3" borderId="187" xfId="0" applyNumberFormat="1" applyFill="1" applyBorder="1" applyAlignment="1" applyProtection="1">
      <alignment vertical="center"/>
      <protection hidden="1"/>
    </xf>
    <xf numFmtId="4" fontId="3" fillId="3" borderId="189" xfId="0" applyNumberFormat="1" applyFont="1" applyFill="1" applyBorder="1" applyAlignment="1" applyProtection="1">
      <alignment horizontal="center" vertical="center"/>
      <protection hidden="1"/>
    </xf>
    <xf numFmtId="4" fontId="0" fillId="3" borderId="190" xfId="0" applyNumberFormat="1" applyFill="1" applyBorder="1" applyAlignment="1" applyProtection="1">
      <alignment vertical="center"/>
      <protection hidden="1"/>
    </xf>
    <xf numFmtId="4" fontId="0" fillId="3" borderId="191" xfId="0" applyNumberFormat="1" applyFill="1" applyBorder="1" applyAlignment="1" applyProtection="1">
      <alignment horizontal="center" vertical="center"/>
      <protection hidden="1"/>
    </xf>
    <xf numFmtId="4" fontId="3" fillId="3" borderId="192" xfId="0" applyNumberFormat="1" applyFont="1" applyFill="1" applyBorder="1" applyAlignment="1" applyProtection="1">
      <alignment horizontal="center" vertical="center"/>
      <protection hidden="1"/>
    </xf>
    <xf numFmtId="169" fontId="0" fillId="6" borderId="0" xfId="0" applyNumberFormat="1" applyFill="1" applyBorder="1" applyAlignment="1" applyProtection="1">
      <alignment horizontal="center" vertical="center"/>
      <protection hidden="1"/>
    </xf>
    <xf numFmtId="169" fontId="3" fillId="6" borderId="0" xfId="0" applyNumberFormat="1" applyFont="1" applyFill="1" applyBorder="1" applyAlignment="1" applyProtection="1">
      <alignment horizontal="center" vertical="center"/>
      <protection hidden="1"/>
    </xf>
    <xf numFmtId="4" fontId="0" fillId="4" borderId="120" xfId="0" applyNumberFormat="1" applyFill="1" applyBorder="1" applyAlignment="1" applyProtection="1">
      <alignment vertical="center"/>
      <protection hidden="1"/>
    </xf>
    <xf numFmtId="4" fontId="0" fillId="4" borderId="148" xfId="0" applyNumberFormat="1" applyFill="1" applyBorder="1" applyAlignment="1" applyProtection="1">
      <alignment vertical="center"/>
      <protection hidden="1"/>
    </xf>
    <xf numFmtId="0" fontId="0" fillId="10" borderId="127" xfId="0" applyFill="1" applyBorder="1" applyAlignment="1" applyProtection="1">
      <alignment horizontal="center" vertical="center"/>
      <protection hidden="1"/>
    </xf>
    <xf numFmtId="4" fontId="0" fillId="10" borderId="128" xfId="0" applyNumberFormat="1" applyFill="1" applyBorder="1" applyAlignment="1" applyProtection="1">
      <alignment horizontal="center" vertical="center"/>
      <protection hidden="1"/>
    </xf>
    <xf numFmtId="4" fontId="0" fillId="4" borderId="1" xfId="0" applyNumberFormat="1" applyFill="1" applyBorder="1" applyAlignment="1" applyProtection="1">
      <alignment horizontal="center" vertical="center"/>
      <protection hidden="1"/>
    </xf>
    <xf numFmtId="169" fontId="0" fillId="4" borderId="1" xfId="0" applyNumberFormat="1" applyFill="1" applyBorder="1" applyAlignment="1" applyProtection="1">
      <alignment horizontal="center" vertical="center"/>
      <protection hidden="1"/>
    </xf>
    <xf numFmtId="4" fontId="0" fillId="4" borderId="4" xfId="0" applyNumberFormat="1" applyFill="1" applyBorder="1" applyAlignment="1" applyProtection="1">
      <alignment horizontal="center" vertical="center"/>
      <protection hidden="1"/>
    </xf>
    <xf numFmtId="169" fontId="0" fillId="4" borderId="4" xfId="0" applyNumberFormat="1" applyFill="1" applyBorder="1" applyAlignment="1" applyProtection="1">
      <alignment horizontal="center" vertical="center"/>
      <protection hidden="1"/>
    </xf>
    <xf numFmtId="4" fontId="11" fillId="6" borderId="1" xfId="0" applyNumberFormat="1" applyFont="1" applyFill="1" applyBorder="1" applyAlignment="1" applyProtection="1">
      <alignment horizontal="center" vertical="center"/>
      <protection locked="0" hidden="1"/>
    </xf>
    <xf numFmtId="0" fontId="2" fillId="6" borderId="0" xfId="0" applyFont="1" applyFill="1" applyBorder="1" applyAlignment="1" applyProtection="1">
      <alignment horizontal="center" vertical="center"/>
      <protection hidden="1"/>
    </xf>
    <xf numFmtId="0" fontId="0" fillId="10" borderId="126" xfId="0" applyFill="1" applyBorder="1" applyAlignment="1" applyProtection="1">
      <alignment horizontal="left" vertical="center"/>
      <protection hidden="1"/>
    </xf>
    <xf numFmtId="4" fontId="0" fillId="4" borderId="190" xfId="0" applyNumberFormat="1" applyFill="1" applyBorder="1" applyAlignment="1" applyProtection="1">
      <alignment vertical="center"/>
      <protection hidden="1"/>
    </xf>
    <xf numFmtId="4" fontId="0" fillId="4" borderId="191" xfId="0" applyNumberFormat="1" applyFill="1" applyBorder="1" applyAlignment="1" applyProtection="1">
      <alignment horizontal="center" vertical="center"/>
      <protection hidden="1"/>
    </xf>
    <xf numFmtId="169" fontId="0" fillId="4" borderId="123" xfId="0" applyNumberFormat="1" applyFill="1" applyBorder="1" applyAlignment="1" applyProtection="1">
      <alignment horizontal="center" vertical="center"/>
      <protection hidden="1"/>
    </xf>
    <xf numFmtId="169" fontId="0" fillId="3" borderId="123" xfId="0" applyNumberFormat="1" applyFill="1" applyBorder="1" applyAlignment="1" applyProtection="1">
      <alignment horizontal="center" vertical="center"/>
      <protection hidden="1"/>
    </xf>
    <xf numFmtId="169" fontId="3" fillId="3" borderId="192" xfId="0" applyNumberFormat="1" applyFont="1" applyFill="1" applyBorder="1" applyAlignment="1" applyProtection="1">
      <alignment horizontal="center" vertical="center"/>
      <protection hidden="1"/>
    </xf>
    <xf numFmtId="4" fontId="0" fillId="4" borderId="185" xfId="0" applyNumberFormat="1" applyFill="1" applyBorder="1" applyAlignment="1" applyProtection="1">
      <alignment vertical="center"/>
      <protection hidden="1"/>
    </xf>
    <xf numFmtId="0" fontId="0" fillId="10" borderId="126" xfId="0" applyFill="1" applyBorder="1" applyAlignment="1" applyProtection="1">
      <alignment vertical="center"/>
      <protection hidden="1"/>
    </xf>
    <xf numFmtId="0" fontId="0" fillId="12" borderId="118" xfId="0" applyFill="1" applyBorder="1" applyAlignment="1" applyProtection="1">
      <alignment vertical="center"/>
      <protection hidden="1"/>
    </xf>
    <xf numFmtId="4" fontId="0" fillId="4" borderId="1" xfId="0" applyNumberFormat="1" applyFill="1" applyBorder="1" applyAlignment="1" applyProtection="1">
      <alignment vertical="center"/>
      <protection hidden="1"/>
    </xf>
    <xf numFmtId="4" fontId="0" fillId="16" borderId="123" xfId="0" applyNumberFormat="1" applyFill="1" applyBorder="1" applyAlignment="1" applyProtection="1">
      <alignment vertical="center"/>
      <protection hidden="1"/>
    </xf>
    <xf numFmtId="4" fontId="0" fillId="4" borderId="3" xfId="0" applyNumberFormat="1" applyFill="1" applyBorder="1" applyAlignment="1" applyProtection="1">
      <alignment vertical="center"/>
      <protection hidden="1"/>
    </xf>
    <xf numFmtId="169" fontId="3" fillId="4" borderId="149" xfId="0" applyNumberFormat="1" applyFont="1" applyFill="1" applyBorder="1" applyAlignment="1" applyProtection="1">
      <alignment horizontal="center" vertical="center"/>
      <protection hidden="1"/>
    </xf>
    <xf numFmtId="169" fontId="3" fillId="4" borderId="121" xfId="0" applyNumberFormat="1" applyFont="1" applyFill="1" applyBorder="1" applyAlignment="1" applyProtection="1">
      <alignment horizontal="center" vertical="center"/>
      <protection hidden="1"/>
    </xf>
    <xf numFmtId="169" fontId="0" fillId="4" borderId="121" xfId="0" applyNumberFormat="1" applyFill="1" applyBorder="1" applyAlignment="1" applyProtection="1">
      <alignment horizontal="center" vertical="center"/>
      <protection hidden="1"/>
    </xf>
    <xf numFmtId="169" fontId="0" fillId="4" borderId="124" xfId="0" applyNumberFormat="1" applyFill="1" applyBorder="1" applyAlignment="1" applyProtection="1">
      <alignment horizontal="center" vertical="center"/>
      <protection hidden="1"/>
    </xf>
    <xf numFmtId="0" fontId="0" fillId="12" borderId="119" xfId="0" applyFill="1" applyBorder="1" applyAlignment="1" applyProtection="1">
      <alignment vertical="center"/>
      <protection hidden="1"/>
    </xf>
    <xf numFmtId="4" fontId="0" fillId="4" borderId="121" xfId="0" applyNumberFormat="1" applyFill="1" applyBorder="1" applyAlignment="1" applyProtection="1">
      <alignment vertical="center"/>
      <protection hidden="1"/>
    </xf>
    <xf numFmtId="4" fontId="0" fillId="16" borderId="124" xfId="0" applyNumberFormat="1" applyFill="1" applyBorder="1" applyAlignment="1" applyProtection="1">
      <alignment vertical="center"/>
      <protection hidden="1"/>
    </xf>
    <xf numFmtId="4" fontId="0" fillId="4" borderId="186" xfId="0" applyNumberFormat="1" applyFill="1" applyBorder="1" applyAlignment="1" applyProtection="1">
      <alignment vertical="center"/>
      <protection hidden="1"/>
    </xf>
    <xf numFmtId="4" fontId="0" fillId="4" borderId="191" xfId="0" applyNumberFormat="1" applyFill="1" applyBorder="1" applyAlignment="1" applyProtection="1">
      <alignment vertical="center"/>
      <protection hidden="1"/>
    </xf>
    <xf numFmtId="4" fontId="0" fillId="4" borderId="192" xfId="0" applyNumberFormat="1" applyFill="1" applyBorder="1" applyAlignment="1" applyProtection="1">
      <alignment vertical="center"/>
      <protection hidden="1"/>
    </xf>
    <xf numFmtId="0" fontId="0" fillId="10" borderId="350" xfId="0" applyFill="1" applyBorder="1" applyAlignment="1" applyProtection="1">
      <alignment vertical="center"/>
      <protection hidden="1"/>
    </xf>
    <xf numFmtId="0" fontId="0" fillId="10" borderId="350" xfId="0" applyFill="1" applyBorder="1" applyAlignment="1" applyProtection="1">
      <alignment horizontal="center" vertical="center"/>
      <protection hidden="1"/>
    </xf>
    <xf numFmtId="0" fontId="0" fillId="10" borderId="349" xfId="0" applyFill="1" applyBorder="1" applyAlignment="1" applyProtection="1">
      <alignment horizontal="center" vertical="center"/>
      <protection hidden="1"/>
    </xf>
    <xf numFmtId="165" fontId="0" fillId="7" borderId="55" xfId="0" applyNumberFormat="1" applyFill="1" applyBorder="1" applyAlignment="1" applyProtection="1">
      <alignment horizontal="center" vertical="center"/>
      <protection hidden="1"/>
    </xf>
    <xf numFmtId="165" fontId="0" fillId="7" borderId="0" xfId="0" applyNumberFormat="1" applyFill="1" applyBorder="1" applyAlignment="1" applyProtection="1">
      <alignment horizontal="center" vertical="center"/>
      <protection hidden="1"/>
    </xf>
    <xf numFmtId="165" fontId="0" fillId="7" borderId="143" xfId="0" applyNumberFormat="1" applyFill="1" applyBorder="1" applyAlignment="1" applyProtection="1">
      <alignment horizontal="center" vertical="center"/>
      <protection hidden="1"/>
    </xf>
    <xf numFmtId="165" fontId="0" fillId="11" borderId="143" xfId="0" applyNumberFormat="1" applyFill="1" applyBorder="1" applyAlignment="1" applyProtection="1">
      <alignment horizontal="center" vertical="center"/>
      <protection hidden="1"/>
    </xf>
    <xf numFmtId="164" fontId="0" fillId="7" borderId="56" xfId="0" applyNumberFormat="1" applyFill="1" applyBorder="1" applyAlignment="1" applyProtection="1">
      <alignment horizontal="center" vertical="center"/>
      <protection hidden="1"/>
    </xf>
    <xf numFmtId="164" fontId="0" fillId="7" borderId="175" xfId="0" applyNumberFormat="1" applyFill="1" applyBorder="1" applyAlignment="1" applyProtection="1">
      <alignment horizontal="center" vertical="center"/>
      <protection hidden="1"/>
    </xf>
    <xf numFmtId="164" fontId="0" fillId="7" borderId="176" xfId="0" applyNumberFormat="1" applyFill="1" applyBorder="1" applyAlignment="1" applyProtection="1">
      <alignment horizontal="center" vertical="center"/>
      <protection hidden="1"/>
    </xf>
    <xf numFmtId="164" fontId="0" fillId="11" borderId="176" xfId="0" applyNumberFormat="1" applyFill="1" applyBorder="1" applyAlignment="1" applyProtection="1">
      <alignment horizontal="center" vertical="center"/>
      <protection hidden="1"/>
    </xf>
    <xf numFmtId="4" fontId="0" fillId="4" borderId="9" xfId="0" applyNumberFormat="1" applyFill="1" applyBorder="1" applyAlignment="1" applyProtection="1">
      <alignment horizontal="center" vertical="center"/>
      <protection hidden="1"/>
    </xf>
    <xf numFmtId="164" fontId="0" fillId="6" borderId="176" xfId="0" applyNumberFormat="1" applyFill="1" applyBorder="1" applyAlignment="1" applyProtection="1">
      <alignment horizontal="center" vertical="center"/>
      <protection hidden="1"/>
    </xf>
    <xf numFmtId="164" fontId="0" fillId="4" borderId="183" xfId="0" applyNumberFormat="1" applyFill="1" applyBorder="1" applyAlignment="1" applyProtection="1">
      <alignment horizontal="center" vertical="center"/>
      <protection hidden="1"/>
    </xf>
    <xf numFmtId="43" fontId="0" fillId="7" borderId="151" xfId="0" applyNumberFormat="1" applyFill="1" applyBorder="1" applyAlignment="1" applyProtection="1">
      <alignment horizontal="center" vertical="center"/>
      <protection hidden="1"/>
    </xf>
    <xf numFmtId="0" fontId="0" fillId="6" borderId="3" xfId="0" applyFill="1" applyBorder="1" applyAlignment="1" applyProtection="1">
      <alignment horizontal="right" vertical="center"/>
      <protection hidden="1"/>
    </xf>
    <xf numFmtId="4" fontId="0" fillId="6" borderId="138" xfId="0" applyNumberFormat="1" applyFill="1" applyBorder="1" applyAlignment="1" applyProtection="1">
      <alignment vertical="center"/>
      <protection hidden="1"/>
    </xf>
    <xf numFmtId="43" fontId="0" fillId="7" borderId="114" xfId="0" applyNumberFormat="1" applyFill="1" applyBorder="1" applyAlignment="1" applyProtection="1">
      <alignment horizontal="center" vertical="center"/>
      <protection hidden="1"/>
    </xf>
    <xf numFmtId="164" fontId="0" fillId="4" borderId="113" xfId="0" applyNumberFormat="1" applyFill="1" applyBorder="1" applyAlignment="1" applyProtection="1">
      <alignment horizontal="center" vertical="center"/>
      <protection hidden="1"/>
    </xf>
    <xf numFmtId="164" fontId="0" fillId="5" borderId="166" xfId="0" applyNumberFormat="1" applyFill="1" applyBorder="1" applyAlignment="1" applyProtection="1">
      <alignment horizontal="center" vertical="center"/>
      <protection hidden="1"/>
    </xf>
    <xf numFmtId="164" fontId="11" fillId="6" borderId="0" xfId="0" applyNumberFormat="1" applyFont="1" applyFill="1" applyAlignment="1" applyProtection="1">
      <alignment vertical="center"/>
      <protection hidden="1"/>
    </xf>
    <xf numFmtId="169" fontId="0" fillId="4" borderId="149" xfId="0" applyNumberFormat="1" applyFill="1" applyBorder="1" applyAlignment="1" applyProtection="1">
      <alignment horizontal="center" vertical="center"/>
      <protection hidden="1"/>
    </xf>
    <xf numFmtId="164" fontId="6" fillId="5" borderId="308" xfId="1" applyNumberFormat="1" applyFont="1" applyFill="1" applyBorder="1" applyAlignment="1" applyProtection="1">
      <alignment horizontal="center" vertical="center"/>
      <protection hidden="1"/>
    </xf>
    <xf numFmtId="164" fontId="6" fillId="5" borderId="300" xfId="1" applyNumberFormat="1" applyFont="1" applyFill="1" applyBorder="1" applyAlignment="1" applyProtection="1">
      <alignment horizontal="center" vertical="center"/>
      <protection hidden="1"/>
    </xf>
    <xf numFmtId="172" fontId="0" fillId="4" borderId="196" xfId="0" applyNumberFormat="1" applyFill="1" applyBorder="1" applyAlignment="1" applyProtection="1">
      <alignment horizontal="center"/>
      <protection hidden="1"/>
    </xf>
    <xf numFmtId="4" fontId="11" fillId="4" borderId="28" xfId="0" applyNumberFormat="1" applyFont="1" applyFill="1" applyBorder="1" applyAlignment="1" applyProtection="1">
      <alignment horizontal="center" vertical="center"/>
      <protection hidden="1"/>
    </xf>
    <xf numFmtId="4" fontId="11" fillId="6" borderId="28" xfId="0" applyNumberFormat="1" applyFont="1" applyFill="1" applyBorder="1" applyAlignment="1" applyProtection="1">
      <alignment horizontal="center" vertical="center"/>
      <protection locked="0"/>
    </xf>
    <xf numFmtId="1" fontId="11" fillId="0" borderId="28" xfId="0" applyNumberFormat="1" applyFont="1" applyFill="1" applyBorder="1" applyAlignment="1" applyProtection="1">
      <alignment horizontal="center" vertical="center"/>
      <protection locked="0"/>
    </xf>
    <xf numFmtId="0" fontId="11" fillId="4" borderId="159" xfId="0" applyFont="1" applyFill="1" applyBorder="1" applyAlignment="1" applyProtection="1">
      <alignment horizontal="center" vertical="center"/>
      <protection hidden="1"/>
    </xf>
    <xf numFmtId="0" fontId="15" fillId="7" borderId="86" xfId="0" applyFont="1" applyFill="1" applyBorder="1" applyAlignment="1" applyProtection="1">
      <alignment horizontal="left" vertical="center"/>
      <protection hidden="1"/>
    </xf>
    <xf numFmtId="0" fontId="15" fillId="5" borderId="87" xfId="0" applyFont="1" applyFill="1" applyBorder="1" applyAlignment="1" applyProtection="1">
      <alignment horizontal="center" vertical="center"/>
      <protection hidden="1"/>
    </xf>
    <xf numFmtId="4" fontId="12" fillId="9" borderId="87" xfId="1" applyNumberFormat="1" applyFont="1" applyFill="1" applyBorder="1" applyAlignment="1" applyProtection="1">
      <alignment horizontal="center" vertical="center"/>
      <protection hidden="1"/>
    </xf>
    <xf numFmtId="3" fontId="15" fillId="5" borderId="87" xfId="1" applyNumberFormat="1" applyFont="1" applyFill="1" applyBorder="1" applyAlignment="1" applyProtection="1">
      <alignment horizontal="center" vertical="center"/>
      <protection hidden="1"/>
    </xf>
    <xf numFmtId="3" fontId="12" fillId="9" borderId="360" xfId="1" applyNumberFormat="1" applyFont="1" applyFill="1" applyBorder="1" applyAlignment="1" applyProtection="1">
      <alignment horizontal="center" vertical="center"/>
      <protection hidden="1"/>
    </xf>
    <xf numFmtId="4" fontId="11" fillId="0" borderId="357" xfId="0" applyNumberFormat="1" applyFont="1" applyFill="1" applyBorder="1" applyAlignment="1" applyProtection="1">
      <alignment horizontal="center" vertical="center"/>
      <protection locked="0"/>
    </xf>
    <xf numFmtId="4" fontId="11" fillId="5" borderId="255" xfId="0" applyNumberFormat="1" applyFont="1" applyFill="1" applyBorder="1" applyAlignment="1" applyProtection="1">
      <alignment horizontal="center" vertical="center"/>
      <protection hidden="1"/>
    </xf>
    <xf numFmtId="4" fontId="11" fillId="5" borderId="13" xfId="0" applyNumberFormat="1" applyFont="1" applyFill="1" applyBorder="1" applyAlignment="1" applyProtection="1">
      <alignment horizontal="center" vertical="center"/>
      <protection hidden="1"/>
    </xf>
    <xf numFmtId="4" fontId="11" fillId="5" borderId="358" xfId="0" applyNumberFormat="1" applyFont="1" applyFill="1" applyBorder="1" applyAlignment="1" applyProtection="1">
      <alignment horizontal="center" vertical="center"/>
      <protection hidden="1"/>
    </xf>
    <xf numFmtId="4" fontId="11" fillId="5" borderId="359" xfId="0" applyNumberFormat="1" applyFont="1" applyFill="1" applyBorder="1" applyAlignment="1" applyProtection="1">
      <alignment horizontal="center" vertical="center"/>
      <protection hidden="1"/>
    </xf>
    <xf numFmtId="4" fontId="0" fillId="6" borderId="76" xfId="0" applyNumberFormat="1" applyFill="1" applyBorder="1" applyAlignment="1" applyProtection="1">
      <alignment horizontal="center" vertical="center"/>
      <protection locked="0"/>
    </xf>
    <xf numFmtId="0" fontId="2" fillId="7" borderId="54" xfId="0" applyFont="1" applyFill="1" applyBorder="1" applyAlignment="1" applyProtection="1">
      <alignment horizontal="left" vertical="center"/>
      <protection hidden="1"/>
    </xf>
    <xf numFmtId="170" fontId="11" fillId="6" borderId="1" xfId="0" applyNumberFormat="1" applyFont="1" applyFill="1" applyBorder="1" applyAlignment="1" applyProtection="1">
      <alignment vertical="center"/>
      <protection hidden="1"/>
    </xf>
    <xf numFmtId="0" fontId="11" fillId="6" borderId="52" xfId="0" applyFont="1" applyFill="1" applyBorder="1" applyAlignment="1" applyProtection="1">
      <alignment vertical="center"/>
      <protection hidden="1"/>
    </xf>
    <xf numFmtId="0" fontId="11" fillId="6" borderId="361" xfId="0" applyFont="1" applyFill="1" applyBorder="1" applyAlignment="1" applyProtection="1">
      <alignment vertical="center"/>
      <protection hidden="1"/>
    </xf>
    <xf numFmtId="0" fontId="11" fillId="6" borderId="2" xfId="0" applyFont="1" applyFill="1" applyBorder="1" applyAlignment="1" applyProtection="1">
      <alignment vertical="center"/>
      <protection hidden="1"/>
    </xf>
    <xf numFmtId="0" fontId="11" fillId="6" borderId="53" xfId="0" applyFont="1" applyFill="1" applyBorder="1" applyAlignment="1" applyProtection="1">
      <alignment vertical="center"/>
      <protection hidden="1"/>
    </xf>
    <xf numFmtId="4" fontId="11" fillId="6" borderId="0" xfId="1" applyNumberFormat="1" applyFont="1" applyFill="1" applyBorder="1" applyAlignment="1" applyProtection="1">
      <alignment horizontal="left" vertical="center"/>
      <protection hidden="1"/>
    </xf>
    <xf numFmtId="0" fontId="11" fillId="6" borderId="0" xfId="0" quotePrefix="1" applyFont="1" applyFill="1" applyBorder="1" applyAlignment="1" applyProtection="1">
      <alignment vertical="center"/>
      <protection hidden="1"/>
    </xf>
    <xf numFmtId="43" fontId="11" fillId="6" borderId="0" xfId="0" applyNumberFormat="1" applyFont="1" applyFill="1" applyAlignment="1" applyProtection="1">
      <alignment vertical="center"/>
      <protection hidden="1"/>
    </xf>
    <xf numFmtId="43" fontId="11" fillId="6" borderId="1" xfId="0" applyNumberFormat="1" applyFont="1" applyFill="1" applyBorder="1" applyAlignment="1" applyProtection="1">
      <alignment vertical="center"/>
      <protection hidden="1"/>
    </xf>
    <xf numFmtId="43" fontId="0" fillId="7" borderId="310" xfId="0" applyNumberFormat="1" applyFill="1" applyBorder="1" applyAlignment="1" applyProtection="1">
      <alignment vertical="center"/>
      <protection hidden="1"/>
    </xf>
    <xf numFmtId="0" fontId="2" fillId="7" borderId="113" xfId="0" applyFont="1" applyFill="1" applyBorder="1" applyAlignment="1" applyProtection="1">
      <alignment horizontal="left" vertical="center"/>
      <protection hidden="1"/>
    </xf>
    <xf numFmtId="0" fontId="2" fillId="7" borderId="166" xfId="0" applyFont="1" applyFill="1" applyBorder="1" applyAlignment="1" applyProtection="1">
      <alignment horizontal="left" vertical="center"/>
      <protection hidden="1"/>
    </xf>
    <xf numFmtId="43" fontId="51" fillId="7" borderId="103" xfId="0" applyNumberFormat="1" applyFont="1" applyFill="1" applyBorder="1" applyAlignment="1" applyProtection="1">
      <alignment vertical="center"/>
      <protection hidden="1"/>
    </xf>
    <xf numFmtId="43" fontId="51" fillId="7" borderId="241" xfId="0" applyNumberFormat="1" applyFont="1" applyFill="1" applyBorder="1" applyAlignment="1" applyProtection="1">
      <alignment vertical="center"/>
      <protection hidden="1"/>
    </xf>
    <xf numFmtId="165" fontId="51" fillId="7" borderId="240" xfId="0" applyNumberFormat="1" applyFont="1" applyFill="1" applyBorder="1" applyAlignment="1" applyProtection="1">
      <alignment horizontal="center" vertical="center"/>
      <protection hidden="1"/>
    </xf>
    <xf numFmtId="164" fontId="0" fillId="7" borderId="64" xfId="0" applyNumberFormat="1" applyFill="1" applyBorder="1" applyAlignment="1" applyProtection="1">
      <alignment horizontal="right" vertical="center"/>
      <protection hidden="1"/>
    </xf>
    <xf numFmtId="0" fontId="15" fillId="7" borderId="362" xfId="0" applyFont="1" applyFill="1" applyBorder="1" applyAlignment="1" applyProtection="1">
      <alignment horizontal="left" vertical="center"/>
      <protection hidden="1"/>
    </xf>
    <xf numFmtId="0" fontId="15" fillId="7" borderId="22" xfId="0" applyFont="1" applyFill="1" applyBorder="1" applyAlignment="1" applyProtection="1">
      <alignment horizontal="center" vertical="center"/>
      <protection hidden="1"/>
    </xf>
    <xf numFmtId="0" fontId="15" fillId="7" borderId="365" xfId="0" applyFont="1" applyFill="1" applyBorder="1" applyAlignment="1" applyProtection="1">
      <alignment horizontal="center" vertical="center"/>
      <protection hidden="1"/>
    </xf>
    <xf numFmtId="165" fontId="11" fillId="6" borderId="367" xfId="0" applyNumberFormat="1" applyFont="1" applyFill="1" applyBorder="1" applyAlignment="1" applyProtection="1">
      <alignment horizontal="center" vertical="center"/>
      <protection locked="0"/>
    </xf>
    <xf numFmtId="165" fontId="15" fillId="4" borderId="366" xfId="0" applyNumberFormat="1" applyFont="1" applyFill="1" applyBorder="1" applyAlignment="1" applyProtection="1">
      <alignment horizontal="center" vertical="center"/>
      <protection hidden="1"/>
    </xf>
    <xf numFmtId="0" fontId="11" fillId="7" borderId="368" xfId="0" applyFont="1" applyFill="1" applyBorder="1" applyAlignment="1" applyProtection="1">
      <alignment vertical="center" wrapText="1"/>
      <protection hidden="1"/>
    </xf>
    <xf numFmtId="0" fontId="0" fillId="7" borderId="64" xfId="0" applyFill="1" applyBorder="1" applyAlignment="1" applyProtection="1">
      <alignment vertical="center"/>
      <protection hidden="1"/>
    </xf>
    <xf numFmtId="170" fontId="0" fillId="7" borderId="66" xfId="0" applyNumberFormat="1" applyFill="1" applyBorder="1" applyAlignment="1" applyProtection="1">
      <alignment horizontal="center"/>
      <protection hidden="1"/>
    </xf>
    <xf numFmtId="4" fontId="23" fillId="5" borderId="11" xfId="0" applyNumberFormat="1" applyFont="1" applyFill="1" applyBorder="1" applyAlignment="1" applyProtection="1">
      <alignment horizontal="center" vertical="center"/>
      <protection hidden="1"/>
    </xf>
    <xf numFmtId="4" fontId="0" fillId="4" borderId="77" xfId="0" applyNumberFormat="1" applyFill="1" applyBorder="1" applyAlignment="1" applyProtection="1">
      <alignment horizontal="center" vertical="center"/>
      <protection hidden="1"/>
    </xf>
    <xf numFmtId="0" fontId="0" fillId="6" borderId="0" xfId="0" quotePrefix="1" applyFill="1" applyAlignment="1" applyProtection="1">
      <alignment horizontal="left" wrapText="1"/>
      <protection hidden="1"/>
    </xf>
    <xf numFmtId="0" fontId="0" fillId="6" borderId="0" xfId="0" applyFill="1" applyAlignment="1" applyProtection="1">
      <alignment horizontal="justify" vertical="center" wrapText="1"/>
      <protection hidden="1"/>
    </xf>
    <xf numFmtId="0" fontId="0" fillId="7" borderId="64" xfId="0" applyFill="1" applyBorder="1" applyAlignment="1" applyProtection="1">
      <alignment horizontal="left"/>
      <protection hidden="1"/>
    </xf>
    <xf numFmtId="0" fontId="0" fillId="7" borderId="65" xfId="0" applyFill="1" applyBorder="1" applyAlignment="1" applyProtection="1">
      <alignment horizontal="left"/>
      <protection hidden="1"/>
    </xf>
    <xf numFmtId="0" fontId="0" fillId="7" borderId="66" xfId="0" applyFill="1" applyBorder="1" applyAlignment="1" applyProtection="1">
      <alignment horizontal="left"/>
      <protection hidden="1"/>
    </xf>
    <xf numFmtId="0" fontId="23" fillId="7" borderId="12"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50" fillId="14" borderId="152" xfId="0" applyFont="1" applyFill="1" applyBorder="1" applyAlignment="1" applyProtection="1">
      <alignment horizontal="center" vertical="center"/>
      <protection hidden="1"/>
    </xf>
    <xf numFmtId="0" fontId="50" fillId="14" borderId="57" xfId="0" applyFont="1" applyFill="1" applyBorder="1" applyAlignment="1" applyProtection="1">
      <alignment horizontal="center" vertical="center"/>
      <protection hidden="1"/>
    </xf>
    <xf numFmtId="0" fontId="50" fillId="14" borderId="58" xfId="0" applyFont="1" applyFill="1" applyBorder="1" applyAlignment="1" applyProtection="1">
      <alignment horizontal="center" vertical="center"/>
      <protection hidden="1"/>
    </xf>
    <xf numFmtId="0" fontId="11" fillId="7" borderId="14" xfId="0" applyFont="1" applyFill="1" applyBorder="1" applyAlignment="1" applyProtection="1">
      <alignment horizontal="left" vertical="center" wrapText="1"/>
      <protection hidden="1"/>
    </xf>
    <xf numFmtId="0" fontId="11" fillId="7" borderId="36" xfId="0" applyFont="1" applyFill="1" applyBorder="1" applyAlignment="1" applyProtection="1">
      <alignment horizontal="left" vertical="center" wrapText="1"/>
      <protection hidden="1"/>
    </xf>
    <xf numFmtId="0" fontId="11" fillId="7" borderId="15" xfId="0" applyFont="1" applyFill="1" applyBorder="1" applyAlignment="1" applyProtection="1">
      <alignment horizontal="left" vertical="center" wrapText="1"/>
      <protection hidden="1"/>
    </xf>
    <xf numFmtId="0" fontId="11" fillId="7" borderId="14" xfId="0" applyFont="1" applyFill="1" applyBorder="1" applyAlignment="1" applyProtection="1">
      <alignment horizontal="left" vertical="center"/>
      <protection hidden="1"/>
    </xf>
    <xf numFmtId="0" fontId="11" fillId="7" borderId="36" xfId="0" applyFont="1" applyFill="1" applyBorder="1" applyAlignment="1" applyProtection="1">
      <alignment horizontal="left" vertical="center"/>
      <protection hidden="1"/>
    </xf>
    <xf numFmtId="0" fontId="11" fillId="7" borderId="15" xfId="0" applyFont="1" applyFill="1" applyBorder="1" applyAlignment="1" applyProtection="1">
      <alignment horizontal="left" vertical="center"/>
      <protection hidden="1"/>
    </xf>
    <xf numFmtId="0" fontId="50" fillId="14" borderId="153" xfId="0" applyFont="1" applyFill="1" applyBorder="1" applyAlignment="1" applyProtection="1">
      <alignment horizontal="center" vertical="center"/>
      <protection hidden="1"/>
    </xf>
    <xf numFmtId="0" fontId="50" fillId="14" borderId="47" xfId="0" applyFont="1" applyFill="1" applyBorder="1" applyAlignment="1" applyProtection="1">
      <alignment horizontal="center" vertical="center"/>
      <protection hidden="1"/>
    </xf>
    <xf numFmtId="0" fontId="50" fillId="14" borderId="48" xfId="0" applyFont="1" applyFill="1" applyBorder="1" applyAlignment="1" applyProtection="1">
      <alignment horizontal="center" vertical="center"/>
      <protection hidden="1"/>
    </xf>
    <xf numFmtId="0" fontId="23" fillId="7" borderId="367" xfId="0" applyFont="1" applyFill="1" applyBorder="1" applyAlignment="1" applyProtection="1">
      <alignment horizontal="center" vertical="center"/>
      <protection hidden="1"/>
    </xf>
    <xf numFmtId="0" fontId="15" fillId="7" borderId="363" xfId="0" applyFont="1" applyFill="1" applyBorder="1" applyAlignment="1" applyProtection="1">
      <alignment horizontal="center" vertical="center"/>
      <protection hidden="1"/>
    </xf>
    <xf numFmtId="0" fontId="15" fillId="7" borderId="364" xfId="0" applyFont="1" applyFill="1" applyBorder="1" applyAlignment="1" applyProtection="1">
      <alignment horizontal="center" vertical="center"/>
      <protection hidden="1"/>
    </xf>
    <xf numFmtId="0" fontId="23" fillId="7" borderId="184" xfId="0" applyFont="1" applyFill="1" applyBorder="1" applyAlignment="1" applyProtection="1">
      <alignment horizontal="center" vertical="center"/>
      <protection hidden="1"/>
    </xf>
    <xf numFmtId="0" fontId="23" fillId="7" borderId="241" xfId="0" applyFont="1" applyFill="1" applyBorder="1" applyAlignment="1" applyProtection="1">
      <alignment horizontal="center" vertical="center"/>
      <protection hidden="1"/>
    </xf>
    <xf numFmtId="0" fontId="15" fillId="7" borderId="150" xfId="0" applyFont="1" applyFill="1" applyBorder="1" applyAlignment="1" applyProtection="1">
      <alignment horizontal="left" vertical="center"/>
      <protection hidden="1"/>
    </xf>
    <xf numFmtId="0" fontId="15" fillId="7" borderId="112" xfId="0" applyFont="1" applyFill="1" applyBorder="1" applyAlignment="1" applyProtection="1">
      <alignment horizontal="left" vertical="center"/>
      <protection hidden="1"/>
    </xf>
    <xf numFmtId="0" fontId="11" fillId="6" borderId="44" xfId="0" applyFont="1" applyFill="1" applyBorder="1" applyAlignment="1" applyProtection="1">
      <alignment horizontal="left" vertical="center"/>
      <protection locked="0"/>
    </xf>
    <xf numFmtId="0" fontId="49" fillId="13" borderId="54" xfId="0" applyFont="1" applyFill="1" applyBorder="1" applyAlignment="1" applyProtection="1">
      <alignment horizontal="center" vertical="center" wrapText="1"/>
      <protection hidden="1"/>
    </xf>
    <xf numFmtId="0" fontId="49" fillId="13" borderId="55" xfId="0" applyFont="1" applyFill="1" applyBorder="1" applyAlignment="1" applyProtection="1">
      <alignment horizontal="center" vertical="center" wrapText="1"/>
      <protection hidden="1"/>
    </xf>
    <xf numFmtId="0" fontId="49" fillId="13" borderId="56" xfId="0" applyFont="1" applyFill="1" applyBorder="1" applyAlignment="1" applyProtection="1">
      <alignment horizontal="center" vertical="center" wrapText="1"/>
      <protection hidden="1"/>
    </xf>
    <xf numFmtId="0" fontId="49" fillId="7" borderId="16" xfId="0" applyFont="1" applyFill="1" applyBorder="1" applyAlignment="1" applyProtection="1">
      <alignment horizontal="center" vertical="center"/>
      <protection hidden="1"/>
    </xf>
    <xf numFmtId="0" fontId="23" fillId="7" borderId="10" xfId="0" applyFont="1" applyFill="1" applyBorder="1" applyAlignment="1" applyProtection="1">
      <alignment horizontal="center" vertical="center"/>
      <protection hidden="1"/>
    </xf>
    <xf numFmtId="0" fontId="11" fillId="11" borderId="64" xfId="0" applyFont="1" applyFill="1" applyBorder="1" applyAlignment="1" applyProtection="1">
      <alignment horizontal="center" vertical="center"/>
      <protection hidden="1"/>
    </xf>
    <xf numFmtId="0" fontId="11" fillId="11" borderId="66" xfId="0" applyFont="1" applyFill="1" applyBorder="1" applyAlignment="1" applyProtection="1">
      <alignment horizontal="center" vertical="center"/>
      <protection hidden="1"/>
    </xf>
    <xf numFmtId="0" fontId="19" fillId="7" borderId="60"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23" fillId="7" borderId="7" xfId="0" applyFont="1" applyFill="1" applyBorder="1" applyAlignment="1" applyProtection="1">
      <alignment horizontal="center" vertical="center"/>
      <protection hidden="1"/>
    </xf>
    <xf numFmtId="0" fontId="11" fillId="6" borderId="60" xfId="0" applyFont="1" applyFill="1" applyBorder="1" applyAlignment="1" applyProtection="1">
      <alignment horizontal="left" vertical="center"/>
      <protection locked="0"/>
    </xf>
    <xf numFmtId="0" fontId="11" fillId="7" borderId="351" xfId="0" applyFont="1" applyFill="1" applyBorder="1" applyAlignment="1" applyProtection="1">
      <alignment horizontal="left" vertical="center"/>
      <protection hidden="1"/>
    </xf>
    <xf numFmtId="0" fontId="11" fillId="7" borderId="355" xfId="0" applyFont="1" applyFill="1" applyBorder="1" applyAlignment="1" applyProtection="1">
      <alignment horizontal="left" vertical="center"/>
      <protection hidden="1"/>
    </xf>
    <xf numFmtId="0" fontId="11" fillId="7" borderId="203" xfId="0" applyFont="1" applyFill="1" applyBorder="1" applyAlignment="1" applyProtection="1">
      <alignment horizontal="left" vertical="center"/>
      <protection hidden="1"/>
    </xf>
    <xf numFmtId="0" fontId="23" fillId="7" borderId="356" xfId="0" applyFont="1" applyFill="1" applyBorder="1" applyAlignment="1" applyProtection="1">
      <alignment horizontal="center" vertical="center"/>
      <protection hidden="1"/>
    </xf>
    <xf numFmtId="0" fontId="23" fillId="7" borderId="50" xfId="0" applyFont="1" applyFill="1" applyBorder="1" applyAlignment="1" applyProtection="1">
      <alignment horizontal="center" vertical="center"/>
      <protection hidden="1"/>
    </xf>
    <xf numFmtId="0" fontId="23" fillId="7" borderId="302" xfId="0" applyFont="1" applyFill="1" applyBorder="1" applyAlignment="1" applyProtection="1">
      <alignment horizontal="center" vertical="center"/>
      <protection hidden="1"/>
    </xf>
    <xf numFmtId="0" fontId="23" fillId="7" borderId="352" xfId="0" applyFont="1" applyFill="1" applyBorder="1" applyAlignment="1" applyProtection="1">
      <alignment horizontal="center" vertical="center"/>
      <protection hidden="1"/>
    </xf>
    <xf numFmtId="0" fontId="23" fillId="7" borderId="353" xfId="0" applyFont="1" applyFill="1" applyBorder="1" applyAlignment="1" applyProtection="1">
      <alignment horizontal="center" vertical="center"/>
      <protection hidden="1"/>
    </xf>
    <xf numFmtId="0" fontId="23" fillId="7" borderId="354" xfId="0" applyFont="1" applyFill="1" applyBorder="1" applyAlignment="1" applyProtection="1">
      <alignment horizontal="center" vertical="center"/>
      <protection hidden="1"/>
    </xf>
    <xf numFmtId="3" fontId="1" fillId="6" borderId="184" xfId="1" applyNumberFormat="1" applyFont="1" applyFill="1" applyBorder="1" applyAlignment="1" applyProtection="1">
      <alignment horizontal="center" vertical="center"/>
      <protection locked="0"/>
    </xf>
    <xf numFmtId="3" fontId="1" fillId="6" borderId="197" xfId="1" applyNumberFormat="1" applyFont="1" applyFill="1" applyBorder="1" applyAlignment="1" applyProtection="1">
      <alignment horizontal="center" vertical="center"/>
      <protection locked="0"/>
    </xf>
    <xf numFmtId="3" fontId="1" fillId="6" borderId="102" xfId="1" applyNumberFormat="1" applyFont="1" applyFill="1" applyBorder="1" applyAlignment="1" applyProtection="1">
      <alignment horizontal="center" vertical="center"/>
      <protection locked="0"/>
    </xf>
    <xf numFmtId="3" fontId="1" fillId="6" borderId="196" xfId="1" applyNumberFormat="1" applyFont="1" applyFill="1" applyBorder="1" applyAlignment="1" applyProtection="1">
      <alignment horizontal="center" vertical="center"/>
      <protection locked="0"/>
    </xf>
    <xf numFmtId="0" fontId="2" fillId="7" borderId="155" xfId="0" applyFont="1" applyFill="1" applyBorder="1" applyAlignment="1" applyProtection="1">
      <alignment horizontal="center" vertical="center"/>
      <protection hidden="1"/>
    </xf>
    <xf numFmtId="0" fontId="2" fillId="7" borderId="66" xfId="0" applyFont="1" applyFill="1" applyBorder="1" applyAlignment="1" applyProtection="1">
      <alignment horizontal="center" vertical="center"/>
      <protection hidden="1"/>
    </xf>
    <xf numFmtId="3" fontId="1" fillId="6" borderId="244" xfId="1" applyNumberFormat="1" applyFont="1" applyFill="1" applyBorder="1" applyAlignment="1" applyProtection="1">
      <alignment horizontal="center" vertical="center"/>
      <protection locked="0"/>
    </xf>
    <xf numFmtId="3" fontId="1" fillId="6" borderId="239" xfId="1" applyNumberFormat="1" applyFont="1" applyFill="1" applyBorder="1" applyAlignment="1" applyProtection="1">
      <alignment horizontal="center" vertical="center"/>
      <protection locked="0"/>
    </xf>
    <xf numFmtId="0" fontId="2" fillId="11" borderId="64" xfId="0" applyFont="1" applyFill="1" applyBorder="1" applyAlignment="1" applyProtection="1">
      <alignment horizontal="left" vertical="center" wrapText="1"/>
      <protection hidden="1"/>
    </xf>
    <xf numFmtId="0" fontId="2" fillId="11" borderId="168" xfId="0" applyFont="1" applyFill="1" applyBorder="1" applyAlignment="1" applyProtection="1">
      <alignment horizontal="left" vertical="center" wrapText="1"/>
      <protection hidden="1"/>
    </xf>
    <xf numFmtId="0" fontId="0" fillId="7" borderId="24" xfId="0" applyFill="1" applyBorder="1" applyAlignment="1" applyProtection="1">
      <alignment horizontal="left" vertical="center"/>
      <protection hidden="1"/>
    </xf>
    <xf numFmtId="0" fontId="0" fillId="7" borderId="18" xfId="0" applyFill="1" applyBorder="1" applyAlignment="1" applyProtection="1">
      <alignment horizontal="left" vertical="center"/>
      <protection hidden="1"/>
    </xf>
    <xf numFmtId="0" fontId="0" fillId="7" borderId="21" xfId="0" applyFill="1" applyBorder="1" applyAlignment="1" applyProtection="1">
      <alignment horizontal="left" vertical="center"/>
      <protection hidden="1"/>
    </xf>
    <xf numFmtId="0" fontId="0" fillId="6" borderId="114" xfId="0" applyFont="1" applyFill="1" applyBorder="1" applyAlignment="1" applyProtection="1">
      <alignment horizontal="left" vertical="center"/>
      <protection locked="0"/>
    </xf>
    <xf numFmtId="0" fontId="0" fillId="6" borderId="260" xfId="0" applyFont="1" applyFill="1" applyBorder="1" applyAlignment="1" applyProtection="1">
      <alignment horizontal="left" vertical="center"/>
      <protection locked="0"/>
    </xf>
    <xf numFmtId="0" fontId="0" fillId="7" borderId="158" xfId="0" applyFill="1" applyBorder="1" applyAlignment="1" applyProtection="1">
      <alignment horizontal="left" vertical="center"/>
      <protection hidden="1"/>
    </xf>
    <xf numFmtId="0" fontId="0" fillId="7" borderId="160" xfId="0" applyFill="1" applyBorder="1" applyAlignment="1" applyProtection="1">
      <alignment horizontal="left"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0" fontId="2" fillId="11" borderId="193" xfId="0" applyFont="1" applyFill="1" applyBorder="1" applyAlignment="1" applyProtection="1">
      <alignment horizontal="left" vertical="center" wrapText="1"/>
      <protection hidden="1"/>
    </xf>
    <xf numFmtId="0" fontId="2" fillId="6" borderId="0" xfId="0" applyFont="1" applyFill="1" applyBorder="1" applyAlignment="1" applyProtection="1">
      <alignment horizontal="center" vertical="center"/>
      <protection hidden="1"/>
    </xf>
    <xf numFmtId="0" fontId="2" fillId="12" borderId="172" xfId="0" applyFont="1" applyFill="1" applyBorder="1" applyAlignment="1" applyProtection="1">
      <alignment horizontal="left" vertical="center"/>
      <protection hidden="1"/>
    </xf>
    <xf numFmtId="0" fontId="2" fillId="12" borderId="173" xfId="0" applyFont="1" applyFill="1" applyBorder="1" applyAlignment="1" applyProtection="1">
      <alignment horizontal="left" vertical="center"/>
      <protection hidden="1"/>
    </xf>
    <xf numFmtId="0" fontId="15" fillId="7" borderId="256" xfId="0" applyFont="1" applyFill="1" applyBorder="1" applyAlignment="1" applyProtection="1">
      <alignment horizontal="center"/>
      <protection hidden="1"/>
    </xf>
    <xf numFmtId="0" fontId="15" fillId="7" borderId="310" xfId="0" applyFont="1" applyFill="1" applyBorder="1" applyAlignment="1" applyProtection="1">
      <alignment horizontal="center"/>
      <protection hidden="1"/>
    </xf>
    <xf numFmtId="0" fontId="15" fillId="7" borderId="257" xfId="0" applyFont="1" applyFill="1" applyBorder="1" applyAlignment="1" applyProtection="1">
      <alignment horizontal="center"/>
      <protection hidden="1"/>
    </xf>
    <xf numFmtId="0" fontId="9" fillId="6" borderId="0" xfId="0" applyFont="1" applyFill="1" applyBorder="1" applyAlignment="1" applyProtection="1">
      <alignment horizontal="center"/>
      <protection hidden="1"/>
    </xf>
    <xf numFmtId="0" fontId="15" fillId="7" borderId="54" xfId="0" applyFont="1" applyFill="1" applyBorder="1" applyAlignment="1" applyProtection="1">
      <alignment horizontal="left" vertical="center"/>
      <protection hidden="1"/>
    </xf>
    <xf numFmtId="0" fontId="15" fillId="7" borderId="55" xfId="0" applyFont="1" applyFill="1" applyBorder="1" applyAlignment="1" applyProtection="1">
      <alignment horizontal="left" vertical="center"/>
      <protection hidden="1"/>
    </xf>
    <xf numFmtId="0" fontId="15" fillId="7" borderId="14" xfId="0" applyFont="1" applyFill="1" applyBorder="1" applyAlignment="1" applyProtection="1">
      <alignment horizontal="center"/>
      <protection hidden="1"/>
    </xf>
    <xf numFmtId="4" fontId="15" fillId="7" borderId="256" xfId="0" applyNumberFormat="1" applyFont="1" applyFill="1" applyBorder="1" applyAlignment="1" applyProtection="1">
      <alignment horizontal="center"/>
      <protection hidden="1"/>
    </xf>
    <xf numFmtId="0" fontId="15" fillId="7" borderId="64" xfId="0" applyFont="1" applyFill="1" applyBorder="1" applyAlignment="1" applyProtection="1">
      <alignment horizontal="left" vertical="center"/>
      <protection hidden="1"/>
    </xf>
    <xf numFmtId="0" fontId="15" fillId="7" borderId="65" xfId="0" applyFont="1" applyFill="1" applyBorder="1" applyAlignment="1" applyProtection="1">
      <alignment horizontal="left" vertical="center"/>
      <protection hidden="1"/>
    </xf>
    <xf numFmtId="0" fontId="15" fillId="7" borderId="150" xfId="0" applyFont="1" applyFill="1" applyBorder="1" applyAlignment="1" applyProtection="1">
      <alignment horizontal="center"/>
      <protection hidden="1"/>
    </xf>
    <xf numFmtId="0" fontId="15" fillId="7" borderId="112" xfId="0" applyFont="1" applyFill="1" applyBorder="1" applyAlignment="1" applyProtection="1">
      <alignment horizontal="center"/>
      <protection hidden="1"/>
    </xf>
    <xf numFmtId="4" fontId="15" fillId="7" borderId="112" xfId="0" applyNumberFormat="1" applyFont="1" applyFill="1" applyBorder="1" applyAlignment="1" applyProtection="1">
      <alignment horizontal="center"/>
      <protection hidden="1"/>
    </xf>
    <xf numFmtId="0" fontId="15" fillId="7" borderId="240" xfId="0" applyFont="1" applyFill="1" applyBorder="1" applyAlignment="1" applyProtection="1">
      <alignment horizontal="center"/>
      <protection hidden="1"/>
    </xf>
    <xf numFmtId="0" fontId="15" fillId="7" borderId="151" xfId="0" applyFont="1" applyFill="1" applyBorder="1" applyAlignment="1" applyProtection="1">
      <alignment horizontal="center"/>
      <protection hidden="1"/>
    </xf>
    <xf numFmtId="0" fontId="15" fillId="7" borderId="14" xfId="0" applyFont="1" applyFill="1" applyBorder="1" applyAlignment="1" applyProtection="1">
      <alignment horizontal="center" vertical="center"/>
      <protection hidden="1"/>
    </xf>
    <xf numFmtId="0" fontId="15" fillId="7" borderId="256" xfId="0" applyFont="1" applyFill="1" applyBorder="1" applyAlignment="1" applyProtection="1">
      <alignment horizontal="center" vertical="center"/>
      <protection hidden="1"/>
    </xf>
    <xf numFmtId="0" fontId="15" fillId="7" borderId="257" xfId="0" applyFont="1" applyFill="1" applyBorder="1" applyAlignment="1" applyProtection="1">
      <alignment horizontal="center" vertical="center"/>
      <protection hidden="1"/>
    </xf>
    <xf numFmtId="0" fontId="2" fillId="7" borderId="243" xfId="0" applyFont="1" applyFill="1" applyBorder="1" applyAlignment="1" applyProtection="1">
      <alignment horizontal="center" vertical="center"/>
      <protection hidden="1"/>
    </xf>
    <xf numFmtId="0" fontId="2" fillId="7" borderId="64"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15" fillId="7" borderId="64" xfId="0" applyFont="1" applyFill="1" applyBorder="1" applyAlignment="1" applyProtection="1">
      <alignment horizontal="center"/>
      <protection hidden="1"/>
    </xf>
    <xf numFmtId="4" fontId="15" fillId="7" borderId="155" xfId="0" applyNumberFormat="1" applyFont="1" applyFill="1" applyBorder="1" applyAlignment="1" applyProtection="1">
      <alignment horizontal="center"/>
      <protection hidden="1"/>
    </xf>
    <xf numFmtId="4" fontId="15" fillId="7" borderId="240" xfId="0" applyNumberFormat="1" applyFont="1" applyFill="1" applyBorder="1" applyAlignment="1" applyProtection="1">
      <alignment horizontal="center"/>
      <protection hidden="1"/>
    </xf>
    <xf numFmtId="0" fontId="15" fillId="7" borderId="155" xfId="0" applyFont="1" applyFill="1" applyBorder="1" applyAlignment="1" applyProtection="1">
      <alignment horizontal="center"/>
      <protection hidden="1"/>
    </xf>
    <xf numFmtId="0" fontId="15" fillId="7" borderId="66" xfId="0" applyFont="1" applyFill="1" applyBorder="1" applyAlignment="1" applyProtection="1">
      <alignment horizontal="center"/>
      <protection hidden="1"/>
    </xf>
    <xf numFmtId="0" fontId="15" fillId="11" borderId="64" xfId="0"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7" borderId="27" xfId="0" applyFill="1" applyBorder="1" applyAlignment="1" applyProtection="1">
      <alignment horizontal="left" vertical="center"/>
      <protection hidden="1"/>
    </xf>
    <xf numFmtId="0" fontId="0" fillId="7" borderId="340" xfId="0" applyFill="1" applyBorder="1" applyAlignment="1" applyProtection="1">
      <alignment horizontal="left" vertical="center"/>
      <protection hidden="1"/>
    </xf>
    <xf numFmtId="0" fontId="0" fillId="7" borderId="34" xfId="0" applyFill="1" applyBorder="1" applyAlignment="1" applyProtection="1">
      <alignment horizontal="left" vertical="center"/>
      <protection hidden="1"/>
    </xf>
    <xf numFmtId="0" fontId="0" fillId="7" borderId="30" xfId="0" applyFill="1" applyBorder="1" applyAlignment="1" applyProtection="1">
      <alignment horizontal="left" vertical="center"/>
      <protection hidden="1"/>
    </xf>
    <xf numFmtId="0" fontId="7" fillId="7" borderId="341" xfId="0" applyFont="1" applyFill="1" applyBorder="1" applyAlignment="1" applyProtection="1">
      <alignment horizontal="center" vertical="center"/>
      <protection hidden="1"/>
    </xf>
    <xf numFmtId="0" fontId="7" fillId="7" borderId="342" xfId="0" applyFont="1" applyFill="1" applyBorder="1" applyAlignment="1" applyProtection="1">
      <alignment horizontal="center" vertical="center"/>
      <protection hidden="1"/>
    </xf>
    <xf numFmtId="0" fontId="7" fillId="7" borderId="343" xfId="0" applyFont="1" applyFill="1" applyBorder="1" applyAlignment="1" applyProtection="1">
      <alignment horizontal="center" vertical="center"/>
      <protection hidden="1"/>
    </xf>
    <xf numFmtId="0" fontId="2" fillId="7" borderId="84" xfId="0" applyFont="1" applyFill="1" applyBorder="1" applyAlignment="1" applyProtection="1">
      <alignment horizontal="center" vertical="center"/>
      <protection hidden="1"/>
    </xf>
    <xf numFmtId="0" fontId="2" fillId="7" borderId="85" xfId="0"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4" fontId="2" fillId="7" borderId="82" xfId="0" applyNumberFormat="1" applyFont="1" applyFill="1" applyBorder="1" applyAlignment="1" applyProtection="1">
      <alignment horizontal="center" vertical="center"/>
      <protection hidden="1"/>
    </xf>
    <xf numFmtId="4" fontId="2" fillId="7" borderId="332" xfId="0" applyNumberFormat="1"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0" fontId="2" fillId="12" borderId="262" xfId="0" applyFont="1" applyFill="1" applyBorder="1" applyAlignment="1" applyProtection="1">
      <alignment horizontal="left" vertical="center"/>
      <protection hidden="1"/>
    </xf>
    <xf numFmtId="0" fontId="2" fillId="12" borderId="261" xfId="0" applyFont="1" applyFill="1" applyBorder="1" applyAlignment="1" applyProtection="1">
      <alignment horizontal="left" vertical="center"/>
      <protection hidden="1"/>
    </xf>
    <xf numFmtId="0" fontId="2" fillId="12" borderId="274" xfId="0" applyFont="1" applyFill="1" applyBorder="1" applyAlignment="1" applyProtection="1">
      <alignment horizontal="center" vertical="center"/>
      <protection hidden="1"/>
    </xf>
    <xf numFmtId="0" fontId="2" fillId="12" borderId="273" xfId="0" applyFont="1" applyFill="1" applyBorder="1" applyAlignment="1" applyProtection="1">
      <alignment horizontal="center" vertical="center"/>
      <protection hidden="1"/>
    </xf>
    <xf numFmtId="0" fontId="2" fillId="7" borderId="246" xfId="0" applyFont="1" applyFill="1" applyBorder="1" applyAlignment="1" applyProtection="1">
      <alignment horizontal="center" vertical="center"/>
      <protection hidden="1"/>
    </xf>
    <xf numFmtId="0" fontId="2" fillId="7" borderId="54" xfId="0" applyFont="1" applyFill="1" applyBorder="1" applyAlignment="1" applyProtection="1">
      <alignment horizontal="left" vertical="center"/>
      <protection hidden="1"/>
    </xf>
    <xf numFmtId="0" fontId="2" fillId="7" borderId="55" xfId="0" applyFont="1" applyFill="1" applyBorder="1" applyAlignment="1" applyProtection="1">
      <alignment horizontal="left" vertical="center"/>
      <protection hidden="1"/>
    </xf>
    <xf numFmtId="4" fontId="0" fillId="7" borderId="144" xfId="1" applyNumberFormat="1" applyFont="1" applyFill="1" applyBorder="1" applyAlignment="1" applyProtection="1">
      <alignment horizontal="left" vertical="center"/>
      <protection hidden="1"/>
    </xf>
    <xf numFmtId="4" fontId="0" fillId="7" borderId="143" xfId="1" applyNumberFormat="1"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0" fontId="2" fillId="7" borderId="275" xfId="0" applyFont="1" applyFill="1" applyBorder="1" applyAlignment="1" applyProtection="1">
      <alignment horizontal="left" vertical="center"/>
      <protection hidden="1"/>
    </xf>
    <xf numFmtId="0" fontId="2" fillId="7" borderId="276" xfId="0" applyFont="1" applyFill="1" applyBorder="1" applyAlignment="1" applyProtection="1">
      <alignment horizontal="left" vertical="center"/>
      <protection hidden="1"/>
    </xf>
    <xf numFmtId="0" fontId="15" fillId="7" borderId="90" xfId="0" applyFont="1" applyFill="1" applyBorder="1" applyAlignment="1" applyProtection="1">
      <alignment horizontal="center" vertical="center"/>
      <protection hidden="1"/>
    </xf>
    <xf numFmtId="0" fontId="15" fillId="7" borderId="97" xfId="0" applyFont="1" applyFill="1" applyBorder="1" applyAlignment="1" applyProtection="1">
      <alignment horizontal="center" vertical="center"/>
      <protection hidden="1"/>
    </xf>
    <xf numFmtId="165" fontId="0" fillId="7" borderId="65" xfId="0" quotePrefix="1" applyNumberFormat="1" applyFill="1" applyBorder="1" applyAlignment="1" applyProtection="1">
      <alignment horizontal="center" vertical="center"/>
      <protection hidden="1"/>
    </xf>
    <xf numFmtId="165" fontId="0" fillId="7" borderId="66" xfId="0" applyNumberFormat="1" applyFill="1" applyBorder="1" applyAlignment="1" applyProtection="1">
      <alignment horizontal="center" vertical="center"/>
      <protection hidden="1"/>
    </xf>
    <xf numFmtId="4" fontId="15" fillId="7" borderId="95" xfId="0" applyNumberFormat="1" applyFont="1" applyFill="1" applyBorder="1" applyAlignment="1" applyProtection="1">
      <alignment horizontal="center" vertical="center"/>
      <protection hidden="1"/>
    </xf>
    <xf numFmtId="4" fontId="15" fillId="7" borderId="97" xfId="0" applyNumberFormat="1" applyFont="1" applyFill="1" applyBorder="1" applyAlignment="1" applyProtection="1">
      <alignment horizontal="center" vertical="center"/>
      <protection hidden="1"/>
    </xf>
    <xf numFmtId="4" fontId="0" fillId="11" borderId="144" xfId="1" applyNumberFormat="1" applyFont="1" applyFill="1" applyBorder="1" applyAlignment="1" applyProtection="1">
      <alignment horizontal="left" vertical="center"/>
      <protection hidden="1"/>
    </xf>
    <xf numFmtId="4" fontId="0" fillId="11" borderId="143" xfId="1" applyNumberFormat="1" applyFont="1" applyFill="1" applyBorder="1" applyAlignment="1" applyProtection="1">
      <alignment horizontal="left" vertical="center"/>
      <protection hidden="1"/>
    </xf>
    <xf numFmtId="0" fontId="15" fillId="7" borderId="95" xfId="0" applyFont="1" applyFill="1" applyBorder="1" applyAlignment="1" applyProtection="1">
      <alignment horizontal="center" vertical="center"/>
      <protection hidden="1"/>
    </xf>
    <xf numFmtId="0" fontId="15" fillId="7" borderId="91"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0" fontId="0" fillId="4" borderId="103" xfId="0" applyFill="1" applyBorder="1" applyAlignment="1" applyProtection="1">
      <alignment horizontal="left" vertical="center"/>
      <protection hidden="1"/>
    </xf>
    <xf numFmtId="43" fontId="0" fillId="7" borderId="64" xfId="0" applyNumberFormat="1" applyFill="1" applyBorder="1" applyAlignment="1" applyProtection="1">
      <alignment horizontal="center" vertical="center"/>
      <protection hidden="1"/>
    </xf>
    <xf numFmtId="43" fontId="0" fillId="7" borderId="65"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horizontal="center" vertical="center"/>
      <protection hidden="1"/>
    </xf>
    <xf numFmtId="43" fontId="0" fillId="7" borderId="155" xfId="0" applyNumberFormat="1" applyFill="1" applyBorder="1" applyAlignment="1" applyProtection="1">
      <alignment horizontal="center" vertical="center"/>
      <protection hidden="1"/>
    </xf>
    <xf numFmtId="0" fontId="32" fillId="21" borderId="64" xfId="0" applyFont="1" applyFill="1" applyBorder="1" applyAlignment="1" applyProtection="1">
      <alignment horizontal="left" vertical="center" wrapText="1"/>
      <protection hidden="1"/>
    </xf>
    <xf numFmtId="0" fontId="32" fillId="21" borderId="65" xfId="0" applyFont="1" applyFill="1" applyBorder="1" applyAlignment="1" applyProtection="1">
      <alignment horizontal="left" vertical="center" wrapText="1"/>
      <protection hidden="1"/>
    </xf>
    <xf numFmtId="4" fontId="2" fillId="7" borderId="317" xfId="0" applyNumberFormat="1" applyFont="1" applyFill="1" applyBorder="1" applyAlignment="1" applyProtection="1">
      <alignment horizontal="center" vertical="center" wrapText="1"/>
      <protection hidden="1"/>
    </xf>
    <xf numFmtId="4" fontId="2" fillId="7" borderId="197" xfId="0" applyNumberFormat="1" applyFont="1" applyFill="1" applyBorder="1" applyAlignment="1" applyProtection="1">
      <alignment horizontal="center" vertical="center" wrapText="1"/>
      <protection hidden="1"/>
    </xf>
    <xf numFmtId="0" fontId="33" fillId="21" borderId="145" xfId="0" applyFont="1" applyFill="1" applyBorder="1" applyAlignment="1" applyProtection="1">
      <alignment horizontal="left" vertical="center"/>
      <protection hidden="1"/>
    </xf>
    <xf numFmtId="0" fontId="33" fillId="21" borderId="0" xfId="0" applyFont="1" applyFill="1" applyBorder="1" applyAlignment="1" applyProtection="1">
      <alignment horizontal="left" vertical="center"/>
      <protection hidden="1"/>
    </xf>
    <xf numFmtId="43" fontId="0" fillId="7" borderId="155" xfId="0" applyNumberFormat="1" applyFill="1" applyBorder="1" applyAlignment="1" applyProtection="1">
      <alignment horizontal="center" vertical="center" wrapText="1"/>
      <protection hidden="1"/>
    </xf>
    <xf numFmtId="43" fontId="0" fillId="7" borderId="65" xfId="0" applyNumberFormat="1" applyFill="1" applyBorder="1" applyAlignment="1" applyProtection="1">
      <alignment horizontal="center" vertical="center" wrapText="1"/>
      <protection hidden="1"/>
    </xf>
    <xf numFmtId="43" fontId="0" fillId="7" borderId="66" xfId="0" applyNumberFormat="1" applyFill="1" applyBorder="1" applyAlignment="1" applyProtection="1">
      <alignment horizontal="center" vertical="center" wrapText="1"/>
      <protection hidden="1"/>
    </xf>
    <xf numFmtId="0" fontId="32" fillId="21" borderId="144" xfId="0" applyFont="1" applyFill="1" applyBorder="1" applyAlignment="1" applyProtection="1">
      <alignment horizontal="left" vertical="center" wrapText="1"/>
      <protection hidden="1"/>
    </xf>
    <xf numFmtId="0" fontId="32" fillId="21" borderId="143" xfId="0" applyFont="1" applyFill="1" applyBorder="1" applyAlignment="1" applyProtection="1">
      <alignment horizontal="left" vertical="center" wrapText="1"/>
      <protection hidden="1"/>
    </xf>
    <xf numFmtId="4" fontId="2" fillId="7" borderId="246" xfId="0" applyNumberFormat="1" applyFont="1" applyFill="1" applyBorder="1" applyAlignment="1" applyProtection="1">
      <alignment horizontal="center" vertical="center" wrapText="1"/>
      <protection hidden="1"/>
    </xf>
    <xf numFmtId="4" fontId="2" fillId="7" borderId="247" xfId="0" applyNumberFormat="1" applyFont="1" applyFill="1" applyBorder="1" applyAlignment="1" applyProtection="1">
      <alignment horizontal="center" vertical="center" wrapText="1"/>
      <protection hidden="1"/>
    </xf>
    <xf numFmtId="0" fontId="0" fillId="7" borderId="166" xfId="0" applyFill="1" applyBorder="1" applyAlignment="1" applyProtection="1">
      <alignment horizontal="left" vertical="center"/>
      <protection hidden="1"/>
    </xf>
    <xf numFmtId="0" fontId="0" fillId="7" borderId="247" xfId="0" applyFill="1" applyBorder="1" applyAlignment="1" applyProtection="1">
      <alignment horizontal="left" vertical="center"/>
      <protection hidden="1"/>
    </xf>
    <xf numFmtId="0" fontId="0" fillId="7" borderId="197" xfId="0" applyFill="1" applyBorder="1" applyAlignment="1" applyProtection="1">
      <alignment horizontal="left" vertical="center"/>
      <protection hidden="1"/>
    </xf>
    <xf numFmtId="0" fontId="2" fillId="7" borderId="64" xfId="0" applyFont="1" applyFill="1" applyBorder="1" applyAlignment="1" applyProtection="1">
      <alignment horizontal="left" vertical="center"/>
      <protection hidden="1"/>
    </xf>
    <xf numFmtId="0" fontId="2" fillId="7" borderId="66" xfId="0" applyFont="1" applyFill="1" applyBorder="1" applyAlignment="1" applyProtection="1">
      <alignment horizontal="left" vertical="center"/>
      <protection hidden="1"/>
    </xf>
    <xf numFmtId="0" fontId="0" fillId="7" borderId="113" xfId="0" applyFill="1" applyBorder="1" applyAlignment="1" applyProtection="1">
      <alignment horizontal="left" vertical="center"/>
      <protection hidden="1"/>
    </xf>
    <xf numFmtId="0" fontId="0" fillId="7" borderId="238" xfId="0" applyFill="1" applyBorder="1" applyAlignment="1" applyProtection="1">
      <alignment horizontal="left" vertical="center"/>
      <protection hidden="1"/>
    </xf>
    <xf numFmtId="0" fontId="0" fillId="7" borderId="196" xfId="0" applyFill="1" applyBorder="1" applyAlignment="1" applyProtection="1">
      <alignment horizontal="left" vertical="center"/>
      <protection hidden="1"/>
    </xf>
    <xf numFmtId="0" fontId="0" fillId="7" borderId="114" xfId="0" applyFill="1" applyBorder="1" applyAlignment="1" applyProtection="1">
      <alignment horizontal="left" vertical="center"/>
      <protection hidden="1"/>
    </xf>
    <xf numFmtId="0" fontId="0" fillId="7" borderId="246" xfId="0" applyFill="1" applyBorder="1" applyAlignment="1" applyProtection="1">
      <alignment horizontal="left" vertical="center"/>
      <protection hidden="1"/>
    </xf>
    <xf numFmtId="0" fontId="0" fillId="7" borderId="317" xfId="0" applyFill="1" applyBorder="1" applyAlignment="1" applyProtection="1">
      <alignment horizontal="left" vertical="center"/>
      <protection hidden="1"/>
    </xf>
  </cellXfs>
  <cellStyles count="7">
    <cellStyle name="Moeda 2" xfId="2"/>
    <cellStyle name="Normal" xfId="0" builtinId="0"/>
    <cellStyle name="Normal 2" xfId="3"/>
    <cellStyle name="Normal 3" xfId="4"/>
    <cellStyle name="Porcentagem 2" xfId="5"/>
    <cellStyle name="Vírgula" xfId="1" builtinId="3"/>
    <cellStyle name="Vírgula 2" xfId="6"/>
  </cellStyles>
  <dxfs count="24">
    <dxf>
      <font>
        <color theme="0" tint="-4.9989318521683403E-2"/>
      </font>
    </dxf>
    <dxf>
      <font>
        <color rgb="FFFF0000"/>
      </font>
    </dxf>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39994506668294322"/>
        </patternFill>
      </fill>
    </dxf>
    <dxf>
      <font>
        <color rgb="FFFF0000"/>
      </font>
    </dxf>
    <dxf>
      <font>
        <color rgb="FFFF0000"/>
      </font>
    </dxf>
    <dxf>
      <font>
        <color rgb="FFFF0000"/>
      </font>
    </dxf>
    <dxf>
      <fill>
        <patternFill>
          <bgColor theme="9" tint="0.59996337778862885"/>
        </patternFill>
      </fill>
    </dxf>
    <dxf>
      <fill>
        <patternFill>
          <bgColor theme="9" tint="0.39994506668294322"/>
        </patternFill>
      </fill>
    </dxf>
    <dxf>
      <fill>
        <patternFill>
          <bgColor theme="0" tint="-0.14996795556505021"/>
        </patternFill>
      </fill>
    </dxf>
    <dxf>
      <fill>
        <patternFill>
          <bgColor theme="0" tint="-0.14996795556505021"/>
        </patternFill>
      </fill>
    </dxf>
    <dxf>
      <font>
        <color auto="1"/>
      </font>
      <fill>
        <patternFill>
          <bgColor theme="9" tint="-0.24994659260841701"/>
        </patternFill>
      </fill>
    </dxf>
    <dxf>
      <font>
        <color rgb="FF002060"/>
      </font>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9" tint="-0.24994659260841701"/>
        </patternFill>
      </fill>
    </dxf>
    <dxf>
      <fill>
        <patternFill>
          <bgColor theme="9" tint="-0.24994659260841701"/>
        </patternFill>
      </fill>
    </dxf>
    <dxf>
      <fill>
        <patternFill>
          <bgColor theme="9" tint="0.39994506668294322"/>
        </patternFill>
      </fill>
    </dxf>
  </dxfs>
  <tableStyles count="0" defaultTableStyle="TableStyleMedium9" defaultPivotStyle="PivotStyleLight16"/>
  <colors>
    <mruColors>
      <color rgb="FFFFE79B"/>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a:pPr>
            <a:r>
              <a:rPr lang="pt-BR" sz="1600" b="0"/>
              <a:t>Variação do rebanho durante</a:t>
            </a:r>
            <a:r>
              <a:rPr lang="pt-BR" sz="1600" b="0" baseline="0"/>
              <a:t> o ano/ categorias</a:t>
            </a:r>
            <a:endParaRPr lang="pt-BR" sz="1600" b="0"/>
          </a:p>
        </c:rich>
      </c:tx>
      <c:layout>
        <c:manualLayout>
          <c:xMode val="edge"/>
          <c:yMode val="edge"/>
          <c:x val="0.32820983518569002"/>
          <c:y val="1.7443441586446676E-2"/>
        </c:manualLayout>
      </c:layout>
      <c:overlay val="0"/>
    </c:title>
    <c:autoTitleDeleted val="0"/>
    <c:plotArea>
      <c:layout>
        <c:manualLayout>
          <c:layoutTarget val="inner"/>
          <c:xMode val="edge"/>
          <c:yMode val="edge"/>
          <c:x val="6.9322724389802526E-2"/>
          <c:y val="9.1465974645605283E-2"/>
          <c:w val="0.90960919862377698"/>
          <c:h val="0.81988656666489479"/>
        </c:manualLayout>
      </c:layout>
      <c:barChart>
        <c:barDir val="col"/>
        <c:grouping val="clustered"/>
        <c:varyColors val="0"/>
        <c:ser>
          <c:idx val="0"/>
          <c:order val="0"/>
          <c:tx>
            <c:strRef>
              <c:f>REBANHO!$B$38</c:f>
              <c:strCache>
                <c:ptCount val="1"/>
                <c:pt idx="0">
                  <c:v>CRIA (Bezerros e Bezerras)</c:v>
                </c:pt>
              </c:strCache>
            </c:strRef>
          </c:tx>
          <c:spPr>
            <a:solidFill>
              <a:schemeClr val="tx2">
                <a:lumMod val="40000"/>
                <a:lumOff val="6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REBANHO!$E$42:$P$42</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strRef>
              <c:f>REBANHO!$B$43</c:f>
              <c:strCache>
                <c:ptCount val="1"/>
                <c:pt idx="0">
                  <c:v>RECRIA</c:v>
                </c:pt>
              </c:strCache>
            </c:strRef>
          </c:tx>
          <c:spPr>
            <a:solidFill>
              <a:schemeClr val="bg1">
                <a:lumMod val="65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REBANHO!$E$47:$P$47</c:f>
              <c:numCache>
                <c:formatCode>#,##0_ ;\-#,##0\ </c:formatCode>
                <c:ptCount val="12"/>
                <c:pt idx="0">
                  <c:v>137</c:v>
                </c:pt>
                <c:pt idx="1">
                  <c:v>137</c:v>
                </c:pt>
                <c:pt idx="2">
                  <c:v>236</c:v>
                </c:pt>
                <c:pt idx="3">
                  <c:v>124</c:v>
                </c:pt>
                <c:pt idx="4">
                  <c:v>101</c:v>
                </c:pt>
                <c:pt idx="5">
                  <c:v>101</c:v>
                </c:pt>
                <c:pt idx="6">
                  <c:v>174</c:v>
                </c:pt>
                <c:pt idx="7">
                  <c:v>205</c:v>
                </c:pt>
                <c:pt idx="8">
                  <c:v>0</c:v>
                </c:pt>
                <c:pt idx="9">
                  <c:v>0</c:v>
                </c:pt>
                <c:pt idx="10">
                  <c:v>0</c:v>
                </c:pt>
                <c:pt idx="11">
                  <c:v>0</c:v>
                </c:pt>
              </c:numCache>
            </c:numRef>
          </c:val>
        </c:ser>
        <c:ser>
          <c:idx val="2"/>
          <c:order val="2"/>
          <c:tx>
            <c:strRef>
              <c:f>REBANHO!$B$48</c:f>
              <c:strCache>
                <c:ptCount val="1"/>
                <c:pt idx="0">
                  <c:v>TERMINAÇÃO</c:v>
                </c:pt>
              </c:strCache>
            </c:strRef>
          </c:tx>
          <c:spPr>
            <a:solidFill>
              <a:srgbClr val="FFE79B"/>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REBANHO!$E$52:$P$52</c:f>
              <c:numCache>
                <c:formatCode>#,##0_ ;\-#,##0\ </c:formatCode>
                <c:ptCount val="12"/>
                <c:pt idx="0">
                  <c:v>0</c:v>
                </c:pt>
                <c:pt idx="1">
                  <c:v>0</c:v>
                </c:pt>
                <c:pt idx="2">
                  <c:v>0</c:v>
                </c:pt>
                <c:pt idx="3">
                  <c:v>111</c:v>
                </c:pt>
                <c:pt idx="4">
                  <c:v>134</c:v>
                </c:pt>
                <c:pt idx="5">
                  <c:v>134</c:v>
                </c:pt>
                <c:pt idx="6">
                  <c:v>23</c:v>
                </c:pt>
                <c:pt idx="7">
                  <c:v>23</c:v>
                </c:pt>
                <c:pt idx="8">
                  <c:v>0</c:v>
                </c:pt>
                <c:pt idx="9">
                  <c:v>0</c:v>
                </c:pt>
                <c:pt idx="10">
                  <c:v>0</c:v>
                </c:pt>
                <c:pt idx="11">
                  <c:v>0</c:v>
                </c:pt>
              </c:numCache>
            </c:numRef>
          </c:val>
        </c:ser>
        <c:ser>
          <c:idx val="3"/>
          <c:order val="3"/>
          <c:tx>
            <c:v>MATRIZES E REPRODUTORES</c:v>
          </c:tx>
          <c:spPr>
            <a:solidFill>
              <a:schemeClr val="accent3">
                <a:lumMod val="60000"/>
                <a:lumOff val="4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REBANHO!$E$57:$P$57</c:f>
              <c:numCache>
                <c:formatCode>#,##0_ ;\-#,##0\ </c:formatCode>
                <c:ptCount val="12"/>
                <c:pt idx="0">
                  <c:v>1</c:v>
                </c:pt>
                <c:pt idx="1">
                  <c:v>1</c:v>
                </c:pt>
                <c:pt idx="2">
                  <c:v>1</c:v>
                </c:pt>
                <c:pt idx="3">
                  <c:v>1</c:v>
                </c:pt>
                <c:pt idx="4">
                  <c:v>1</c:v>
                </c:pt>
                <c:pt idx="5">
                  <c:v>1</c:v>
                </c:pt>
                <c:pt idx="6">
                  <c:v>1</c:v>
                </c:pt>
                <c:pt idx="7">
                  <c:v>1</c:v>
                </c:pt>
                <c:pt idx="8">
                  <c:v>0</c:v>
                </c:pt>
                <c:pt idx="9">
                  <c:v>0</c:v>
                </c:pt>
                <c:pt idx="10">
                  <c:v>0</c:v>
                </c:pt>
                <c:pt idx="11">
                  <c:v>0</c:v>
                </c:pt>
              </c:numCache>
            </c:numRef>
          </c:val>
        </c:ser>
        <c:dLbls>
          <c:showLegendKey val="0"/>
          <c:showVal val="0"/>
          <c:showCatName val="0"/>
          <c:showSerName val="0"/>
          <c:showPercent val="0"/>
          <c:showBubbleSize val="0"/>
        </c:dLbls>
        <c:gapWidth val="150"/>
        <c:axId val="244285776"/>
        <c:axId val="244289304"/>
      </c:barChart>
      <c:catAx>
        <c:axId val="244285776"/>
        <c:scaling>
          <c:orientation val="minMax"/>
        </c:scaling>
        <c:delete val="0"/>
        <c:axPos val="b"/>
        <c:title>
          <c:tx>
            <c:rich>
              <a:bodyPr/>
              <a:lstStyle/>
              <a:p>
                <a:pPr>
                  <a:defRPr/>
                </a:pPr>
                <a:r>
                  <a:rPr lang="en-US"/>
                  <a:t>Meses</a:t>
                </a:r>
              </a:p>
            </c:rich>
          </c:tx>
          <c:overlay val="0"/>
        </c:title>
        <c:numFmt formatCode="General" sourceLinked="1"/>
        <c:majorTickMark val="out"/>
        <c:minorTickMark val="none"/>
        <c:tickLblPos val="nextTo"/>
        <c:crossAx val="244289304"/>
        <c:crosses val="autoZero"/>
        <c:auto val="1"/>
        <c:lblAlgn val="ctr"/>
        <c:lblOffset val="100"/>
        <c:noMultiLvlLbl val="0"/>
      </c:catAx>
      <c:valAx>
        <c:axId val="244289304"/>
        <c:scaling>
          <c:orientation val="minMax"/>
        </c:scaling>
        <c:delete val="0"/>
        <c:axPos val="l"/>
        <c:title>
          <c:tx>
            <c:rich>
              <a:bodyPr rot="-5400000" vert="horz"/>
              <a:lstStyle/>
              <a:p>
                <a:pPr>
                  <a:defRPr/>
                </a:pPr>
                <a:r>
                  <a:rPr lang="en-US"/>
                  <a:t>Número de animais</a:t>
                </a:r>
              </a:p>
            </c:rich>
          </c:tx>
          <c:layout>
            <c:manualLayout>
              <c:xMode val="edge"/>
              <c:yMode val="edge"/>
              <c:x val="1.2475214910273156E-2"/>
              <c:y val="0.35759567453046581"/>
            </c:manualLayout>
          </c:layout>
          <c:overlay val="0"/>
        </c:title>
        <c:numFmt formatCode="#,##0_ ;\-#,##0\ " sourceLinked="1"/>
        <c:majorTickMark val="out"/>
        <c:minorTickMark val="none"/>
        <c:tickLblPos val="nextTo"/>
        <c:crossAx val="244285776"/>
        <c:crosses val="autoZero"/>
        <c:crossBetween val="between"/>
      </c:valAx>
    </c:plotArea>
    <c:legend>
      <c:legendPos val="r"/>
      <c:layout>
        <c:manualLayout>
          <c:xMode val="edge"/>
          <c:yMode val="edge"/>
          <c:x val="0.12606094743422591"/>
          <c:y val="9.1877791378289567E-2"/>
          <c:w val="0.80113299367485424"/>
          <c:h val="5.9895470353841809E-2"/>
        </c:manualLayout>
      </c:layout>
      <c:overlay val="0"/>
    </c:legend>
    <c:plotVisOnly val="1"/>
    <c:dispBlanksAs val="gap"/>
    <c:showDLblsOverMax val="0"/>
  </c:chart>
  <c:spPr>
    <a:ln w="38100" cmpd="dbl">
      <a:solidFill>
        <a:schemeClr val="bg1">
          <a:lumMod val="75000"/>
        </a:schemeClr>
      </a:solidFill>
    </a:ln>
  </c:spPr>
  <c:printSettings>
    <c:headerFooter/>
    <c:pageMargins b="0.78740157499999996" l="0.511811024" r="0.511811024" t="0.78740157499999996" header="0.31496062000000125" footer="0.3149606200000012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pt-BR" sz="1400"/>
              <a:t>Distribuição do COE  - Categoria*</a:t>
            </a:r>
          </a:p>
        </c:rich>
      </c:tx>
      <c:layout>
        <c:manualLayout>
          <c:xMode val="edge"/>
          <c:yMode val="edge"/>
          <c:x val="5.5993000874890772E-2"/>
          <c:y val="2.8474570190936566E-2"/>
        </c:manualLayout>
      </c:layout>
      <c:overlay val="1"/>
    </c:title>
    <c:autoTitleDeleted val="0"/>
    <c:plotArea>
      <c:layout>
        <c:manualLayout>
          <c:layoutTarget val="inner"/>
          <c:xMode val="edge"/>
          <c:yMode val="edge"/>
          <c:x val="6.4367811270711325E-2"/>
          <c:y val="9.5438388802693008E-2"/>
          <c:w val="0.60758949450208455"/>
          <c:h val="0.86607236277648725"/>
        </c:manualLayout>
      </c:layout>
      <c:pieChart>
        <c:varyColors val="1"/>
        <c:ser>
          <c:idx val="0"/>
          <c:order val="0"/>
          <c:dPt>
            <c:idx val="5"/>
            <c:bubble3D val="0"/>
            <c:spPr>
              <a:solidFill>
                <a:srgbClr val="FFE79B"/>
              </a:solidFill>
            </c:spPr>
          </c:dPt>
          <c:cat>
            <c:strRef>
              <c:f>'RESULTADOS FINANCEIROS'!$B$102:$B$112</c:f>
              <c:strCache>
                <c:ptCount val="11"/>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strCache>
            </c:strRef>
          </c:cat>
          <c:val>
            <c:numRef>
              <c:f>'RESULTADOS FINANCEIROS'!$C$102:$C$112</c:f>
              <c:numCache>
                <c:formatCode>#,##0.00</c:formatCode>
                <c:ptCount val="11"/>
                <c:pt idx="0">
                  <c:v>7314.64</c:v>
                </c:pt>
                <c:pt idx="1">
                  <c:v>7459.2599999999993</c:v>
                </c:pt>
                <c:pt idx="2">
                  <c:v>2555.61</c:v>
                </c:pt>
                <c:pt idx="3">
                  <c:v>7290.94</c:v>
                </c:pt>
                <c:pt idx="4">
                  <c:v>24005</c:v>
                </c:pt>
                <c:pt idx="5">
                  <c:v>0</c:v>
                </c:pt>
                <c:pt idx="6">
                  <c:v>6099.8</c:v>
                </c:pt>
                <c:pt idx="7">
                  <c:v>2330</c:v>
                </c:pt>
                <c:pt idx="8">
                  <c:v>517.21</c:v>
                </c:pt>
                <c:pt idx="9">
                  <c:v>1710.51</c:v>
                </c:pt>
                <c:pt idx="10">
                  <c:v>0</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178"/>
          <c:h val="0.96665361270798011"/>
        </c:manualLayout>
      </c:layout>
      <c:overlay val="0"/>
    </c:legend>
    <c:plotVisOnly val="1"/>
    <c:dispBlanksAs val="zero"/>
    <c:showDLblsOverMax val="0"/>
  </c:chart>
  <c:spPr>
    <a:ln w="38100" cmpd="dbl">
      <a:solidFill>
        <a:schemeClr val="bg1">
          <a:lumMod val="75000"/>
        </a:schemeClr>
      </a:solidFill>
    </a:ln>
  </c:spPr>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Entradas e saídas da pecuária durante o ano</a:t>
            </a:r>
          </a:p>
        </c:rich>
      </c:tx>
      <c:layout/>
      <c:overlay val="1"/>
    </c:title>
    <c:autoTitleDeleted val="0"/>
    <c:plotArea>
      <c:layout>
        <c:manualLayout>
          <c:layoutTarget val="inner"/>
          <c:xMode val="edge"/>
          <c:yMode val="edge"/>
          <c:x val="6.2772409471213514E-2"/>
          <c:y val="0.20336573198855817"/>
          <c:w val="0.92404802535651054"/>
          <c:h val="0.68722001722209702"/>
        </c:manualLayout>
      </c:layout>
      <c:barChart>
        <c:barDir val="col"/>
        <c:grouping val="clustered"/>
        <c:varyColors val="0"/>
        <c:ser>
          <c:idx val="0"/>
          <c:order val="0"/>
          <c:tx>
            <c:v>RECEITAS</c:v>
          </c:tx>
          <c:spPr>
            <a:solidFill>
              <a:schemeClr val="accent3">
                <a:lumMod val="60000"/>
                <a:lumOff val="40000"/>
              </a:schemeClr>
            </a:solidFill>
          </c:spPr>
          <c:invertIfNegative val="0"/>
          <c:val>
            <c:numRef>
              <c:f>ENTRADAS!$D$70:$O$70</c:f>
              <c:numCache>
                <c:formatCode>#,##0.00</c:formatCode>
                <c:ptCount val="12"/>
                <c:pt idx="0">
                  <c:v>0</c:v>
                </c:pt>
                <c:pt idx="1">
                  <c:v>0</c:v>
                </c:pt>
                <c:pt idx="2">
                  <c:v>0</c:v>
                </c:pt>
                <c:pt idx="3">
                  <c:v>3000</c:v>
                </c:pt>
                <c:pt idx="4">
                  <c:v>0</c:v>
                </c:pt>
                <c:pt idx="5">
                  <c:v>0</c:v>
                </c:pt>
                <c:pt idx="6">
                  <c:v>359730.8</c:v>
                </c:pt>
                <c:pt idx="7">
                  <c:v>0</c:v>
                </c:pt>
                <c:pt idx="8">
                  <c:v>0</c:v>
                </c:pt>
                <c:pt idx="9">
                  <c:v>0</c:v>
                </c:pt>
                <c:pt idx="10">
                  <c:v>0</c:v>
                </c:pt>
                <c:pt idx="11">
                  <c:v>0</c:v>
                </c:pt>
              </c:numCache>
            </c:numRef>
          </c:val>
        </c:ser>
        <c:ser>
          <c:idx val="1"/>
          <c:order val="1"/>
          <c:tx>
            <c:v>COE</c:v>
          </c:tx>
          <c:spPr>
            <a:solidFill>
              <a:schemeClr val="bg1">
                <a:lumMod val="75000"/>
              </a:schemeClr>
            </a:solidFill>
          </c:spPr>
          <c:invertIfNegative val="0"/>
          <c:val>
            <c:numRef>
              <c:f>SAÍDAS!$E$100:$P$100</c:f>
              <c:numCache>
                <c:formatCode>#,##0.00</c:formatCode>
                <c:ptCount val="12"/>
                <c:pt idx="0">
                  <c:v>12234.2</c:v>
                </c:pt>
                <c:pt idx="1">
                  <c:v>8135.3700000000008</c:v>
                </c:pt>
                <c:pt idx="2">
                  <c:v>194091.54</c:v>
                </c:pt>
                <c:pt idx="3">
                  <c:v>15031.36</c:v>
                </c:pt>
                <c:pt idx="4">
                  <c:v>10379.799999999999</c:v>
                </c:pt>
                <c:pt idx="5">
                  <c:v>10877.169999999998</c:v>
                </c:pt>
                <c:pt idx="6">
                  <c:v>237719.27000000002</c:v>
                </c:pt>
                <c:pt idx="7">
                  <c:v>50281.09</c:v>
                </c:pt>
                <c:pt idx="8">
                  <c:v>0</c:v>
                </c:pt>
                <c:pt idx="9">
                  <c:v>0</c:v>
                </c:pt>
                <c:pt idx="10">
                  <c:v>0</c:v>
                </c:pt>
                <c:pt idx="11">
                  <c:v>0</c:v>
                </c:pt>
              </c:numCache>
            </c:numRef>
          </c:val>
        </c:ser>
        <c:dLbls>
          <c:showLegendKey val="0"/>
          <c:showVal val="0"/>
          <c:showCatName val="0"/>
          <c:showSerName val="0"/>
          <c:showPercent val="0"/>
          <c:showBubbleSize val="0"/>
        </c:dLbls>
        <c:gapWidth val="150"/>
        <c:axId val="244288520"/>
        <c:axId val="244290480"/>
      </c:barChart>
      <c:catAx>
        <c:axId val="244288520"/>
        <c:scaling>
          <c:orientation val="minMax"/>
        </c:scaling>
        <c:delete val="0"/>
        <c:axPos val="b"/>
        <c:title>
          <c:tx>
            <c:rich>
              <a:bodyPr/>
              <a:lstStyle/>
              <a:p>
                <a:pPr>
                  <a:defRPr/>
                </a:pPr>
                <a:r>
                  <a:rPr lang="pt-BR"/>
                  <a:t>Meses</a:t>
                </a:r>
              </a:p>
            </c:rich>
          </c:tx>
          <c:layout/>
          <c:overlay val="0"/>
        </c:title>
        <c:majorTickMark val="out"/>
        <c:minorTickMark val="none"/>
        <c:tickLblPos val="nextTo"/>
        <c:crossAx val="244290480"/>
        <c:crosses val="autoZero"/>
        <c:auto val="1"/>
        <c:lblAlgn val="ctr"/>
        <c:lblOffset val="100"/>
        <c:noMultiLvlLbl val="0"/>
      </c:catAx>
      <c:valAx>
        <c:axId val="244290480"/>
        <c:scaling>
          <c:orientation val="minMax"/>
        </c:scaling>
        <c:delete val="0"/>
        <c:axPos val="l"/>
        <c:numFmt formatCode="#,##0.00" sourceLinked="1"/>
        <c:majorTickMark val="out"/>
        <c:minorTickMark val="none"/>
        <c:tickLblPos val="nextTo"/>
        <c:crossAx val="244288520"/>
        <c:crosses val="autoZero"/>
        <c:crossBetween val="between"/>
      </c:valAx>
    </c:plotArea>
    <c:legend>
      <c:legendPos val="r"/>
      <c:layout>
        <c:manualLayout>
          <c:xMode val="edge"/>
          <c:yMode val="edge"/>
          <c:x val="0.17734490353655222"/>
          <c:y val="0.11906307840012682"/>
          <c:w val="0.61229010152176278"/>
          <c:h val="4.7340381734457239E-2"/>
        </c:manualLayout>
      </c:layout>
      <c:overlay val="0"/>
    </c:legend>
    <c:plotVisOnly val="1"/>
    <c:dispBlanksAs val="gap"/>
    <c:showDLblsOverMax val="0"/>
  </c:chart>
  <c:spPr>
    <a:ln w="38100" cmpd="dbl">
      <a:solidFill>
        <a:sysClr val="window" lastClr="FFFFFF">
          <a:lumMod val="75000"/>
        </a:sysClr>
      </a:solidFill>
    </a:ln>
  </c:spPr>
  <c:txPr>
    <a:bodyPr/>
    <a:lstStyle/>
    <a:p>
      <a:pPr>
        <a:defRPr sz="1200"/>
      </a:pPr>
      <a:endParaRPr lang="pt-BR"/>
    </a:p>
  </c:txPr>
  <c:printSettings>
    <c:headerFooter/>
    <c:pageMargins b="0.75000000000000111" l="0.70000000000000062" r="0.70000000000000062" t="0.750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a:pPr>
            <a:r>
              <a:rPr lang="pt-BR" sz="1400"/>
              <a:t>Distribuição do COE  - Categoria*</a:t>
            </a:r>
          </a:p>
        </c:rich>
      </c:tx>
      <c:layout>
        <c:manualLayout>
          <c:xMode val="edge"/>
          <c:yMode val="edge"/>
          <c:x val="5.5993000874890772E-2"/>
          <c:y val="2.8474570190936566E-2"/>
        </c:manualLayout>
      </c:layout>
      <c:overlay val="1"/>
    </c:title>
    <c:autoTitleDeleted val="0"/>
    <c:plotArea>
      <c:layout>
        <c:manualLayout>
          <c:layoutTarget val="inner"/>
          <c:xMode val="edge"/>
          <c:yMode val="edge"/>
          <c:x val="6.4367811270711325E-2"/>
          <c:y val="9.5438388802693008E-2"/>
          <c:w val="0.60758949450208455"/>
          <c:h val="0.86607236277648725"/>
        </c:manualLayout>
      </c:layout>
      <c:pieChart>
        <c:varyColors val="1"/>
        <c:ser>
          <c:idx val="0"/>
          <c:order val="0"/>
          <c:dPt>
            <c:idx val="5"/>
            <c:bubble3D val="0"/>
            <c:spPr>
              <a:solidFill>
                <a:srgbClr val="FFE79B"/>
              </a:solidFill>
            </c:spPr>
          </c:dPt>
          <c:cat>
            <c:strRef>
              <c:f>'RESULTADOS FINANCEIROS'!$B$102:$B$113</c:f>
              <c:strCache>
                <c:ptCount val="12"/>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pt idx="11">
                  <c:v>Aquisição de animais</c:v>
                </c:pt>
              </c:strCache>
            </c:strRef>
          </c:cat>
          <c:val>
            <c:numRef>
              <c:f>'RESULTADOS FINANCEIROS'!$C$102:$C$113</c:f>
              <c:numCache>
                <c:formatCode>#,##0.00</c:formatCode>
                <c:ptCount val="12"/>
                <c:pt idx="0">
                  <c:v>7314.64</c:v>
                </c:pt>
                <c:pt idx="1">
                  <c:v>7459.2599999999993</c:v>
                </c:pt>
                <c:pt idx="2">
                  <c:v>2555.61</c:v>
                </c:pt>
                <c:pt idx="3">
                  <c:v>7290.94</c:v>
                </c:pt>
                <c:pt idx="4">
                  <c:v>24005</c:v>
                </c:pt>
                <c:pt idx="5">
                  <c:v>0</c:v>
                </c:pt>
                <c:pt idx="6">
                  <c:v>6099.8</c:v>
                </c:pt>
                <c:pt idx="7">
                  <c:v>2330</c:v>
                </c:pt>
                <c:pt idx="8">
                  <c:v>517.21</c:v>
                </c:pt>
                <c:pt idx="9">
                  <c:v>1710.51</c:v>
                </c:pt>
                <c:pt idx="10">
                  <c:v>0</c:v>
                </c:pt>
                <c:pt idx="11">
                  <c:v>334635</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178"/>
          <c:h val="0.96665361270798011"/>
        </c:manualLayout>
      </c:layout>
      <c:overlay val="0"/>
    </c:legend>
    <c:plotVisOnly val="1"/>
    <c:dispBlanksAs val="zero"/>
    <c:showDLblsOverMax val="0"/>
  </c:chart>
  <c:spPr>
    <a:ln w="38100" cmpd="dbl">
      <a:solidFill>
        <a:schemeClr val="bg1">
          <a:lumMod val="75000"/>
        </a:schemeClr>
      </a:solidFill>
    </a:ln>
  </c:spPr>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171451</xdr:colOff>
      <xdr:row>1</xdr:row>
      <xdr:rowOff>1</xdr:rowOff>
    </xdr:from>
    <xdr:to>
      <xdr:col>8</xdr:col>
      <xdr:colOff>209551</xdr:colOff>
      <xdr:row>4</xdr:row>
      <xdr:rowOff>109074</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2800351" y="190501"/>
          <a:ext cx="1866900" cy="728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12</xdr:row>
      <xdr:rowOff>47626</xdr:rowOff>
    </xdr:from>
    <xdr:to>
      <xdr:col>8</xdr:col>
      <xdr:colOff>873125</xdr:colOff>
      <xdr:row>32</xdr:row>
      <xdr:rowOff>66676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1111250</xdr:colOff>
      <xdr:row>1</xdr:row>
      <xdr:rowOff>42270</xdr:rowOff>
    </xdr:from>
    <xdr:to>
      <xdr:col>12</xdr:col>
      <xdr:colOff>812800</xdr:colOff>
      <xdr:row>4</xdr:row>
      <xdr:rowOff>67372</xdr:rowOff>
    </xdr:to>
    <xdr:pic>
      <xdr:nvPicPr>
        <xdr:cNvPr id="4" name="Imagem 3"/>
        <xdr:cNvPicPr>
          <a:picLocks noChangeAspect="1"/>
        </xdr:cNvPicPr>
      </xdr:nvPicPr>
      <xdr:blipFill>
        <a:blip xmlns:r="http://schemas.openxmlformats.org/officeDocument/2006/relationships" r:embed="rId2" cstate="print"/>
        <a:stretch>
          <a:fillRect/>
        </a:stretch>
      </xdr:blipFill>
      <xdr:spPr>
        <a:xfrm>
          <a:off x="11874500" y="251820"/>
          <a:ext cx="2025650" cy="787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529168</xdr:colOff>
      <xdr:row>1</xdr:row>
      <xdr:rowOff>52917</xdr:rowOff>
    </xdr:from>
    <xdr:to>
      <xdr:col>8</xdr:col>
      <xdr:colOff>978338</xdr:colOff>
      <xdr:row>3</xdr:row>
      <xdr:rowOff>222251</xdr:rowOff>
    </xdr:to>
    <xdr:pic>
      <xdr:nvPicPr>
        <xdr:cNvPr id="4" name="Imagem 3"/>
        <xdr:cNvPicPr>
          <a:picLocks noChangeAspect="1"/>
        </xdr:cNvPicPr>
      </xdr:nvPicPr>
      <xdr:blipFill>
        <a:blip xmlns:r="http://schemas.openxmlformats.org/officeDocument/2006/relationships" r:embed="rId1" cstate="print"/>
        <a:stretch>
          <a:fillRect/>
        </a:stretch>
      </xdr:blipFill>
      <xdr:spPr>
        <a:xfrm>
          <a:off x="7662335" y="169334"/>
          <a:ext cx="146517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625928</xdr:colOff>
      <xdr:row>1</xdr:row>
      <xdr:rowOff>44515</xdr:rowOff>
    </xdr:from>
    <xdr:to>
      <xdr:col>10</xdr:col>
      <xdr:colOff>1155616</xdr:colOff>
      <xdr:row>4</xdr:row>
      <xdr:rowOff>68715</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28214" y="248622"/>
          <a:ext cx="1631866" cy="63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428626</xdr:colOff>
      <xdr:row>1</xdr:row>
      <xdr:rowOff>22735</xdr:rowOff>
    </xdr:from>
    <xdr:to>
      <xdr:col>7</xdr:col>
      <xdr:colOff>884510</xdr:colOff>
      <xdr:row>3</xdr:row>
      <xdr:rowOff>158750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64501" y="229110"/>
          <a:ext cx="1392509" cy="548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27214</xdr:colOff>
      <xdr:row>101</xdr:row>
      <xdr:rowOff>15209</xdr:rowOff>
    </xdr:from>
    <xdr:to>
      <xdr:col>3</xdr:col>
      <xdr:colOff>258534</xdr:colOff>
      <xdr:row>121</xdr:row>
      <xdr:rowOff>176893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15875</xdr:colOff>
      <xdr:row>101</xdr:row>
      <xdr:rowOff>111125</xdr:rowOff>
    </xdr:from>
    <xdr:to>
      <xdr:col>21</xdr:col>
      <xdr:colOff>15875</xdr:colOff>
      <xdr:row>122</xdr:row>
      <xdr:rowOff>151945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119063</xdr:colOff>
      <xdr:row>1</xdr:row>
      <xdr:rowOff>58119</xdr:rowOff>
    </xdr:from>
    <xdr:to>
      <xdr:col>6</xdr:col>
      <xdr:colOff>707173</xdr:colOff>
      <xdr:row>4</xdr:row>
      <xdr:rowOff>166687</xdr:rowOff>
    </xdr:to>
    <xdr:pic>
      <xdr:nvPicPr>
        <xdr:cNvPr id="5" name="Imagem 4"/>
        <xdr:cNvPicPr>
          <a:picLocks noChangeAspect="1"/>
        </xdr:cNvPicPr>
      </xdr:nvPicPr>
      <xdr:blipFill>
        <a:blip xmlns:r="http://schemas.openxmlformats.org/officeDocument/2006/relationships" r:embed="rId3" cstate="print"/>
        <a:stretch>
          <a:fillRect/>
        </a:stretch>
      </xdr:blipFill>
      <xdr:spPr>
        <a:xfrm>
          <a:off x="7179469" y="260525"/>
          <a:ext cx="1774031" cy="691975"/>
        </a:xfrm>
        <a:prstGeom prst="rect">
          <a:avLst/>
        </a:prstGeom>
      </xdr:spPr>
    </xdr:pic>
    <xdr:clientData/>
  </xdr:twoCellAnchor>
  <xdr:twoCellAnchor>
    <xdr:from>
      <xdr:col>3</xdr:col>
      <xdr:colOff>680357</xdr:colOff>
      <xdr:row>101</xdr:row>
      <xdr:rowOff>13607</xdr:rowOff>
    </xdr:from>
    <xdr:to>
      <xdr:col>8</xdr:col>
      <xdr:colOff>40820</xdr:colOff>
      <xdr:row>121</xdr:row>
      <xdr:rowOff>175291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145268</xdr:colOff>
      <xdr:row>1</xdr:row>
      <xdr:rowOff>125300</xdr:rowOff>
    </xdr:from>
    <xdr:to>
      <xdr:col>14</xdr:col>
      <xdr:colOff>391274</xdr:colOff>
      <xdr:row>5</xdr:row>
      <xdr:rowOff>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7955768" y="327706"/>
          <a:ext cx="1662850" cy="648607"/>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showRowColHeaders="0" zoomScale="90" zoomScaleNormal="90" workbookViewId="0">
      <selection activeCell="J1" sqref="J1"/>
    </sheetView>
  </sheetViews>
  <sheetFormatPr defaultColWidth="0" defaultRowHeight="15" zeroHeight="1" x14ac:dyDescent="0.25"/>
  <cols>
    <col min="1" max="1" width="2.85546875" style="460" customWidth="1"/>
    <col min="2" max="9" width="9.140625" style="460" customWidth="1"/>
    <col min="10" max="10" width="17.42578125" style="460" customWidth="1"/>
    <col min="11" max="11" width="2.5703125" style="460" customWidth="1"/>
    <col min="12" max="16384" width="9.140625" style="460" hidden="1"/>
  </cols>
  <sheetData>
    <row r="1" spans="2:11" x14ac:dyDescent="0.25"/>
    <row r="2" spans="2:11" ht="15.75" thickBot="1" x14ac:dyDescent="0.3">
      <c r="B2" s="461"/>
      <c r="C2" s="462"/>
    </row>
    <row r="3" spans="2:11" ht="16.5" thickTop="1" thickBot="1" x14ac:dyDescent="0.3">
      <c r="B3" s="1111" t="s">
        <v>413</v>
      </c>
      <c r="C3" s="1112"/>
      <c r="D3" s="1113"/>
    </row>
    <row r="4" spans="2:11" ht="16.5" thickTop="1" thickBot="1" x14ac:dyDescent="0.3">
      <c r="B4" s="1111" t="s">
        <v>430</v>
      </c>
      <c r="C4" s="1112"/>
      <c r="D4" s="1113"/>
    </row>
    <row r="5" spans="2:11" ht="15.75" thickTop="1" x14ac:dyDescent="0.25"/>
    <row r="6" spans="2:11" ht="82.5" customHeight="1" x14ac:dyDescent="0.25">
      <c r="B6" s="1110" t="s">
        <v>449</v>
      </c>
      <c r="C6" s="1110"/>
      <c r="D6" s="1110"/>
      <c r="E6" s="1110"/>
      <c r="F6" s="1110"/>
      <c r="G6" s="1110"/>
      <c r="H6" s="1110"/>
      <c r="I6" s="1110"/>
      <c r="J6" s="1110"/>
      <c r="K6" s="463"/>
    </row>
    <row r="7" spans="2:11" x14ac:dyDescent="0.25"/>
    <row r="8" spans="2:11" x14ac:dyDescent="0.25">
      <c r="B8" s="460" t="s">
        <v>417</v>
      </c>
    </row>
    <row r="9" spans="2:11" x14ac:dyDescent="0.25">
      <c r="B9" s="464" t="s">
        <v>414</v>
      </c>
    </row>
    <row r="10" spans="2:11" x14ac:dyDescent="0.25">
      <c r="B10" s="464" t="s">
        <v>415</v>
      </c>
    </row>
    <row r="11" spans="2:11" x14ac:dyDescent="0.25">
      <c r="B11" s="464" t="s">
        <v>416</v>
      </c>
    </row>
    <row r="12" spans="2:11" x14ac:dyDescent="0.25"/>
    <row r="13" spans="2:11" x14ac:dyDescent="0.25">
      <c r="B13" s="460" t="s">
        <v>418</v>
      </c>
    </row>
    <row r="14" spans="2:11" ht="33.75" customHeight="1" x14ac:dyDescent="0.25">
      <c r="B14" s="1109" t="s">
        <v>419</v>
      </c>
      <c r="C14" s="1109"/>
      <c r="D14" s="1109"/>
      <c r="E14" s="1109"/>
      <c r="F14" s="1109"/>
      <c r="G14" s="1109"/>
      <c r="H14" s="1109"/>
      <c r="I14" s="1109"/>
      <c r="J14" s="1109"/>
      <c r="K14" s="1109"/>
    </row>
    <row r="15" spans="2:11" x14ac:dyDescent="0.25">
      <c r="B15" s="464" t="s">
        <v>420</v>
      </c>
    </row>
    <row r="16" spans="2:11" x14ac:dyDescent="0.25"/>
    <row r="17" spans="2:2" x14ac:dyDescent="0.25">
      <c r="B17" s="460" t="s">
        <v>421</v>
      </c>
    </row>
    <row r="18" spans="2:2" x14ac:dyDescent="0.25">
      <c r="B18" s="464" t="s">
        <v>422</v>
      </c>
    </row>
    <row r="19" spans="2:2" x14ac:dyDescent="0.25">
      <c r="B19" s="464" t="s">
        <v>450</v>
      </c>
    </row>
    <row r="20" spans="2:2" x14ac:dyDescent="0.25"/>
    <row r="21" spans="2:2" x14ac:dyDescent="0.25">
      <c r="B21" s="460" t="s">
        <v>423</v>
      </c>
    </row>
    <row r="22" spans="2:2" x14ac:dyDescent="0.25">
      <c r="B22" s="464" t="s">
        <v>424</v>
      </c>
    </row>
    <row r="23" spans="2:2" x14ac:dyDescent="0.25">
      <c r="B23" s="464" t="s">
        <v>425</v>
      </c>
    </row>
    <row r="24" spans="2:2" x14ac:dyDescent="0.25">
      <c r="B24" s="464" t="s">
        <v>426</v>
      </c>
    </row>
    <row r="25" spans="2:2" x14ac:dyDescent="0.25"/>
    <row r="26" spans="2:2" x14ac:dyDescent="0.25">
      <c r="B26" s="460" t="s">
        <v>427</v>
      </c>
    </row>
    <row r="27" spans="2:2" x14ac:dyDescent="0.25">
      <c r="B27" s="464" t="s">
        <v>434</v>
      </c>
    </row>
    <row r="28" spans="2:2" x14ac:dyDescent="0.25">
      <c r="B28" s="464" t="s">
        <v>435</v>
      </c>
    </row>
    <row r="29" spans="2:2" x14ac:dyDescent="0.25">
      <c r="B29" s="464" t="s">
        <v>428</v>
      </c>
    </row>
    <row r="30" spans="2:2" x14ac:dyDescent="0.25">
      <c r="B30" s="464" t="s">
        <v>451</v>
      </c>
    </row>
    <row r="31" spans="2:2" x14ac:dyDescent="0.25">
      <c r="B31" s="464"/>
    </row>
    <row r="32" spans="2:2" x14ac:dyDescent="0.25">
      <c r="B32" s="460" t="s">
        <v>432</v>
      </c>
    </row>
    <row r="33" spans="2:10" x14ac:dyDescent="0.25">
      <c r="B33" s="464" t="s">
        <v>433</v>
      </c>
    </row>
    <row r="34" spans="2:10" x14ac:dyDescent="0.25">
      <c r="B34" s="464"/>
    </row>
    <row r="35" spans="2:10" ht="77.25" customHeight="1" x14ac:dyDescent="0.25">
      <c r="B35" s="1110" t="s">
        <v>437</v>
      </c>
      <c r="C35" s="1110"/>
      <c r="D35" s="1110"/>
      <c r="E35" s="1110"/>
      <c r="F35" s="1110"/>
      <c r="G35" s="1110"/>
      <c r="H35" s="1110"/>
      <c r="I35" s="1110"/>
      <c r="J35" s="1110"/>
    </row>
    <row r="36" spans="2:10" ht="61.5" customHeight="1" x14ac:dyDescent="0.25">
      <c r="B36" s="1110" t="s">
        <v>431</v>
      </c>
      <c r="C36" s="1110"/>
      <c r="D36" s="1110"/>
      <c r="E36" s="1110"/>
      <c r="F36" s="1110"/>
      <c r="G36" s="1110"/>
      <c r="H36" s="1110"/>
      <c r="I36" s="1110"/>
      <c r="J36" s="1110"/>
    </row>
    <row r="37" spans="2:10" x14ac:dyDescent="0.25"/>
    <row r="38" spans="2:10" x14ac:dyDescent="0.25">
      <c r="F38" s="464" t="s">
        <v>429</v>
      </c>
    </row>
    <row r="39" spans="2:10" x14ac:dyDescent="0.25"/>
  </sheetData>
  <sheetProtection password="E066" sheet="1" objects="1" scenarios="1" selectLockedCells="1"/>
  <mergeCells count="6">
    <mergeCell ref="B14:K14"/>
    <mergeCell ref="B6:J6"/>
    <mergeCell ref="B35:J35"/>
    <mergeCell ref="B36:J36"/>
    <mergeCell ref="B3:D3"/>
    <mergeCell ref="B4:D4"/>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93"/>
  <sheetViews>
    <sheetView topLeftCell="A37" zoomScale="60" zoomScaleNormal="60" workbookViewId="0">
      <selection activeCell="L53" sqref="L53"/>
    </sheetView>
  </sheetViews>
  <sheetFormatPr defaultColWidth="0" defaultRowHeight="15" zeroHeight="1" x14ac:dyDescent="0.25"/>
  <cols>
    <col min="1" max="1" width="3.28515625" style="898" customWidth="1"/>
    <col min="2" max="2" width="29.28515625" style="900" customWidth="1"/>
    <col min="3" max="3" width="15.140625" style="898" customWidth="1"/>
    <col min="4" max="4" width="15.7109375" style="898" customWidth="1"/>
    <col min="5" max="9" width="16.140625" style="898" customWidth="1"/>
    <col min="10" max="10" width="16.28515625" style="898" customWidth="1"/>
    <col min="11" max="15" width="17.28515625" style="898" customWidth="1"/>
    <col min="16" max="16" width="13" style="898" bestFit="1" customWidth="1"/>
    <col min="17" max="17" width="21.140625" style="898" customWidth="1"/>
    <col min="18" max="19" width="11.85546875" style="898" hidden="1" customWidth="1"/>
    <col min="20" max="20" width="4.42578125" style="899" customWidth="1"/>
    <col min="21" max="21" width="12" style="899" hidden="1"/>
    <col min="22" max="22" width="24" style="899" hidden="1"/>
    <col min="23" max="23" width="5.42578125" style="899" hidden="1"/>
    <col min="24" max="24" width="5.140625" style="899" hidden="1"/>
    <col min="25" max="25" width="14.42578125" style="899" hidden="1"/>
    <col min="26" max="26" width="4" style="898" hidden="1"/>
    <col min="27" max="27" width="9.140625" style="898" hidden="1"/>
    <col min="28" max="28" width="9.7109375" style="898" hidden="1"/>
    <col min="29" max="29" width="10.5703125" style="898" hidden="1"/>
    <col min="30" max="16383" width="9.140625" style="898" hidden="1"/>
    <col min="16384" max="16384" width="8.140625" style="898" hidden="1"/>
  </cols>
  <sheetData>
    <row r="1" spans="2:25" s="51" customFormat="1" ht="15.75" thickBot="1" x14ac:dyDescent="0.3">
      <c r="B1" s="841"/>
      <c r="T1" s="86"/>
      <c r="U1" s="86"/>
      <c r="V1" s="86"/>
      <c r="W1" s="86"/>
      <c r="X1" s="86"/>
      <c r="Y1" s="86"/>
    </row>
    <row r="2" spans="2:25" s="51" customFormat="1" ht="27.75" thickTop="1" thickBot="1" x14ac:dyDescent="0.3">
      <c r="B2" s="842" t="s">
        <v>21</v>
      </c>
      <c r="C2" s="1146" t="s">
        <v>502</v>
      </c>
      <c r="D2" s="1146"/>
      <c r="E2" s="1146"/>
      <c r="F2" s="1143" t="s">
        <v>120</v>
      </c>
      <c r="G2" s="1143"/>
      <c r="H2" s="1143"/>
      <c r="I2" s="843">
        <v>2016</v>
      </c>
      <c r="J2" s="844"/>
      <c r="K2" s="226">
        <f ca="1">YEAR(TODAY())</f>
        <v>2016</v>
      </c>
      <c r="T2" s="86"/>
      <c r="U2" s="86"/>
      <c r="V2" s="86"/>
      <c r="W2" s="86"/>
      <c r="X2" s="86"/>
      <c r="Y2" s="86"/>
    </row>
    <row r="3" spans="2:25" s="51" customFormat="1" ht="15.75" thickTop="1" x14ac:dyDescent="0.25">
      <c r="B3" s="845" t="s">
        <v>22</v>
      </c>
      <c r="C3" s="1135" t="s">
        <v>503</v>
      </c>
      <c r="D3" s="1135"/>
      <c r="E3" s="1135"/>
      <c r="F3" s="1144" t="s">
        <v>115</v>
      </c>
      <c r="G3" s="1144"/>
      <c r="H3" s="1144"/>
      <c r="I3" s="846">
        <v>1100</v>
      </c>
      <c r="J3" s="844"/>
      <c r="K3" s="786"/>
      <c r="T3" s="86"/>
      <c r="U3" s="86"/>
      <c r="V3" s="86"/>
      <c r="W3" s="86"/>
      <c r="X3" s="86"/>
      <c r="Y3" s="86"/>
    </row>
    <row r="4" spans="2:25" s="51" customFormat="1" x14ac:dyDescent="0.25">
      <c r="B4" s="845" t="s">
        <v>23</v>
      </c>
      <c r="C4" s="1135" t="s">
        <v>504</v>
      </c>
      <c r="D4" s="1135"/>
      <c r="E4" s="1135"/>
      <c r="F4" s="1144" t="s">
        <v>116</v>
      </c>
      <c r="G4" s="1144"/>
      <c r="H4" s="1144"/>
      <c r="I4" s="847">
        <v>100.9</v>
      </c>
      <c r="J4" s="844"/>
      <c r="K4" s="786"/>
      <c r="T4" s="86"/>
      <c r="U4" s="86"/>
      <c r="V4" s="86"/>
      <c r="W4" s="86"/>
      <c r="X4" s="86"/>
      <c r="Y4" s="86"/>
    </row>
    <row r="5" spans="2:25" s="51" customFormat="1" x14ac:dyDescent="0.25">
      <c r="B5" s="845" t="s">
        <v>122</v>
      </c>
      <c r="C5" s="848" t="s">
        <v>505</v>
      </c>
      <c r="D5" s="849"/>
      <c r="E5" s="849"/>
      <c r="F5" s="850" t="s">
        <v>117</v>
      </c>
      <c r="G5" s="850"/>
      <c r="H5" s="850"/>
      <c r="I5" s="847">
        <v>11</v>
      </c>
      <c r="J5" s="844"/>
      <c r="K5" s="786"/>
      <c r="T5" s="86"/>
      <c r="U5" s="86"/>
      <c r="V5" s="86"/>
      <c r="W5" s="86"/>
      <c r="X5" s="86"/>
      <c r="Y5" s="86"/>
    </row>
    <row r="6" spans="2:25" s="51" customFormat="1" x14ac:dyDescent="0.25">
      <c r="B6" s="845" t="s">
        <v>24</v>
      </c>
      <c r="C6" s="1135" t="s">
        <v>506</v>
      </c>
      <c r="D6" s="1135"/>
      <c r="E6" s="1135"/>
      <c r="F6" s="850" t="s">
        <v>118</v>
      </c>
      <c r="G6" s="850"/>
      <c r="H6" s="850"/>
      <c r="I6" s="847"/>
      <c r="J6" s="844"/>
      <c r="K6" s="786"/>
      <c r="T6" s="86"/>
      <c r="U6" s="86"/>
      <c r="V6" s="86"/>
      <c r="W6" s="86"/>
      <c r="X6" s="86"/>
      <c r="Y6" s="86"/>
    </row>
    <row r="7" spans="2:25" s="51" customFormat="1" ht="15.75" thickBot="1" x14ac:dyDescent="0.3">
      <c r="B7" s="851" t="s">
        <v>114</v>
      </c>
      <c r="C7" s="852">
        <v>30000</v>
      </c>
      <c r="D7" s="852"/>
      <c r="E7" s="853"/>
      <c r="F7" s="854" t="s">
        <v>286</v>
      </c>
      <c r="G7" s="854"/>
      <c r="H7" s="854"/>
      <c r="I7" s="855">
        <v>6</v>
      </c>
      <c r="J7" s="844"/>
      <c r="K7" s="786"/>
      <c r="M7" s="79"/>
      <c r="N7" s="79"/>
      <c r="O7" s="79"/>
      <c r="P7" s="79"/>
      <c r="Q7" s="79"/>
      <c r="R7" s="79"/>
      <c r="S7" s="79"/>
      <c r="T7" s="786"/>
      <c r="U7" s="786"/>
      <c r="V7" s="786"/>
      <c r="W7" s="786"/>
      <c r="X7" s="86"/>
      <c r="Y7" s="86"/>
    </row>
    <row r="8" spans="2:25" s="51" customFormat="1" ht="15.75" thickTop="1" x14ac:dyDescent="0.25">
      <c r="B8" s="841"/>
      <c r="T8" s="86"/>
      <c r="U8" s="86"/>
      <c r="V8" s="86"/>
      <c r="W8" s="86"/>
      <c r="X8" s="86"/>
      <c r="Y8" s="86"/>
    </row>
    <row r="9" spans="2:25" s="51" customFormat="1" x14ac:dyDescent="0.25">
      <c r="B9" s="841"/>
      <c r="T9" s="86"/>
      <c r="U9" s="86"/>
      <c r="V9" s="86"/>
      <c r="W9" s="86"/>
      <c r="X9" s="86"/>
      <c r="Y9" s="86"/>
    </row>
    <row r="10" spans="2:25" s="51" customFormat="1" x14ac:dyDescent="0.25">
      <c r="B10" s="841"/>
      <c r="T10" s="86"/>
      <c r="U10" s="86"/>
      <c r="V10" s="86"/>
      <c r="W10" s="86"/>
      <c r="X10" s="86"/>
      <c r="Y10" s="86"/>
    </row>
    <row r="11" spans="2:25" s="51" customFormat="1" x14ac:dyDescent="0.25">
      <c r="B11" s="841"/>
      <c r="T11" s="86"/>
      <c r="U11" s="86"/>
      <c r="V11" s="86"/>
      <c r="W11" s="86"/>
      <c r="X11" s="86"/>
      <c r="Y11" s="86"/>
    </row>
    <row r="12" spans="2:25" s="51" customFormat="1" ht="15.75" thickBot="1" x14ac:dyDescent="0.3">
      <c r="B12" s="841"/>
      <c r="T12" s="86"/>
      <c r="U12" s="86"/>
      <c r="V12" s="86"/>
      <c r="W12" s="86"/>
      <c r="X12" s="86"/>
      <c r="Y12" s="86"/>
    </row>
    <row r="13" spans="2:25" s="51" customFormat="1" ht="16.5" thickTop="1" thickBot="1" x14ac:dyDescent="0.3">
      <c r="B13" s="841"/>
      <c r="L13" s="1141" t="s">
        <v>478</v>
      </c>
      <c r="M13" s="1142"/>
      <c r="T13" s="86"/>
      <c r="U13" s="86"/>
      <c r="V13" s="86"/>
      <c r="W13" s="86"/>
      <c r="X13" s="86"/>
      <c r="Y13" s="86"/>
    </row>
    <row r="14" spans="2:25" s="51" customFormat="1" ht="16.5" thickTop="1" thickBot="1" x14ac:dyDescent="0.3">
      <c r="B14" s="841"/>
      <c r="L14" s="979"/>
      <c r="T14" s="86"/>
      <c r="U14" s="86"/>
      <c r="V14" s="86"/>
      <c r="W14" s="86"/>
      <c r="X14" s="86"/>
      <c r="Y14" s="86"/>
    </row>
    <row r="15" spans="2:25" s="51" customFormat="1" ht="16.5" thickTop="1" thickBot="1" x14ac:dyDescent="0.3">
      <c r="B15" s="841"/>
      <c r="L15" s="980" t="s">
        <v>464</v>
      </c>
      <c r="M15" s="981" t="s">
        <v>476</v>
      </c>
      <c r="T15" s="86"/>
      <c r="U15" s="86"/>
      <c r="V15" s="86"/>
      <c r="W15" s="86"/>
      <c r="X15" s="86"/>
      <c r="Y15" s="86"/>
    </row>
    <row r="16" spans="2:25" s="51" customFormat="1" ht="15.75" thickTop="1" x14ac:dyDescent="0.25">
      <c r="B16" s="841"/>
      <c r="L16" s="984">
        <v>16</v>
      </c>
      <c r="M16" s="982">
        <f>L16*14.689</f>
        <v>235.024</v>
      </c>
      <c r="T16" s="86"/>
      <c r="U16" s="86"/>
      <c r="V16" s="86"/>
      <c r="W16" s="86"/>
      <c r="X16" s="86"/>
      <c r="Y16" s="86"/>
    </row>
    <row r="17" spans="2:25" s="51" customFormat="1" ht="15.75" thickBot="1" x14ac:dyDescent="0.3">
      <c r="B17" s="841"/>
      <c r="L17" s="983">
        <f>M17/14.689</f>
        <v>39.485329157873238</v>
      </c>
      <c r="M17" s="985">
        <v>580</v>
      </c>
      <c r="T17" s="86"/>
      <c r="U17" s="86"/>
      <c r="V17" s="86"/>
      <c r="W17" s="86"/>
      <c r="X17" s="86"/>
      <c r="Y17" s="86"/>
    </row>
    <row r="18" spans="2:25" s="51" customFormat="1" ht="16.5" thickTop="1" thickBot="1" x14ac:dyDescent="0.3">
      <c r="B18" s="841"/>
      <c r="T18" s="86"/>
      <c r="U18" s="86"/>
      <c r="V18" s="86"/>
      <c r="W18" s="86"/>
      <c r="X18" s="86"/>
      <c r="Y18" s="86"/>
    </row>
    <row r="19" spans="2:25" s="51" customFormat="1" ht="16.5" thickTop="1" thickBot="1" x14ac:dyDescent="0.3">
      <c r="B19" s="841"/>
      <c r="L19" s="980" t="s">
        <v>477</v>
      </c>
      <c r="M19" s="981" t="s">
        <v>490</v>
      </c>
      <c r="T19" s="86"/>
      <c r="U19" s="86"/>
      <c r="V19" s="86"/>
      <c r="W19" s="86"/>
      <c r="X19" s="86"/>
      <c r="Y19" s="86"/>
    </row>
    <row r="20" spans="2:25" s="51" customFormat="1" ht="15.75" thickTop="1" x14ac:dyDescent="0.25">
      <c r="B20" s="841"/>
      <c r="L20" s="984">
        <v>1</v>
      </c>
      <c r="M20" s="1078">
        <f>2.42*L20</f>
        <v>2.42</v>
      </c>
      <c r="T20" s="86"/>
      <c r="U20" s="86"/>
      <c r="V20" s="86"/>
      <c r="W20" s="86"/>
      <c r="X20" s="86"/>
      <c r="Y20" s="86"/>
    </row>
    <row r="21" spans="2:25" s="51" customFormat="1" ht="15.75" thickBot="1" x14ac:dyDescent="0.3">
      <c r="B21" s="841"/>
      <c r="L21" s="1077">
        <f>M21/2.42</f>
        <v>0.41322314049586778</v>
      </c>
      <c r="M21" s="985">
        <v>1</v>
      </c>
      <c r="T21" s="86"/>
      <c r="U21" s="86"/>
      <c r="V21" s="86"/>
      <c r="W21" s="86"/>
      <c r="X21" s="86"/>
      <c r="Y21" s="86"/>
    </row>
    <row r="22" spans="2:25" s="51" customFormat="1" ht="15.75" thickTop="1" x14ac:dyDescent="0.25">
      <c r="B22" s="841"/>
      <c r="T22" s="86"/>
      <c r="U22" s="86"/>
      <c r="V22" s="86"/>
      <c r="W22" s="86"/>
      <c r="X22" s="86"/>
      <c r="Y22" s="86"/>
    </row>
    <row r="23" spans="2:25" s="51" customFormat="1" x14ac:dyDescent="0.25">
      <c r="B23" s="841"/>
      <c r="T23" s="86"/>
      <c r="U23" s="86"/>
      <c r="V23" s="86"/>
      <c r="W23" s="86"/>
      <c r="X23" s="86"/>
      <c r="Y23" s="86"/>
    </row>
    <row r="24" spans="2:25" s="51" customFormat="1" x14ac:dyDescent="0.25">
      <c r="B24" s="841"/>
      <c r="T24" s="86"/>
      <c r="U24" s="86"/>
      <c r="V24" s="86"/>
      <c r="W24" s="86"/>
      <c r="X24" s="86"/>
      <c r="Y24" s="86"/>
    </row>
    <row r="25" spans="2:25" s="51" customFormat="1" x14ac:dyDescent="0.25">
      <c r="B25" s="841"/>
      <c r="T25" s="86"/>
      <c r="U25" s="86"/>
      <c r="V25" s="86"/>
      <c r="W25" s="86"/>
      <c r="X25" s="86"/>
      <c r="Y25" s="86"/>
    </row>
    <row r="26" spans="2:25" s="51" customFormat="1" x14ac:dyDescent="0.25">
      <c r="B26" s="841"/>
      <c r="T26" s="86"/>
      <c r="U26" s="86"/>
      <c r="V26" s="86"/>
      <c r="W26" s="86"/>
      <c r="X26" s="86"/>
      <c r="Y26" s="86"/>
    </row>
    <row r="27" spans="2:25" s="51" customFormat="1" x14ac:dyDescent="0.25">
      <c r="B27" s="841"/>
      <c r="T27" s="86"/>
      <c r="U27" s="86"/>
      <c r="V27" s="86"/>
      <c r="W27" s="86"/>
      <c r="X27" s="86"/>
      <c r="Y27" s="86"/>
    </row>
    <row r="28" spans="2:25" s="51" customFormat="1" x14ac:dyDescent="0.25">
      <c r="B28" s="841"/>
      <c r="T28" s="86"/>
      <c r="U28" s="86"/>
      <c r="V28" s="86"/>
      <c r="W28" s="86"/>
      <c r="X28" s="86"/>
      <c r="Y28" s="86"/>
    </row>
    <row r="29" spans="2:25" s="51" customFormat="1" x14ac:dyDescent="0.25">
      <c r="B29" s="841"/>
      <c r="T29" s="86"/>
      <c r="U29" s="86"/>
      <c r="V29" s="86"/>
      <c r="W29" s="86"/>
      <c r="X29" s="86"/>
      <c r="Y29" s="86"/>
    </row>
    <row r="30" spans="2:25" s="51" customFormat="1" x14ac:dyDescent="0.25">
      <c r="B30" s="841"/>
      <c r="T30" s="86"/>
      <c r="U30" s="86"/>
      <c r="V30" s="86"/>
      <c r="W30" s="86"/>
      <c r="X30" s="86"/>
      <c r="Y30" s="86"/>
    </row>
    <row r="31" spans="2:25" s="51" customFormat="1" x14ac:dyDescent="0.25">
      <c r="B31" s="456"/>
      <c r="C31" s="844"/>
      <c r="D31" s="844"/>
      <c r="T31" s="86"/>
      <c r="U31" s="86"/>
      <c r="V31" s="86"/>
      <c r="W31" s="86"/>
      <c r="X31" s="86"/>
      <c r="Y31" s="86"/>
    </row>
    <row r="32" spans="2:25" s="51" customFormat="1" x14ac:dyDescent="0.25">
      <c r="B32" s="456"/>
      <c r="C32" s="844"/>
      <c r="D32" s="844"/>
      <c r="T32" s="86"/>
      <c r="U32" s="86"/>
      <c r="V32" s="86"/>
      <c r="W32" s="86"/>
      <c r="X32" s="86"/>
      <c r="Y32" s="86"/>
    </row>
    <row r="33" spans="2:25" s="51" customFormat="1" x14ac:dyDescent="0.25">
      <c r="B33" s="456"/>
      <c r="C33" s="844"/>
      <c r="D33" s="844"/>
      <c r="T33" s="86"/>
      <c r="U33" s="86"/>
      <c r="V33" s="86"/>
      <c r="W33" s="86"/>
      <c r="X33" s="86"/>
      <c r="Y33" s="86"/>
    </row>
    <row r="34" spans="2:25" s="51" customFormat="1" x14ac:dyDescent="0.25">
      <c r="B34" s="456"/>
      <c r="C34" s="844"/>
      <c r="D34" s="844"/>
      <c r="T34" s="86"/>
      <c r="U34" s="86"/>
      <c r="V34" s="86"/>
      <c r="W34" s="86"/>
      <c r="X34" s="86"/>
      <c r="Y34" s="86"/>
    </row>
    <row r="35" spans="2:25" s="51" customFormat="1" ht="15.75" thickBot="1" x14ac:dyDescent="0.3">
      <c r="B35" s="456"/>
      <c r="C35" s="844"/>
      <c r="D35" s="844"/>
      <c r="T35" s="86"/>
      <c r="U35" s="86"/>
      <c r="V35" s="86"/>
      <c r="W35" s="86"/>
      <c r="X35" s="86"/>
      <c r="Y35" s="86"/>
    </row>
    <row r="36" spans="2:25" s="51" customFormat="1" ht="27" thickTop="1" x14ac:dyDescent="0.25">
      <c r="B36" s="1136" t="s">
        <v>27</v>
      </c>
      <c r="C36" s="1137"/>
      <c r="D36" s="1137"/>
      <c r="E36" s="1137"/>
      <c r="F36" s="1137"/>
      <c r="G36" s="1137"/>
      <c r="H36" s="1137"/>
      <c r="I36" s="1137"/>
      <c r="J36" s="1137"/>
      <c r="K36" s="1137"/>
      <c r="L36" s="1137"/>
      <c r="M36" s="1137"/>
      <c r="N36" s="1137"/>
      <c r="O36" s="1137"/>
      <c r="P36" s="1137"/>
      <c r="Q36" s="1138"/>
      <c r="T36" s="86"/>
      <c r="U36" s="86"/>
      <c r="V36" s="86"/>
      <c r="W36" s="86"/>
      <c r="X36" s="86"/>
      <c r="Y36" s="86"/>
    </row>
    <row r="37" spans="2:25" s="51" customFormat="1" ht="49.5" customHeight="1" thickBot="1" x14ac:dyDescent="0.3">
      <c r="B37" s="856" t="s">
        <v>108</v>
      </c>
      <c r="C37" s="1139">
        <f>IF(I2="","",I2)</f>
        <v>2016</v>
      </c>
      <c r="D37" s="1139"/>
      <c r="E37" s="857" t="s">
        <v>0</v>
      </c>
      <c r="F37" s="857" t="s">
        <v>1</v>
      </c>
      <c r="G37" s="857" t="s">
        <v>2</v>
      </c>
      <c r="H37" s="857" t="s">
        <v>3</v>
      </c>
      <c r="I37" s="857" t="s">
        <v>4</v>
      </c>
      <c r="J37" s="857" t="s">
        <v>5</v>
      </c>
      <c r="K37" s="857" t="s">
        <v>6</v>
      </c>
      <c r="L37" s="857" t="s">
        <v>7</v>
      </c>
      <c r="M37" s="857" t="s">
        <v>8</v>
      </c>
      <c r="N37" s="857" t="s">
        <v>9</v>
      </c>
      <c r="O37" s="857" t="s">
        <v>10</v>
      </c>
      <c r="P37" s="858" t="s">
        <v>11</v>
      </c>
      <c r="Q37" s="859" t="s">
        <v>301</v>
      </c>
      <c r="R37" s="79"/>
      <c r="S37" s="79"/>
      <c r="T37" s="86"/>
      <c r="U37" s="86"/>
      <c r="V37" s="86"/>
      <c r="W37" s="86"/>
      <c r="X37" s="86"/>
      <c r="Y37" s="86"/>
    </row>
    <row r="38" spans="2:25" s="51" customFormat="1" ht="18" customHeight="1" thickTop="1" x14ac:dyDescent="0.25">
      <c r="B38" s="1122" t="s">
        <v>225</v>
      </c>
      <c r="C38" s="1114" t="s">
        <v>110</v>
      </c>
      <c r="D38" s="860" t="s">
        <v>111</v>
      </c>
      <c r="E38" s="861"/>
      <c r="F38" s="861"/>
      <c r="G38" s="861"/>
      <c r="H38" s="861"/>
      <c r="I38" s="861"/>
      <c r="J38" s="861"/>
      <c r="K38" s="861"/>
      <c r="L38" s="861"/>
      <c r="M38" s="861"/>
      <c r="N38" s="861"/>
      <c r="O38" s="861"/>
      <c r="P38" s="862"/>
      <c r="Q38" s="863"/>
      <c r="R38" s="864"/>
      <c r="S38" s="865"/>
      <c r="T38" s="86"/>
      <c r="U38" s="86"/>
      <c r="V38" s="86"/>
      <c r="W38" s="86"/>
      <c r="X38" s="86"/>
      <c r="Y38" s="86"/>
    </row>
    <row r="39" spans="2:25" s="51" customFormat="1" ht="18" customHeight="1" x14ac:dyDescent="0.25">
      <c r="B39" s="1123"/>
      <c r="C39" s="1115"/>
      <c r="D39" s="866" t="s">
        <v>112</v>
      </c>
      <c r="E39" s="867"/>
      <c r="F39" s="867"/>
      <c r="G39" s="867"/>
      <c r="H39" s="867"/>
      <c r="I39" s="867"/>
      <c r="J39" s="867"/>
      <c r="K39" s="867"/>
      <c r="L39" s="867"/>
      <c r="M39" s="867"/>
      <c r="N39" s="867"/>
      <c r="O39" s="867"/>
      <c r="P39" s="868"/>
      <c r="Q39" s="869">
        <f>P38*Q38</f>
        <v>0</v>
      </c>
      <c r="R39" s="864"/>
      <c r="S39" s="782"/>
      <c r="T39" s="86"/>
      <c r="U39" s="86"/>
      <c r="V39" s="86"/>
      <c r="W39" s="86"/>
      <c r="X39" s="86"/>
      <c r="Y39" s="86"/>
    </row>
    <row r="40" spans="2:25" s="51" customFormat="1" ht="18" customHeight="1" x14ac:dyDescent="0.25">
      <c r="B40" s="1123"/>
      <c r="C40" s="1115" t="s">
        <v>109</v>
      </c>
      <c r="D40" s="866" t="s">
        <v>15</v>
      </c>
      <c r="E40" s="870"/>
      <c r="F40" s="870"/>
      <c r="G40" s="870"/>
      <c r="H40" s="870"/>
      <c r="I40" s="870"/>
      <c r="J40" s="870"/>
      <c r="K40" s="870"/>
      <c r="L40" s="870"/>
      <c r="M40" s="870"/>
      <c r="N40" s="870"/>
      <c r="O40" s="870"/>
      <c r="P40" s="871"/>
      <c r="Q40" s="872"/>
      <c r="R40" s="864"/>
      <c r="S40" s="873"/>
      <c r="T40" s="86"/>
      <c r="U40" s="86"/>
      <c r="V40" s="86"/>
      <c r="W40" s="86"/>
      <c r="X40" s="86"/>
      <c r="Y40" s="86"/>
    </row>
    <row r="41" spans="2:25" s="51" customFormat="1" ht="18" customHeight="1" x14ac:dyDescent="0.25">
      <c r="B41" s="1123"/>
      <c r="C41" s="1115"/>
      <c r="D41" s="866" t="s">
        <v>112</v>
      </c>
      <c r="E41" s="867"/>
      <c r="F41" s="867"/>
      <c r="G41" s="867"/>
      <c r="H41" s="867"/>
      <c r="I41" s="867"/>
      <c r="J41" s="867"/>
      <c r="K41" s="867"/>
      <c r="L41" s="867"/>
      <c r="M41" s="867"/>
      <c r="N41" s="867"/>
      <c r="O41" s="867"/>
      <c r="P41" s="868"/>
      <c r="Q41" s="869">
        <f>P40*Q40</f>
        <v>0</v>
      </c>
      <c r="R41" s="864" t="s">
        <v>258</v>
      </c>
      <c r="S41" s="782" t="s">
        <v>249</v>
      </c>
      <c r="T41" s="86"/>
      <c r="U41" s="86"/>
      <c r="V41" s="86"/>
      <c r="W41" s="86"/>
      <c r="X41" s="86"/>
      <c r="Y41" s="86"/>
    </row>
    <row r="42" spans="2:25" s="51" customFormat="1" ht="16.5" customHeight="1" thickBot="1" x14ac:dyDescent="0.3">
      <c r="B42" s="1124"/>
      <c r="C42" s="1115" t="s">
        <v>298</v>
      </c>
      <c r="D42" s="1115"/>
      <c r="E42" s="874" t="str">
        <f t="shared" ref="E42:P42" si="0">IF(AND(E38="",E40=""),"",SUM(E38,E40))</f>
        <v/>
      </c>
      <c r="F42" s="874" t="str">
        <f t="shared" si="0"/>
        <v/>
      </c>
      <c r="G42" s="874" t="str">
        <f t="shared" si="0"/>
        <v/>
      </c>
      <c r="H42" s="874" t="str">
        <f t="shared" si="0"/>
        <v/>
      </c>
      <c r="I42" s="874" t="str">
        <f t="shared" si="0"/>
        <v/>
      </c>
      <c r="J42" s="874" t="str">
        <f t="shared" si="0"/>
        <v/>
      </c>
      <c r="K42" s="874" t="str">
        <f t="shared" si="0"/>
        <v/>
      </c>
      <c r="L42" s="874" t="str">
        <f t="shared" si="0"/>
        <v/>
      </c>
      <c r="M42" s="874" t="str">
        <f t="shared" si="0"/>
        <v/>
      </c>
      <c r="N42" s="874" t="str">
        <f t="shared" si="0"/>
        <v/>
      </c>
      <c r="O42" s="874" t="str">
        <f t="shared" si="0"/>
        <v/>
      </c>
      <c r="P42" s="875" t="str">
        <f t="shared" si="0"/>
        <v/>
      </c>
      <c r="Q42" s="232">
        <f>(P38*Q38)+(P40*Q40)</f>
        <v>0</v>
      </c>
      <c r="R42" s="876">
        <f>IF(SUM(E42:P42)=0,0,AVERAGE(E42:P42))</f>
        <v>0</v>
      </c>
      <c r="S42" s="864" t="e">
        <f>IF(SUM('ÍNDICES ZOOTÉCNICOS'!#REF!)=0,0,AVERAGE('ÍNDICES ZOOTÉCNICOS'!#REF!))</f>
        <v>#REF!</v>
      </c>
      <c r="T42" s="86"/>
      <c r="U42" s="86"/>
      <c r="V42" s="86"/>
      <c r="W42" s="86"/>
      <c r="X42" s="86"/>
      <c r="Y42" s="86"/>
    </row>
    <row r="43" spans="2:25" s="51" customFormat="1" ht="18" customHeight="1" thickTop="1" x14ac:dyDescent="0.25">
      <c r="B43" s="1122" t="s">
        <v>13</v>
      </c>
      <c r="C43" s="1145" t="s">
        <v>110</v>
      </c>
      <c r="D43" s="860" t="s">
        <v>111</v>
      </c>
      <c r="E43" s="861"/>
      <c r="F43" s="861"/>
      <c r="G43" s="861"/>
      <c r="H43" s="861"/>
      <c r="I43" s="861"/>
      <c r="J43" s="861"/>
      <c r="K43" s="861"/>
      <c r="L43" s="861"/>
      <c r="M43" s="861"/>
      <c r="N43" s="861"/>
      <c r="O43" s="861"/>
      <c r="P43" s="862"/>
      <c r="Q43" s="863"/>
      <c r="R43" s="864"/>
      <c r="S43" s="873"/>
      <c r="T43" s="86"/>
      <c r="U43" s="86"/>
      <c r="V43" s="86"/>
      <c r="W43" s="86"/>
      <c r="X43" s="86"/>
      <c r="Y43" s="86"/>
    </row>
    <row r="44" spans="2:25" s="51" customFormat="1" ht="18" customHeight="1" x14ac:dyDescent="0.25">
      <c r="B44" s="1123"/>
      <c r="C44" s="1115"/>
      <c r="D44" s="866" t="s">
        <v>112</v>
      </c>
      <c r="E44" s="867"/>
      <c r="F44" s="867"/>
      <c r="G44" s="867"/>
      <c r="H44" s="867"/>
      <c r="I44" s="867"/>
      <c r="J44" s="867"/>
      <c r="K44" s="867"/>
      <c r="L44" s="867"/>
      <c r="M44" s="867"/>
      <c r="N44" s="867"/>
      <c r="O44" s="867"/>
      <c r="P44" s="868"/>
      <c r="Q44" s="869">
        <f>P43*Q43</f>
        <v>0</v>
      </c>
      <c r="R44" s="864"/>
      <c r="S44" s="782"/>
      <c r="T44" s="86"/>
      <c r="U44" s="86"/>
      <c r="V44" s="86"/>
      <c r="W44" s="86"/>
      <c r="X44" s="86"/>
      <c r="Y44" s="86"/>
    </row>
    <row r="45" spans="2:25" s="51" customFormat="1" ht="18" customHeight="1" x14ac:dyDescent="0.25">
      <c r="B45" s="1123"/>
      <c r="C45" s="1115" t="s">
        <v>109</v>
      </c>
      <c r="D45" s="866" t="s">
        <v>15</v>
      </c>
      <c r="E45" s="870">
        <v>137</v>
      </c>
      <c r="F45" s="870">
        <v>137</v>
      </c>
      <c r="G45" s="870">
        <v>236</v>
      </c>
      <c r="H45" s="870">
        <v>124</v>
      </c>
      <c r="I45" s="870">
        <v>101</v>
      </c>
      <c r="J45" s="870">
        <v>101</v>
      </c>
      <c r="K45" s="870">
        <f>126+48</f>
        <v>174</v>
      </c>
      <c r="L45" s="870">
        <f>174+31</f>
        <v>205</v>
      </c>
      <c r="M45" s="870"/>
      <c r="N45" s="870"/>
      <c r="O45" s="870"/>
      <c r="P45" s="871"/>
      <c r="Q45" s="872"/>
      <c r="R45" s="864"/>
      <c r="S45" s="873"/>
      <c r="T45" s="86"/>
      <c r="U45" s="86"/>
      <c r="V45" s="86"/>
      <c r="W45" s="86"/>
      <c r="X45" s="86"/>
      <c r="Y45" s="86"/>
    </row>
    <row r="46" spans="2:25" s="51" customFormat="1" ht="18" customHeight="1" x14ac:dyDescent="0.25">
      <c r="B46" s="1123"/>
      <c r="C46" s="1115"/>
      <c r="D46" s="866" t="s">
        <v>112</v>
      </c>
      <c r="E46" s="867">
        <v>365</v>
      </c>
      <c r="F46" s="867">
        <v>365</v>
      </c>
      <c r="G46" s="867">
        <v>291</v>
      </c>
      <c r="H46" s="867">
        <v>260</v>
      </c>
      <c r="I46" s="867">
        <v>241</v>
      </c>
      <c r="J46" s="867">
        <v>241</v>
      </c>
      <c r="K46" s="867">
        <f>(249+255)/2</f>
        <v>252</v>
      </c>
      <c r="L46" s="867">
        <f>(252+228)/2</f>
        <v>240</v>
      </c>
      <c r="M46" s="867"/>
      <c r="N46" s="867"/>
      <c r="O46" s="867"/>
      <c r="P46" s="868"/>
      <c r="Q46" s="869">
        <f>P45*Q45</f>
        <v>0</v>
      </c>
      <c r="R46" s="864"/>
      <c r="S46" s="782"/>
      <c r="T46" s="86"/>
      <c r="U46" s="86"/>
      <c r="V46" s="86"/>
      <c r="W46" s="86"/>
      <c r="X46" s="86"/>
      <c r="Y46" s="86"/>
    </row>
    <row r="47" spans="2:25" s="51" customFormat="1" ht="18" customHeight="1" thickBot="1" x14ac:dyDescent="0.3">
      <c r="B47" s="1124"/>
      <c r="C47" s="1140" t="s">
        <v>298</v>
      </c>
      <c r="D47" s="1140"/>
      <c r="E47" s="877">
        <f t="shared" ref="E47:P47" si="1">IF(AND(E43="",E45=""),"",SUM(E43,E45))</f>
        <v>137</v>
      </c>
      <c r="F47" s="877">
        <f t="shared" si="1"/>
        <v>137</v>
      </c>
      <c r="G47" s="877">
        <f t="shared" si="1"/>
        <v>236</v>
      </c>
      <c r="H47" s="877">
        <f t="shared" si="1"/>
        <v>124</v>
      </c>
      <c r="I47" s="877">
        <f t="shared" si="1"/>
        <v>101</v>
      </c>
      <c r="J47" s="877">
        <f t="shared" si="1"/>
        <v>101</v>
      </c>
      <c r="K47" s="877">
        <f t="shared" si="1"/>
        <v>174</v>
      </c>
      <c r="L47" s="877">
        <f t="shared" si="1"/>
        <v>205</v>
      </c>
      <c r="M47" s="877" t="str">
        <f t="shared" si="1"/>
        <v/>
      </c>
      <c r="N47" s="877" t="str">
        <f t="shared" si="1"/>
        <v/>
      </c>
      <c r="O47" s="877" t="str">
        <f t="shared" si="1"/>
        <v/>
      </c>
      <c r="P47" s="878" t="str">
        <f t="shared" si="1"/>
        <v/>
      </c>
      <c r="Q47" s="232">
        <f>(P43*Q43)+(P45*Q45)</f>
        <v>0</v>
      </c>
      <c r="R47" s="876">
        <f>IF(SUM(E47:P47)=0,0,AVERAGE(E47:P47))</f>
        <v>151.875</v>
      </c>
      <c r="S47" s="864" t="e">
        <f>IF(SUM('ÍNDICES ZOOTÉCNICOS'!#REF!)=0,0,AVERAGE('ÍNDICES ZOOTÉCNICOS'!#REF!))</f>
        <v>#REF!</v>
      </c>
      <c r="T47" s="86"/>
      <c r="U47" s="86"/>
      <c r="V47" s="86"/>
      <c r="W47" s="86"/>
      <c r="X47" s="86"/>
      <c r="Y47" s="86"/>
    </row>
    <row r="48" spans="2:25" s="51" customFormat="1" ht="18" customHeight="1" thickTop="1" x14ac:dyDescent="0.25">
      <c r="B48" s="1122" t="s">
        <v>14</v>
      </c>
      <c r="C48" s="1114" t="s">
        <v>110</v>
      </c>
      <c r="D48" s="879" t="s">
        <v>111</v>
      </c>
      <c r="E48" s="243"/>
      <c r="F48" s="243"/>
      <c r="G48" s="243"/>
      <c r="H48" s="243"/>
      <c r="I48" s="243"/>
      <c r="J48" s="243"/>
      <c r="K48" s="243"/>
      <c r="L48" s="243"/>
      <c r="M48" s="243"/>
      <c r="N48" s="243"/>
      <c r="O48" s="243"/>
      <c r="P48" s="862"/>
      <c r="Q48" s="863"/>
      <c r="R48" s="864"/>
      <c r="S48" s="873"/>
      <c r="T48" s="86"/>
      <c r="U48" s="86"/>
      <c r="V48" s="86"/>
      <c r="W48" s="86"/>
      <c r="X48" s="86"/>
      <c r="Y48" s="86"/>
    </row>
    <row r="49" spans="2:25" s="51" customFormat="1" ht="18" customHeight="1" x14ac:dyDescent="0.25">
      <c r="B49" s="1123"/>
      <c r="C49" s="1115"/>
      <c r="D49" s="866" t="s">
        <v>112</v>
      </c>
      <c r="E49" s="867"/>
      <c r="F49" s="867"/>
      <c r="G49" s="867"/>
      <c r="H49" s="867"/>
      <c r="I49" s="867"/>
      <c r="J49" s="867"/>
      <c r="K49" s="867"/>
      <c r="L49" s="867"/>
      <c r="M49" s="867"/>
      <c r="N49" s="867"/>
      <c r="O49" s="867"/>
      <c r="P49" s="868"/>
      <c r="Q49" s="869">
        <f>P48*Q48</f>
        <v>0</v>
      </c>
      <c r="R49" s="864"/>
      <c r="S49" s="782"/>
      <c r="T49" s="86"/>
      <c r="U49" s="86"/>
      <c r="V49" s="86"/>
      <c r="W49" s="86"/>
      <c r="X49" s="86"/>
      <c r="Y49" s="86"/>
    </row>
    <row r="50" spans="2:25" s="51" customFormat="1" ht="18" customHeight="1" x14ac:dyDescent="0.25">
      <c r="B50" s="1123"/>
      <c r="C50" s="1115" t="s">
        <v>109</v>
      </c>
      <c r="D50" s="866" t="s">
        <v>15</v>
      </c>
      <c r="E50" s="870"/>
      <c r="F50" s="870"/>
      <c r="G50" s="870"/>
      <c r="H50" s="870">
        <v>111</v>
      </c>
      <c r="I50" s="870">
        <v>134</v>
      </c>
      <c r="J50" s="870">
        <v>134</v>
      </c>
      <c r="K50" s="870">
        <v>23</v>
      </c>
      <c r="L50" s="870">
        <v>23</v>
      </c>
      <c r="M50" s="870"/>
      <c r="N50" s="870"/>
      <c r="O50" s="870"/>
      <c r="P50" s="868"/>
      <c r="Q50" s="872"/>
      <c r="R50" s="864"/>
      <c r="S50" s="873"/>
      <c r="T50" s="86"/>
      <c r="U50" s="86"/>
      <c r="V50" s="86"/>
      <c r="W50" s="86"/>
      <c r="X50" s="86"/>
      <c r="Y50" s="86"/>
    </row>
    <row r="51" spans="2:25" s="51" customFormat="1" ht="18" customHeight="1" x14ac:dyDescent="0.25">
      <c r="B51" s="1123"/>
      <c r="C51" s="1115"/>
      <c r="D51" s="866" t="s">
        <v>112</v>
      </c>
      <c r="E51" s="867"/>
      <c r="F51" s="867"/>
      <c r="G51" s="867"/>
      <c r="H51" s="867">
        <v>451</v>
      </c>
      <c r="I51" s="867">
        <v>451</v>
      </c>
      <c r="J51" s="867">
        <v>451</v>
      </c>
      <c r="K51" s="867">
        <v>451</v>
      </c>
      <c r="L51" s="867">
        <v>451</v>
      </c>
      <c r="M51" s="867"/>
      <c r="N51" s="867"/>
      <c r="O51" s="867"/>
      <c r="P51" s="868"/>
      <c r="Q51" s="869">
        <f>P50*Q50</f>
        <v>0</v>
      </c>
      <c r="R51" s="864"/>
      <c r="S51" s="782"/>
      <c r="T51" s="86"/>
      <c r="U51" s="86"/>
      <c r="V51" s="86"/>
      <c r="W51" s="86"/>
      <c r="X51" s="86"/>
      <c r="Y51" s="86"/>
    </row>
    <row r="52" spans="2:25" s="51" customFormat="1" ht="18" customHeight="1" thickBot="1" x14ac:dyDescent="0.3">
      <c r="B52" s="1124"/>
      <c r="C52" s="1115" t="s">
        <v>298</v>
      </c>
      <c r="D52" s="1115"/>
      <c r="E52" s="874" t="str">
        <f t="shared" ref="E52:P52" si="2">IF(AND(E48="",E50=""),"",SUM(E48,E50))</f>
        <v/>
      </c>
      <c r="F52" s="874" t="str">
        <f t="shared" si="2"/>
        <v/>
      </c>
      <c r="G52" s="874" t="str">
        <f t="shared" si="2"/>
        <v/>
      </c>
      <c r="H52" s="874">
        <f t="shared" si="2"/>
        <v>111</v>
      </c>
      <c r="I52" s="874">
        <f t="shared" si="2"/>
        <v>134</v>
      </c>
      <c r="J52" s="874">
        <f t="shared" si="2"/>
        <v>134</v>
      </c>
      <c r="K52" s="874">
        <f t="shared" si="2"/>
        <v>23</v>
      </c>
      <c r="L52" s="874">
        <f t="shared" si="2"/>
        <v>23</v>
      </c>
      <c r="M52" s="874" t="str">
        <f t="shared" si="2"/>
        <v/>
      </c>
      <c r="N52" s="874" t="str">
        <f t="shared" si="2"/>
        <v/>
      </c>
      <c r="O52" s="874" t="str">
        <f t="shared" si="2"/>
        <v/>
      </c>
      <c r="P52" s="875" t="str">
        <f t="shared" si="2"/>
        <v/>
      </c>
      <c r="Q52" s="232">
        <f>(P48*Q48)+(P50*Q50)</f>
        <v>0</v>
      </c>
      <c r="R52" s="876">
        <f>IF(SUM(E52:P52)=0,0,AVERAGE(E52:P52))</f>
        <v>85</v>
      </c>
      <c r="S52" s="864" t="e">
        <f>IF(SUM('ÍNDICES ZOOTÉCNICOS'!#REF!)=0,0,AVERAGE('ÍNDICES ZOOTÉCNICOS'!#REF!))</f>
        <v>#REF!</v>
      </c>
      <c r="T52" s="86"/>
      <c r="U52" s="86"/>
      <c r="V52" s="86"/>
      <c r="W52" s="86"/>
      <c r="X52" s="86"/>
      <c r="Y52" s="86"/>
    </row>
    <row r="53" spans="2:25" s="51" customFormat="1" ht="18" customHeight="1" thickTop="1" x14ac:dyDescent="0.25">
      <c r="B53" s="1119" t="s">
        <v>237</v>
      </c>
      <c r="C53" s="881" t="s">
        <v>110</v>
      </c>
      <c r="D53" s="860" t="s">
        <v>111</v>
      </c>
      <c r="E53" s="861"/>
      <c r="F53" s="861"/>
      <c r="G53" s="861"/>
      <c r="H53" s="861"/>
      <c r="I53" s="861"/>
      <c r="J53" s="861"/>
      <c r="K53" s="861"/>
      <c r="L53" s="861"/>
      <c r="M53" s="861"/>
      <c r="N53" s="861"/>
      <c r="O53" s="861"/>
      <c r="P53" s="862"/>
      <c r="Q53" s="863"/>
      <c r="T53" s="86"/>
      <c r="U53" s="86"/>
      <c r="V53" s="86"/>
      <c r="W53" s="86"/>
      <c r="X53" s="86"/>
      <c r="Y53" s="86"/>
    </row>
    <row r="54" spans="2:25" s="51" customFormat="1" ht="18" customHeight="1" x14ac:dyDescent="0.25">
      <c r="B54" s="1120"/>
      <c r="C54" s="882"/>
      <c r="D54" s="866" t="s">
        <v>112</v>
      </c>
      <c r="E54" s="867"/>
      <c r="F54" s="867"/>
      <c r="G54" s="867"/>
      <c r="H54" s="867"/>
      <c r="I54" s="867"/>
      <c r="J54" s="867"/>
      <c r="K54" s="867"/>
      <c r="L54" s="867"/>
      <c r="M54" s="867"/>
      <c r="N54" s="867"/>
      <c r="O54" s="867"/>
      <c r="P54" s="868"/>
      <c r="Q54" s="869">
        <f>P53*Q53</f>
        <v>0</v>
      </c>
      <c r="R54" s="876">
        <f>IF(SUM(E53:P53)=0,0,AVERAGE(E53:P53))</f>
        <v>0</v>
      </c>
      <c r="S54" s="864" t="e">
        <f>IF(SUM('ÍNDICES ZOOTÉCNICOS'!#REF!)=0,0,AVERAGE('ÍNDICES ZOOTÉCNICOS'!#REF!))</f>
        <v>#REF!</v>
      </c>
      <c r="T54" s="86"/>
      <c r="U54" s="86"/>
      <c r="V54" s="86"/>
      <c r="W54" s="86"/>
      <c r="X54" s="86"/>
      <c r="Y54" s="86"/>
    </row>
    <row r="55" spans="2:25" s="51" customFormat="1" ht="18" customHeight="1" x14ac:dyDescent="0.25">
      <c r="B55" s="1120"/>
      <c r="C55" s="883" t="s">
        <v>109</v>
      </c>
      <c r="D55" s="879" t="s">
        <v>15</v>
      </c>
      <c r="E55" s="243">
        <v>1</v>
      </c>
      <c r="F55" s="243">
        <v>1</v>
      </c>
      <c r="G55" s="243">
        <v>1</v>
      </c>
      <c r="H55" s="243">
        <v>1</v>
      </c>
      <c r="I55" s="243">
        <v>1</v>
      </c>
      <c r="J55" s="243">
        <v>1</v>
      </c>
      <c r="K55" s="243">
        <v>1</v>
      </c>
      <c r="L55" s="243">
        <v>1</v>
      </c>
      <c r="M55" s="243"/>
      <c r="N55" s="243"/>
      <c r="O55" s="243"/>
      <c r="P55" s="880"/>
      <c r="Q55" s="863"/>
      <c r="R55" s="876">
        <f>IF(SUM(E55:P55)=0,0,AVERAGE(E55:P55))</f>
        <v>1</v>
      </c>
      <c r="S55" s="864" t="e">
        <f>IF(SUM('ÍNDICES ZOOTÉCNICOS'!#REF!)=0,0,AVERAGE('ÍNDICES ZOOTÉCNICOS'!#REF!))</f>
        <v>#REF!</v>
      </c>
      <c r="T55" s="86"/>
      <c r="U55" s="86"/>
      <c r="V55" s="86"/>
      <c r="W55" s="86"/>
      <c r="X55" s="86"/>
      <c r="Y55" s="86"/>
    </row>
    <row r="56" spans="2:25" s="51" customFormat="1" ht="18" customHeight="1" x14ac:dyDescent="0.25">
      <c r="B56" s="1120"/>
      <c r="C56" s="882"/>
      <c r="D56" s="866" t="s">
        <v>112</v>
      </c>
      <c r="E56" s="867">
        <v>600</v>
      </c>
      <c r="F56" s="867">
        <v>600</v>
      </c>
      <c r="G56" s="867">
        <v>600</v>
      </c>
      <c r="H56" s="867">
        <v>600</v>
      </c>
      <c r="I56" s="867">
        <v>600</v>
      </c>
      <c r="J56" s="867">
        <v>600</v>
      </c>
      <c r="K56" s="867">
        <v>606</v>
      </c>
      <c r="L56" s="867">
        <v>606</v>
      </c>
      <c r="M56" s="867"/>
      <c r="N56" s="867"/>
      <c r="O56" s="867"/>
      <c r="P56" s="868"/>
      <c r="Q56" s="869">
        <f>P55*Q55</f>
        <v>0</v>
      </c>
      <c r="R56" s="864"/>
      <c r="S56" s="782"/>
      <c r="T56" s="86"/>
      <c r="U56" s="86"/>
      <c r="V56" s="86"/>
      <c r="W56" s="86"/>
      <c r="X56" s="86"/>
      <c r="Y56" s="86"/>
    </row>
    <row r="57" spans="2:25" s="51" customFormat="1" ht="18" customHeight="1" thickBot="1" x14ac:dyDescent="0.3">
      <c r="B57" s="1121"/>
      <c r="C57" s="1131" t="s">
        <v>298</v>
      </c>
      <c r="D57" s="1132"/>
      <c r="E57" s="874">
        <f t="shared" ref="E57:P57" si="3">IF(AND(E53="",E55=""),"",SUM(E53,E55))</f>
        <v>1</v>
      </c>
      <c r="F57" s="874">
        <f t="shared" si="3"/>
        <v>1</v>
      </c>
      <c r="G57" s="874">
        <f t="shared" si="3"/>
        <v>1</v>
      </c>
      <c r="H57" s="874">
        <f t="shared" si="3"/>
        <v>1</v>
      </c>
      <c r="I57" s="874">
        <f t="shared" si="3"/>
        <v>1</v>
      </c>
      <c r="J57" s="874">
        <f t="shared" si="3"/>
        <v>1</v>
      </c>
      <c r="K57" s="874">
        <f t="shared" si="3"/>
        <v>1</v>
      </c>
      <c r="L57" s="874">
        <f t="shared" si="3"/>
        <v>1</v>
      </c>
      <c r="M57" s="874" t="str">
        <f t="shared" si="3"/>
        <v/>
      </c>
      <c r="N57" s="874" t="str">
        <f t="shared" si="3"/>
        <v/>
      </c>
      <c r="O57" s="874" t="str">
        <f t="shared" si="3"/>
        <v/>
      </c>
      <c r="P57" s="875" t="str">
        <f t="shared" si="3"/>
        <v/>
      </c>
      <c r="Q57" s="232">
        <f>(P53*Q53)+(P55*Q55)</f>
        <v>0</v>
      </c>
      <c r="R57" s="876">
        <f>R54+R55</f>
        <v>1</v>
      </c>
      <c r="S57" s="876" t="e">
        <f>S54+S55</f>
        <v>#REF!</v>
      </c>
      <c r="T57" s="86"/>
      <c r="U57" s="86"/>
      <c r="V57" s="86"/>
      <c r="W57" s="86"/>
      <c r="X57" s="86"/>
      <c r="Y57" s="86"/>
    </row>
    <row r="58" spans="2:25" s="51" customFormat="1" ht="16.5" thickTop="1" thickBot="1" x14ac:dyDescent="0.3">
      <c r="B58" s="1133" t="s">
        <v>302</v>
      </c>
      <c r="C58" s="1134"/>
      <c r="D58" s="1134"/>
      <c r="E58" s="884">
        <f t="shared" ref="E58:P58" si="4">E38+E40+E43+E45+E48+E50+E53+E55</f>
        <v>138</v>
      </c>
      <c r="F58" s="884">
        <f t="shared" si="4"/>
        <v>138</v>
      </c>
      <c r="G58" s="884">
        <f t="shared" si="4"/>
        <v>237</v>
      </c>
      <c r="H58" s="884">
        <f t="shared" si="4"/>
        <v>236</v>
      </c>
      <c r="I58" s="884">
        <f t="shared" si="4"/>
        <v>236</v>
      </c>
      <c r="J58" s="884">
        <f t="shared" si="4"/>
        <v>236</v>
      </c>
      <c r="K58" s="884">
        <f t="shared" si="4"/>
        <v>198</v>
      </c>
      <c r="L58" s="884">
        <f t="shared" si="4"/>
        <v>229</v>
      </c>
      <c r="M58" s="884">
        <f t="shared" si="4"/>
        <v>0</v>
      </c>
      <c r="N58" s="884">
        <f t="shared" si="4"/>
        <v>0</v>
      </c>
      <c r="O58" s="884">
        <f t="shared" si="4"/>
        <v>0</v>
      </c>
      <c r="P58" s="885">
        <f t="shared" si="4"/>
        <v>0</v>
      </c>
      <c r="Q58" s="233">
        <f>SUM(Q42,Q47,Q52,Q57)</f>
        <v>0</v>
      </c>
      <c r="R58" s="876">
        <f>AVERAGE(E58:P58)</f>
        <v>137.33333333333334</v>
      </c>
      <c r="S58" s="864" t="e">
        <f>AVERAGE('ÍNDICES ZOOTÉCNICOS'!#REF!)</f>
        <v>#REF!</v>
      </c>
      <c r="T58" s="86"/>
      <c r="U58" s="86"/>
      <c r="V58" s="86"/>
      <c r="W58" s="86"/>
      <c r="X58" s="86"/>
      <c r="Y58" s="86"/>
    </row>
    <row r="59" spans="2:25" s="51" customFormat="1" ht="15.75" thickTop="1" x14ac:dyDescent="0.25">
      <c r="B59" s="886"/>
      <c r="C59" s="886"/>
      <c r="D59" s="886"/>
      <c r="E59" s="887"/>
      <c r="F59" s="887"/>
      <c r="G59" s="887"/>
      <c r="H59" s="887"/>
      <c r="I59" s="887"/>
      <c r="J59" s="887"/>
      <c r="K59" s="887"/>
      <c r="L59" s="887"/>
      <c r="M59" s="887"/>
      <c r="N59" s="887"/>
      <c r="O59" s="887"/>
      <c r="P59" s="887"/>
      <c r="Q59" s="234"/>
      <c r="R59" s="864"/>
      <c r="S59" s="888"/>
      <c r="T59" s="86"/>
      <c r="U59" s="86"/>
      <c r="V59" s="86"/>
      <c r="W59" s="86"/>
      <c r="X59" s="86"/>
      <c r="Y59" s="86"/>
    </row>
    <row r="60" spans="2:25" s="434" customFormat="1" ht="15.75" thickBot="1" x14ac:dyDescent="0.3">
      <c r="B60" s="273"/>
      <c r="C60" s="42"/>
      <c r="D60" s="42"/>
      <c r="E60" s="236"/>
      <c r="F60" s="236"/>
      <c r="G60" s="236"/>
      <c r="H60" s="236"/>
      <c r="I60" s="236"/>
      <c r="J60" s="236"/>
      <c r="K60" s="236"/>
      <c r="L60" s="236"/>
      <c r="M60" s="236"/>
      <c r="N60" s="236"/>
      <c r="O60" s="236"/>
      <c r="P60" s="236"/>
      <c r="Q60" s="435"/>
      <c r="T60" s="436"/>
      <c r="U60" s="436"/>
      <c r="V60" s="436"/>
      <c r="W60" s="436"/>
      <c r="X60" s="436"/>
      <c r="Y60" s="436"/>
    </row>
    <row r="61" spans="2:25" s="51" customFormat="1" ht="23.25" customHeight="1" thickTop="1" x14ac:dyDescent="0.25">
      <c r="B61" s="1116" t="s">
        <v>26</v>
      </c>
      <c r="C61" s="1117"/>
      <c r="D61" s="1117"/>
      <c r="E61" s="1117"/>
      <c r="F61" s="1117"/>
      <c r="G61" s="1117"/>
      <c r="H61" s="1117"/>
      <c r="I61" s="1117"/>
      <c r="J61" s="1117"/>
      <c r="K61" s="1117"/>
      <c r="L61" s="1117"/>
      <c r="M61" s="1117"/>
      <c r="N61" s="1117"/>
      <c r="O61" s="1117"/>
      <c r="P61" s="1117"/>
      <c r="Q61" s="1118"/>
      <c r="T61" s="786"/>
      <c r="U61" s="786"/>
      <c r="V61" s="86"/>
      <c r="W61" s="786"/>
      <c r="X61" s="86"/>
      <c r="Y61" s="86"/>
    </row>
    <row r="62" spans="2:25" s="51" customFormat="1" ht="15.75" thickBot="1" x14ac:dyDescent="0.3">
      <c r="B62" s="1099" t="s">
        <v>108</v>
      </c>
      <c r="C62" s="1129"/>
      <c r="D62" s="1130"/>
      <c r="E62" s="1100" t="s">
        <v>0</v>
      </c>
      <c r="F62" s="1100" t="s">
        <v>1</v>
      </c>
      <c r="G62" s="1100" t="s">
        <v>2</v>
      </c>
      <c r="H62" s="1100" t="s">
        <v>3</v>
      </c>
      <c r="I62" s="1100" t="s">
        <v>4</v>
      </c>
      <c r="J62" s="1100" t="s">
        <v>5</v>
      </c>
      <c r="K62" s="1100" t="s">
        <v>6</v>
      </c>
      <c r="L62" s="1100" t="s">
        <v>7</v>
      </c>
      <c r="M62" s="1100" t="s">
        <v>8</v>
      </c>
      <c r="N62" s="1100" t="s">
        <v>9</v>
      </c>
      <c r="O62" s="1100" t="s">
        <v>10</v>
      </c>
      <c r="P62" s="1100" t="s">
        <v>11</v>
      </c>
      <c r="Q62" s="1101" t="s">
        <v>17</v>
      </c>
      <c r="T62" s="786"/>
      <c r="U62" s="86"/>
      <c r="V62" s="86"/>
      <c r="W62" s="786"/>
      <c r="X62" s="786"/>
      <c r="Y62" s="86"/>
    </row>
    <row r="63" spans="2:25" s="51" customFormat="1" ht="21" customHeight="1" thickTop="1" thickBot="1" x14ac:dyDescent="0.3">
      <c r="B63" s="1104" t="s">
        <v>225</v>
      </c>
      <c r="C63" s="1128" t="s">
        <v>15</v>
      </c>
      <c r="D63" s="1128"/>
      <c r="E63" s="1102"/>
      <c r="F63" s="1102"/>
      <c r="G63" s="1102"/>
      <c r="H63" s="1102"/>
      <c r="I63" s="1102"/>
      <c r="J63" s="1102"/>
      <c r="K63" s="1102"/>
      <c r="L63" s="1102"/>
      <c r="M63" s="1102"/>
      <c r="N63" s="1102"/>
      <c r="O63" s="1102"/>
      <c r="P63" s="1102"/>
      <c r="Q63" s="1103">
        <f>SUM(E63:P63)</f>
        <v>0</v>
      </c>
      <c r="T63" s="786"/>
      <c r="U63" s="86"/>
      <c r="V63" s="86"/>
      <c r="W63" s="786"/>
      <c r="X63" s="786"/>
      <c r="Y63" s="86"/>
    </row>
    <row r="64" spans="2:25" s="51" customFormat="1" ht="16.5" thickTop="1" thickBot="1" x14ac:dyDescent="0.3">
      <c r="B64" s="456"/>
      <c r="C64" s="844"/>
      <c r="D64" s="844"/>
      <c r="E64" s="782"/>
      <c r="F64" s="782"/>
      <c r="G64" s="782"/>
      <c r="H64" s="782"/>
      <c r="I64" s="782"/>
      <c r="J64" s="782"/>
      <c r="K64" s="782"/>
      <c r="L64" s="782"/>
      <c r="M64" s="782"/>
      <c r="N64" s="782"/>
      <c r="O64" s="782"/>
      <c r="P64" s="782"/>
      <c r="Q64" s="782"/>
      <c r="T64" s="786"/>
      <c r="U64" s="86"/>
      <c r="V64" s="86"/>
      <c r="W64" s="786"/>
      <c r="X64" s="786"/>
      <c r="Y64" s="86"/>
    </row>
    <row r="65" spans="2:25" s="51" customFormat="1" ht="23.25" customHeight="1" thickTop="1" x14ac:dyDescent="0.25">
      <c r="B65" s="1125" t="s">
        <v>25</v>
      </c>
      <c r="C65" s="1126"/>
      <c r="D65" s="1126"/>
      <c r="E65" s="1126"/>
      <c r="F65" s="1126"/>
      <c r="G65" s="1126"/>
      <c r="H65" s="1126"/>
      <c r="I65" s="1126"/>
      <c r="J65" s="1126"/>
      <c r="K65" s="1126"/>
      <c r="L65" s="1126"/>
      <c r="M65" s="1126"/>
      <c r="N65" s="1126"/>
      <c r="O65" s="1126"/>
      <c r="P65" s="1126"/>
      <c r="Q65" s="1127"/>
      <c r="T65" s="786"/>
      <c r="U65" s="86"/>
      <c r="V65" s="86"/>
      <c r="W65" s="786"/>
      <c r="X65" s="786"/>
      <c r="Y65" s="86"/>
    </row>
    <row r="66" spans="2:25" s="51" customFormat="1" ht="48.75" customHeight="1" thickBot="1" x14ac:dyDescent="0.3">
      <c r="B66" s="890" t="s">
        <v>108</v>
      </c>
      <c r="C66" s="240" t="s">
        <v>226</v>
      </c>
      <c r="D66" s="240" t="s">
        <v>227</v>
      </c>
      <c r="E66" s="889" t="s">
        <v>0</v>
      </c>
      <c r="F66" s="889" t="s">
        <v>1</v>
      </c>
      <c r="G66" s="889" t="s">
        <v>2</v>
      </c>
      <c r="H66" s="889" t="s">
        <v>3</v>
      </c>
      <c r="I66" s="889" t="s">
        <v>4</v>
      </c>
      <c r="J66" s="889" t="s">
        <v>5</v>
      </c>
      <c r="K66" s="889" t="s">
        <v>6</v>
      </c>
      <c r="L66" s="889" t="s">
        <v>7</v>
      </c>
      <c r="M66" s="889" t="s">
        <v>8</v>
      </c>
      <c r="N66" s="889" t="s">
        <v>9</v>
      </c>
      <c r="O66" s="889" t="s">
        <v>10</v>
      </c>
      <c r="P66" s="889" t="s">
        <v>11</v>
      </c>
      <c r="Q66" s="891" t="s">
        <v>17</v>
      </c>
      <c r="T66" s="86"/>
      <c r="U66" s="456"/>
      <c r="V66" s="786"/>
      <c r="W66" s="786"/>
      <c r="X66" s="786"/>
      <c r="Y66" s="86"/>
    </row>
    <row r="67" spans="2:25" s="51" customFormat="1" ht="15.75" thickTop="1" x14ac:dyDescent="0.25">
      <c r="B67" s="1147" t="s">
        <v>121</v>
      </c>
      <c r="C67" s="1067" t="str">
        <f>IF(Q67=0,"",D67/Q67)</f>
        <v/>
      </c>
      <c r="D67" s="1068"/>
      <c r="E67" s="1069"/>
      <c r="F67" s="1069"/>
      <c r="G67" s="1069"/>
      <c r="H67" s="1069"/>
      <c r="I67" s="1069"/>
      <c r="J67" s="1069"/>
      <c r="K67" s="1069"/>
      <c r="L67" s="1069"/>
      <c r="M67" s="1069"/>
      <c r="N67" s="1069"/>
      <c r="O67" s="1069"/>
      <c r="P67" s="1069"/>
      <c r="Q67" s="1070">
        <f>SUM(E67:P67)</f>
        <v>0</v>
      </c>
      <c r="T67" s="86"/>
      <c r="U67" s="456"/>
      <c r="V67" s="786"/>
      <c r="W67" s="786"/>
      <c r="X67" s="786"/>
      <c r="Y67" s="86"/>
    </row>
    <row r="68" spans="2:25" s="51" customFormat="1" ht="15.75" thickBot="1" x14ac:dyDescent="0.3">
      <c r="B68" s="1148"/>
      <c r="C68" s="1150" t="s">
        <v>489</v>
      </c>
      <c r="D68" s="1151"/>
      <c r="E68" s="1076"/>
      <c r="F68" s="1076"/>
      <c r="G68" s="1076"/>
      <c r="H68" s="1076"/>
      <c r="I68" s="1076"/>
      <c r="J68" s="1076"/>
      <c r="K68" s="1076"/>
      <c r="L68" s="1076"/>
      <c r="M68" s="1076"/>
      <c r="N68" s="1076"/>
      <c r="O68" s="1076"/>
      <c r="P68" s="1076"/>
      <c r="Q68" s="1079">
        <f>SUM(E68:P68)</f>
        <v>0</v>
      </c>
      <c r="T68" s="86"/>
      <c r="U68" s="456"/>
      <c r="V68" s="786"/>
      <c r="W68" s="786"/>
      <c r="X68" s="786"/>
      <c r="Y68" s="86"/>
    </row>
    <row r="69" spans="2:25" s="51" customFormat="1" ht="15.75" thickTop="1" x14ac:dyDescent="0.25">
      <c r="B69" s="1149" t="s">
        <v>13</v>
      </c>
      <c r="C69" s="242">
        <f>IF(Q69=0,"",D69/Q69)</f>
        <v>0</v>
      </c>
      <c r="D69" s="244"/>
      <c r="E69" s="892"/>
      <c r="F69" s="892"/>
      <c r="G69" s="892">
        <v>1</v>
      </c>
      <c r="H69" s="892"/>
      <c r="I69" s="892"/>
      <c r="J69" s="892"/>
      <c r="K69" s="892"/>
      <c r="L69" s="892"/>
      <c r="M69" s="892"/>
      <c r="N69" s="892"/>
      <c r="O69" s="892"/>
      <c r="P69" s="892"/>
      <c r="Q69" s="893">
        <f t="shared" ref="Q69:Q76" si="5">SUM(E69:P69)</f>
        <v>1</v>
      </c>
      <c r="T69" s="86"/>
      <c r="U69" s="456"/>
      <c r="V69" s="786"/>
      <c r="W69" s="786"/>
      <c r="X69" s="786"/>
      <c r="Y69" s="86"/>
    </row>
    <row r="70" spans="2:25" s="51" customFormat="1" ht="15.75" thickBot="1" x14ac:dyDescent="0.3">
      <c r="B70" s="1149"/>
      <c r="C70" s="1152" t="s">
        <v>489</v>
      </c>
      <c r="D70" s="1153"/>
      <c r="E70" s="1076"/>
      <c r="F70" s="1076"/>
      <c r="G70" s="1076"/>
      <c r="H70" s="1076"/>
      <c r="I70" s="1076"/>
      <c r="J70" s="1076"/>
      <c r="K70" s="1076"/>
      <c r="L70" s="1076"/>
      <c r="M70" s="1076"/>
      <c r="N70" s="1076"/>
      <c r="O70" s="1076"/>
      <c r="P70" s="1076"/>
      <c r="Q70" s="1080">
        <f t="shared" si="5"/>
        <v>0</v>
      </c>
      <c r="T70" s="86"/>
      <c r="U70" s="456"/>
      <c r="V70" s="786"/>
      <c r="W70" s="786"/>
      <c r="X70" s="786"/>
      <c r="Y70" s="86"/>
    </row>
    <row r="71" spans="2:25" s="51" customFormat="1" ht="15.75" thickTop="1" x14ac:dyDescent="0.25">
      <c r="B71" s="1147" t="s">
        <v>14</v>
      </c>
      <c r="C71" s="1067" t="str">
        <f>IF(Q71=0,"",D71/Q71)</f>
        <v/>
      </c>
      <c r="D71" s="1068"/>
      <c r="E71" s="1069"/>
      <c r="F71" s="1069"/>
      <c r="G71" s="1069"/>
      <c r="H71" s="1069"/>
      <c r="I71" s="1069"/>
      <c r="J71" s="1069"/>
      <c r="K71" s="1069"/>
      <c r="L71" s="1069"/>
      <c r="M71" s="1069"/>
      <c r="N71" s="1069"/>
      <c r="O71" s="1069"/>
      <c r="P71" s="1069"/>
      <c r="Q71" s="1070">
        <f t="shared" si="5"/>
        <v>0</v>
      </c>
      <c r="T71" s="86"/>
      <c r="U71" s="456"/>
      <c r="V71" s="786"/>
      <c r="W71" s="786"/>
      <c r="X71" s="786"/>
      <c r="Y71" s="86"/>
    </row>
    <row r="72" spans="2:25" s="51" customFormat="1" ht="15.75" thickBot="1" x14ac:dyDescent="0.3">
      <c r="B72" s="1148"/>
      <c r="C72" s="1154" t="s">
        <v>489</v>
      </c>
      <c r="D72" s="1155"/>
      <c r="E72" s="1076"/>
      <c r="F72" s="1076"/>
      <c r="G72" s="1076"/>
      <c r="H72" s="1076"/>
      <c r="I72" s="1076"/>
      <c r="J72" s="1076"/>
      <c r="K72" s="1076"/>
      <c r="L72" s="1076"/>
      <c r="M72" s="1076"/>
      <c r="N72" s="1076"/>
      <c r="O72" s="1076"/>
      <c r="P72" s="1076"/>
      <c r="Q72" s="1079">
        <f t="shared" si="5"/>
        <v>0</v>
      </c>
      <c r="T72" s="86"/>
      <c r="U72" s="456"/>
      <c r="V72" s="786"/>
      <c r="W72" s="786"/>
      <c r="X72" s="786"/>
      <c r="Y72" s="86"/>
    </row>
    <row r="73" spans="2:25" s="51" customFormat="1" ht="15.75" thickTop="1" x14ac:dyDescent="0.25">
      <c r="B73" s="1149" t="s">
        <v>105</v>
      </c>
      <c r="C73" s="242" t="str">
        <f>IF(Q73=0,"",D73/Q73)</f>
        <v/>
      </c>
      <c r="D73" s="244"/>
      <c r="E73" s="892"/>
      <c r="F73" s="892"/>
      <c r="G73" s="892"/>
      <c r="H73" s="892"/>
      <c r="I73" s="892"/>
      <c r="J73" s="892"/>
      <c r="K73" s="892"/>
      <c r="L73" s="892"/>
      <c r="M73" s="892"/>
      <c r="N73" s="892"/>
      <c r="O73" s="892"/>
      <c r="P73" s="892"/>
      <c r="Q73" s="893">
        <f t="shared" si="5"/>
        <v>0</v>
      </c>
      <c r="T73" s="86"/>
      <c r="U73" s="456"/>
      <c r="V73" s="86"/>
      <c r="W73" s="86"/>
      <c r="X73" s="86"/>
      <c r="Y73" s="86"/>
    </row>
    <row r="74" spans="2:25" s="51" customFormat="1" ht="15.75" thickBot="1" x14ac:dyDescent="0.3">
      <c r="B74" s="1149"/>
      <c r="C74" s="1152" t="s">
        <v>489</v>
      </c>
      <c r="D74" s="1153"/>
      <c r="E74" s="1076"/>
      <c r="F74" s="1076"/>
      <c r="G74" s="1076"/>
      <c r="H74" s="1076"/>
      <c r="I74" s="1076"/>
      <c r="J74" s="1076"/>
      <c r="K74" s="1076"/>
      <c r="L74" s="1076"/>
      <c r="M74" s="1076"/>
      <c r="N74" s="1076"/>
      <c r="O74" s="1076"/>
      <c r="P74" s="1076"/>
      <c r="Q74" s="1080">
        <f t="shared" si="5"/>
        <v>0</v>
      </c>
      <c r="T74" s="86"/>
      <c r="U74" s="456"/>
      <c r="V74" s="86"/>
      <c r="W74" s="86"/>
      <c r="X74" s="86"/>
      <c r="Y74" s="86"/>
    </row>
    <row r="75" spans="2:25" s="51" customFormat="1" ht="15.75" thickTop="1" x14ac:dyDescent="0.25">
      <c r="B75" s="1147" t="s">
        <v>106</v>
      </c>
      <c r="C75" s="1067" t="str">
        <f>IF(Q75=0,"",D75/Q75)</f>
        <v/>
      </c>
      <c r="D75" s="1068"/>
      <c r="E75" s="1069"/>
      <c r="F75" s="1069"/>
      <c r="G75" s="1069"/>
      <c r="H75" s="1069"/>
      <c r="I75" s="1069"/>
      <c r="J75" s="1069"/>
      <c r="K75" s="1069"/>
      <c r="L75" s="1069"/>
      <c r="M75" s="1069"/>
      <c r="N75" s="1069"/>
      <c r="O75" s="1069"/>
      <c r="P75" s="1069"/>
      <c r="Q75" s="1070">
        <f t="shared" si="5"/>
        <v>0</v>
      </c>
      <c r="T75" s="86"/>
      <c r="U75" s="456"/>
      <c r="V75" s="86"/>
      <c r="W75" s="86"/>
      <c r="X75" s="86"/>
      <c r="Y75" s="86"/>
    </row>
    <row r="76" spans="2:25" s="51" customFormat="1" ht="15.75" thickBot="1" x14ac:dyDescent="0.3">
      <c r="B76" s="1148"/>
      <c r="C76" s="1154" t="s">
        <v>489</v>
      </c>
      <c r="D76" s="1155"/>
      <c r="E76" s="1076"/>
      <c r="F76" s="1076"/>
      <c r="G76" s="1076"/>
      <c r="H76" s="1076"/>
      <c r="I76" s="1076"/>
      <c r="J76" s="1076"/>
      <c r="K76" s="1076"/>
      <c r="L76" s="1076"/>
      <c r="M76" s="1076"/>
      <c r="N76" s="1076"/>
      <c r="O76" s="1076"/>
      <c r="P76" s="1076"/>
      <c r="Q76" s="1079">
        <f t="shared" si="5"/>
        <v>0</v>
      </c>
      <c r="T76" s="86"/>
      <c r="U76" s="456"/>
      <c r="V76" s="86"/>
      <c r="W76" s="86"/>
      <c r="X76" s="86"/>
      <c r="Y76" s="86"/>
    </row>
    <row r="77" spans="2:25" s="51" customFormat="1" ht="16.5" thickTop="1" thickBot="1" x14ac:dyDescent="0.3">
      <c r="B77" s="1071" t="s">
        <v>472</v>
      </c>
      <c r="C77" s="1072" t="s">
        <v>47</v>
      </c>
      <c r="D77" s="1073">
        <f t="shared" ref="D77" si="6">SUM(D67:D75)</f>
        <v>0</v>
      </c>
      <c r="E77" s="1074">
        <f>SUM(E67,E69,E71,E73,E75)</f>
        <v>0</v>
      </c>
      <c r="F77" s="1074">
        <f t="shared" ref="F77:P77" si="7">SUM(F67,F69,F71,F73,F75)</f>
        <v>0</v>
      </c>
      <c r="G77" s="1074">
        <f t="shared" si="7"/>
        <v>1</v>
      </c>
      <c r="H77" s="1074">
        <f t="shared" si="7"/>
        <v>0</v>
      </c>
      <c r="I77" s="1074">
        <f t="shared" si="7"/>
        <v>0</v>
      </c>
      <c r="J77" s="1074">
        <f t="shared" si="7"/>
        <v>0</v>
      </c>
      <c r="K77" s="1074">
        <f t="shared" si="7"/>
        <v>0</v>
      </c>
      <c r="L77" s="1074">
        <f t="shared" si="7"/>
        <v>0</v>
      </c>
      <c r="M77" s="1074">
        <f t="shared" si="7"/>
        <v>0</v>
      </c>
      <c r="N77" s="1074">
        <f t="shared" si="7"/>
        <v>0</v>
      </c>
      <c r="O77" s="1074">
        <f t="shared" si="7"/>
        <v>0</v>
      </c>
      <c r="P77" s="1074">
        <f t="shared" si="7"/>
        <v>0</v>
      </c>
      <c r="Q77" s="1075">
        <f>SUM(Q67,Q69,Q71,Q73,Q75)</f>
        <v>1</v>
      </c>
      <c r="R77" s="86"/>
      <c r="S77" s="86"/>
      <c r="T77" s="86"/>
      <c r="U77" s="456"/>
      <c r="V77" s="86"/>
      <c r="W77" s="86"/>
      <c r="X77" s="86"/>
      <c r="Y77" s="86"/>
    </row>
    <row r="78" spans="2:25" s="51" customFormat="1" ht="21" customHeight="1" thickTop="1" x14ac:dyDescent="0.25">
      <c r="B78" s="456"/>
      <c r="C78" s="844"/>
      <c r="D78" s="844"/>
      <c r="E78" s="79"/>
      <c r="F78" s="79"/>
      <c r="G78" s="79"/>
      <c r="H78" s="79"/>
      <c r="I78" s="79"/>
      <c r="J78" s="79"/>
      <c r="K78" s="79"/>
      <c r="L78" s="79"/>
      <c r="M78" s="79"/>
      <c r="N78" s="79"/>
      <c r="O78" s="79"/>
      <c r="P78" s="79"/>
      <c r="Q78" s="782"/>
      <c r="T78" s="86"/>
      <c r="U78" s="456"/>
      <c r="V78" s="86"/>
      <c r="W78" s="86"/>
      <c r="X78" s="86"/>
      <c r="Y78" s="86"/>
    </row>
    <row r="79" spans="2:25" s="51" customFormat="1" hidden="1" x14ac:dyDescent="0.25">
      <c r="B79" s="456"/>
      <c r="C79" s="844"/>
      <c r="D79" s="844"/>
      <c r="E79" s="79"/>
      <c r="F79" s="79"/>
      <c r="G79" s="79"/>
      <c r="H79" s="79"/>
      <c r="I79" s="79"/>
      <c r="J79" s="79"/>
      <c r="K79" s="79"/>
      <c r="L79" s="79"/>
      <c r="M79" s="79"/>
      <c r="N79" s="79"/>
      <c r="O79" s="79"/>
      <c r="P79" s="79"/>
      <c r="Q79" s="782"/>
      <c r="T79" s="86"/>
      <c r="U79" s="456"/>
      <c r="V79" s="86"/>
      <c r="W79" s="86"/>
      <c r="X79" s="86"/>
      <c r="Y79" s="86"/>
    </row>
    <row r="80" spans="2:25" s="51" customFormat="1" hidden="1" x14ac:dyDescent="0.25">
      <c r="B80" s="456"/>
      <c r="C80" s="951"/>
      <c r="D80" s="952" t="s">
        <v>310</v>
      </c>
      <c r="E80" s="953"/>
      <c r="F80" s="953"/>
      <c r="G80" s="953"/>
      <c r="H80" s="953"/>
      <c r="I80" s="953"/>
      <c r="J80" s="953"/>
      <c r="K80" s="953"/>
      <c r="L80" s="953"/>
      <c r="M80" s="953"/>
      <c r="N80" s="953"/>
      <c r="O80" s="953"/>
      <c r="P80" s="954"/>
      <c r="Q80" s="782"/>
      <c r="T80" s="86"/>
      <c r="U80" s="456"/>
      <c r="V80" s="86"/>
      <c r="W80" s="86"/>
      <c r="X80" s="86"/>
      <c r="Y80" s="86"/>
    </row>
    <row r="81" spans="2:25" s="51" customFormat="1" hidden="1" x14ac:dyDescent="0.25">
      <c r="B81" s="456"/>
      <c r="C81" s="948" t="s">
        <v>303</v>
      </c>
      <c r="D81" s="949" t="s">
        <v>305</v>
      </c>
      <c r="E81" s="950">
        <f>SAÍDAS!C7+SAÍDAS!E7+REBANHO!E63</f>
        <v>0</v>
      </c>
      <c r="F81" s="950">
        <f>SAÍDAS!F7+REBANHO!F63</f>
        <v>0</v>
      </c>
      <c r="G81" s="950">
        <f>SAÍDAS!G7+REBANHO!G63</f>
        <v>0</v>
      </c>
      <c r="H81" s="950">
        <f>SAÍDAS!H7+REBANHO!H63</f>
        <v>0</v>
      </c>
      <c r="I81" s="950">
        <f>SAÍDAS!I7+REBANHO!I63</f>
        <v>0</v>
      </c>
      <c r="J81" s="950">
        <f>SAÍDAS!J7+REBANHO!J63</f>
        <v>0</v>
      </c>
      <c r="K81" s="950">
        <f>SAÍDAS!K7+REBANHO!K63</f>
        <v>0</v>
      </c>
      <c r="L81" s="950">
        <f>SAÍDAS!L7+REBANHO!L63</f>
        <v>0</v>
      </c>
      <c r="M81" s="950">
        <f>SAÍDAS!M7+REBANHO!M63</f>
        <v>0</v>
      </c>
      <c r="N81" s="950">
        <f>SAÍDAS!N7+REBANHO!N63</f>
        <v>0</v>
      </c>
      <c r="O81" s="950">
        <f>SAÍDAS!O7+REBANHO!O63</f>
        <v>0</v>
      </c>
      <c r="P81" s="950">
        <f>SAÍDAS!P7+REBANHO!P63</f>
        <v>0</v>
      </c>
      <c r="Q81" s="782"/>
      <c r="T81" s="86"/>
      <c r="U81" s="456"/>
      <c r="V81" s="86"/>
      <c r="W81" s="86"/>
      <c r="X81" s="86"/>
      <c r="Y81" s="86"/>
    </row>
    <row r="82" spans="2:25" s="51" customFormat="1" hidden="1" x14ac:dyDescent="0.25">
      <c r="B82" s="841"/>
      <c r="C82" s="949"/>
      <c r="D82" s="949" t="s">
        <v>306</v>
      </c>
      <c r="E82" s="950">
        <f>E67+ENTRADAS!D8</f>
        <v>0</v>
      </c>
      <c r="F82" s="950">
        <f>F67+ENTRADAS!E8</f>
        <v>0</v>
      </c>
      <c r="G82" s="950">
        <f>G67+ENTRADAS!F8</f>
        <v>0</v>
      </c>
      <c r="H82" s="950">
        <f>H67+ENTRADAS!G8</f>
        <v>0</v>
      </c>
      <c r="I82" s="950">
        <f>I67+ENTRADAS!H8</f>
        <v>0</v>
      </c>
      <c r="J82" s="950">
        <f>J67+ENTRADAS!I8</f>
        <v>0</v>
      </c>
      <c r="K82" s="950">
        <f>K67+ENTRADAS!J8</f>
        <v>0</v>
      </c>
      <c r="L82" s="950">
        <f>L67+ENTRADAS!K8</f>
        <v>0</v>
      </c>
      <c r="M82" s="950">
        <f>M67+ENTRADAS!L8</f>
        <v>0</v>
      </c>
      <c r="N82" s="950">
        <f>N67+ENTRADAS!M8</f>
        <v>0</v>
      </c>
      <c r="O82" s="950">
        <f>O67+ENTRADAS!N8</f>
        <v>0</v>
      </c>
      <c r="P82" s="950">
        <f>P67+ENTRADAS!O8</f>
        <v>0</v>
      </c>
      <c r="Q82" s="782"/>
      <c r="T82" s="86"/>
      <c r="U82" s="86"/>
      <c r="V82" s="86"/>
      <c r="W82" s="86"/>
      <c r="X82" s="86"/>
      <c r="Y82" s="86"/>
    </row>
    <row r="83" spans="2:25" s="51" customFormat="1" hidden="1" x14ac:dyDescent="0.25">
      <c r="B83" s="841"/>
      <c r="C83" s="948" t="s">
        <v>304</v>
      </c>
      <c r="D83" s="949" t="s">
        <v>305</v>
      </c>
      <c r="E83" s="950">
        <f>SAÍDAS!C11+SAÍDAS!E11</f>
        <v>137</v>
      </c>
      <c r="F83" s="950">
        <f>SAÍDAS!F11</f>
        <v>0</v>
      </c>
      <c r="G83" s="950">
        <f>SAÍDAS!G11</f>
        <v>100</v>
      </c>
      <c r="H83" s="950">
        <f>SAÍDAS!H11</f>
        <v>0</v>
      </c>
      <c r="I83" s="950">
        <f>SAÍDAS!I11</f>
        <v>0</v>
      </c>
      <c r="J83" s="950">
        <f>SAÍDAS!J11</f>
        <v>0</v>
      </c>
      <c r="K83" s="950">
        <f>SAÍDAS!K11</f>
        <v>73</v>
      </c>
      <c r="L83" s="950">
        <f>SAÍDAS!L11</f>
        <v>31</v>
      </c>
      <c r="M83" s="950">
        <f>SAÍDAS!M11</f>
        <v>0</v>
      </c>
      <c r="N83" s="950">
        <f>SAÍDAS!N11</f>
        <v>0</v>
      </c>
      <c r="O83" s="950">
        <f>SAÍDAS!O11</f>
        <v>0</v>
      </c>
      <c r="P83" s="950">
        <f>SAÍDAS!P11</f>
        <v>0</v>
      </c>
      <c r="Q83" s="782"/>
      <c r="T83" s="86"/>
      <c r="U83" s="86"/>
      <c r="V83" s="86"/>
      <c r="W83" s="86"/>
      <c r="X83" s="86"/>
      <c r="Y83" s="86"/>
    </row>
    <row r="84" spans="2:25" s="51" customFormat="1" hidden="1" x14ac:dyDescent="0.25">
      <c r="B84" s="841"/>
      <c r="C84" s="949"/>
      <c r="D84" s="949" t="s">
        <v>306</v>
      </c>
      <c r="E84" s="950">
        <f>E69+ENTRADAS!D12</f>
        <v>0</v>
      </c>
      <c r="F84" s="950">
        <f>F69+ENTRADAS!E12</f>
        <v>0</v>
      </c>
      <c r="G84" s="950">
        <f>G69+ENTRADAS!F12</f>
        <v>1</v>
      </c>
      <c r="H84" s="950">
        <f>H69+ENTRADAS!G12</f>
        <v>1</v>
      </c>
      <c r="I84" s="950">
        <f>I69+ENTRADAS!H12</f>
        <v>0</v>
      </c>
      <c r="J84" s="950">
        <f>J69+ENTRADAS!I12</f>
        <v>0</v>
      </c>
      <c r="K84" s="950">
        <f>K69+ENTRADAS!J12</f>
        <v>0</v>
      </c>
      <c r="L84" s="950">
        <f>L69+ENTRADAS!K12</f>
        <v>0</v>
      </c>
      <c r="M84" s="950">
        <f>M69+ENTRADAS!L12</f>
        <v>0</v>
      </c>
      <c r="N84" s="950">
        <f>N69+ENTRADAS!M12</f>
        <v>0</v>
      </c>
      <c r="O84" s="950">
        <f>O69+ENTRADAS!N12</f>
        <v>0</v>
      </c>
      <c r="P84" s="950">
        <f>P69+ENTRADAS!O12</f>
        <v>0</v>
      </c>
      <c r="Q84" s="782"/>
      <c r="T84" s="86"/>
      <c r="U84" s="86"/>
      <c r="V84" s="86"/>
      <c r="W84" s="86"/>
      <c r="X84" s="86"/>
      <c r="Y84" s="86"/>
    </row>
    <row r="85" spans="2:25" s="51" customFormat="1" hidden="1" x14ac:dyDescent="0.25">
      <c r="B85" s="841"/>
      <c r="C85" s="948" t="s">
        <v>307</v>
      </c>
      <c r="D85" s="949" t="s">
        <v>305</v>
      </c>
      <c r="E85" s="950">
        <f>SAÍDAS!C15+SAÍDAS!E15</f>
        <v>0</v>
      </c>
      <c r="F85" s="950">
        <f>SAÍDAS!F15</f>
        <v>0</v>
      </c>
      <c r="G85" s="950">
        <f>SAÍDAS!G15</f>
        <v>0</v>
      </c>
      <c r="H85" s="950">
        <f>SAÍDAS!H15</f>
        <v>0</v>
      </c>
      <c r="I85" s="950">
        <f>SAÍDAS!I15</f>
        <v>0</v>
      </c>
      <c r="J85" s="950">
        <f>SAÍDAS!J15</f>
        <v>0</v>
      </c>
      <c r="K85" s="950">
        <f>SAÍDAS!K15</f>
        <v>0</v>
      </c>
      <c r="L85" s="950">
        <f>SAÍDAS!L15</f>
        <v>0</v>
      </c>
      <c r="M85" s="950">
        <f>SAÍDAS!M15</f>
        <v>0</v>
      </c>
      <c r="N85" s="950">
        <f>SAÍDAS!N15</f>
        <v>0</v>
      </c>
      <c r="O85" s="950">
        <f>SAÍDAS!O15</f>
        <v>0</v>
      </c>
      <c r="P85" s="950">
        <f>SAÍDAS!P15</f>
        <v>0</v>
      </c>
      <c r="Q85" s="782"/>
      <c r="T85" s="86"/>
      <c r="U85" s="86"/>
      <c r="V85" s="86"/>
      <c r="W85" s="86"/>
      <c r="X85" s="86"/>
      <c r="Y85" s="86"/>
    </row>
    <row r="86" spans="2:25" s="51" customFormat="1" hidden="1" x14ac:dyDescent="0.25">
      <c r="B86" s="841"/>
      <c r="C86" s="948"/>
      <c r="D86" s="949" t="s">
        <v>306</v>
      </c>
      <c r="E86" s="950">
        <f>E71+ENTRADAS!D16++ENTRADAS!D31</f>
        <v>0</v>
      </c>
      <c r="F86" s="950">
        <f>F71+ENTRADAS!E16++ENTRADAS!E31</f>
        <v>0</v>
      </c>
      <c r="G86" s="950">
        <f>G71+ENTRADAS!F16++ENTRADAS!F31</f>
        <v>0</v>
      </c>
      <c r="H86" s="950">
        <f>H71+ENTRADAS!G16++ENTRADAS!G31</f>
        <v>0</v>
      </c>
      <c r="I86" s="950">
        <f>I71+ENTRADAS!H16++ENTRADAS!H31</f>
        <v>0</v>
      </c>
      <c r="J86" s="950">
        <f>J71+ENTRADAS!I16++ENTRADAS!I31</f>
        <v>0</v>
      </c>
      <c r="K86" s="950">
        <f>K71+ENTRADAS!J16++ENTRADAS!J31</f>
        <v>111</v>
      </c>
      <c r="L86" s="950">
        <f>L71+ENTRADAS!K16++ENTRADAS!K31</f>
        <v>0</v>
      </c>
      <c r="M86" s="950">
        <f>M71+ENTRADAS!L16++ENTRADAS!L31</f>
        <v>0</v>
      </c>
      <c r="N86" s="950">
        <f>N71+ENTRADAS!M16++ENTRADAS!M31</f>
        <v>0</v>
      </c>
      <c r="O86" s="950">
        <f>O71+ENTRADAS!N16++ENTRADAS!N31</f>
        <v>0</v>
      </c>
      <c r="P86" s="950">
        <f>P71+ENTRADAS!O16++ENTRADAS!O31</f>
        <v>0</v>
      </c>
      <c r="Q86" s="782"/>
      <c r="T86" s="86"/>
      <c r="U86" s="86"/>
      <c r="V86" s="86"/>
      <c r="W86" s="86"/>
      <c r="X86" s="86"/>
      <c r="Y86" s="86"/>
    </row>
    <row r="87" spans="2:25" s="51" customFormat="1" hidden="1" x14ac:dyDescent="0.25">
      <c r="B87" s="841"/>
      <c r="C87" s="948" t="s">
        <v>308</v>
      </c>
      <c r="D87" s="949" t="s">
        <v>305</v>
      </c>
      <c r="E87" s="950">
        <f>SAÍDAS!C23+SAÍDAS!C19+SAÍDAS!E19+SAÍDAS!E23</f>
        <v>1</v>
      </c>
      <c r="F87" s="950">
        <f>SAÍDAS!F19+SAÍDAS!F23</f>
        <v>0</v>
      </c>
      <c r="G87" s="950">
        <f>SAÍDAS!G19+SAÍDAS!G23</f>
        <v>0</v>
      </c>
      <c r="H87" s="950">
        <f>SAÍDAS!H19+SAÍDAS!H23</f>
        <v>0</v>
      </c>
      <c r="I87" s="950">
        <f>SAÍDAS!I19+SAÍDAS!I23</f>
        <v>0</v>
      </c>
      <c r="J87" s="950">
        <f>SAÍDAS!J19+SAÍDAS!J23</f>
        <v>0</v>
      </c>
      <c r="K87" s="950">
        <f>SAÍDAS!K19+SAÍDAS!K23</f>
        <v>0</v>
      </c>
      <c r="L87" s="950">
        <f>SAÍDAS!L19+SAÍDAS!L23</f>
        <v>0</v>
      </c>
      <c r="M87" s="950">
        <f>SAÍDAS!M19+SAÍDAS!M23</f>
        <v>0</v>
      </c>
      <c r="N87" s="950">
        <f>SAÍDAS!N19+SAÍDAS!N23</f>
        <v>0</v>
      </c>
      <c r="O87" s="950">
        <f>SAÍDAS!O19+SAÍDAS!O23</f>
        <v>0</v>
      </c>
      <c r="P87" s="950">
        <f>SAÍDAS!P19+SAÍDAS!P23</f>
        <v>0</v>
      </c>
      <c r="Q87" s="782"/>
      <c r="T87" s="86"/>
      <c r="U87" s="86"/>
      <c r="V87" s="86"/>
      <c r="W87" s="86"/>
      <c r="X87" s="86"/>
      <c r="Y87" s="86"/>
    </row>
    <row r="88" spans="2:25" s="51" customFormat="1" hidden="1" x14ac:dyDescent="0.25">
      <c r="B88" s="456"/>
      <c r="C88" s="948"/>
      <c r="D88" s="949" t="s">
        <v>306</v>
      </c>
      <c r="E88" s="950">
        <f>E73+E75+ENTRADAS!D20+ENTRADAS!D24+ENTRADAS!D35+ENTRADAS!D39</f>
        <v>0</v>
      </c>
      <c r="F88" s="950">
        <f>F73+F75+ENTRADAS!E20+ENTRADAS!E24+ENTRADAS!E35+ENTRADAS!E39</f>
        <v>0</v>
      </c>
      <c r="G88" s="950">
        <f>G73+G75+ENTRADAS!F20+ENTRADAS!F24+ENTRADAS!F35+ENTRADAS!F39</f>
        <v>0</v>
      </c>
      <c r="H88" s="950">
        <f>H73+H75+ENTRADAS!G20+ENTRADAS!G24+ENTRADAS!G35+ENTRADAS!G39</f>
        <v>0</v>
      </c>
      <c r="I88" s="950">
        <f>I73+I75+ENTRADAS!H20+ENTRADAS!H24+ENTRADAS!H35+ENTRADAS!H39</f>
        <v>0</v>
      </c>
      <c r="J88" s="950">
        <f>J73+J75+ENTRADAS!I20+ENTRADAS!I24+ENTRADAS!I35+ENTRADAS!I39</f>
        <v>0</v>
      </c>
      <c r="K88" s="950">
        <f>K73+K75+ENTRADAS!J20+ENTRADAS!J24+ENTRADAS!J35+ENTRADAS!J39</f>
        <v>0</v>
      </c>
      <c r="L88" s="950">
        <f>L73+L75+ENTRADAS!K20+ENTRADAS!K24+ENTRADAS!K35+ENTRADAS!K39</f>
        <v>0</v>
      </c>
      <c r="M88" s="950">
        <f>M73+M75+ENTRADAS!L20+ENTRADAS!L24+ENTRADAS!L35+ENTRADAS!L39</f>
        <v>0</v>
      </c>
      <c r="N88" s="950">
        <f>N73+N75+ENTRADAS!M20+ENTRADAS!M24+ENTRADAS!M35+ENTRADAS!M39</f>
        <v>0</v>
      </c>
      <c r="O88" s="950">
        <f>O73+O75+ENTRADAS!N20+ENTRADAS!N24+ENTRADAS!N35+ENTRADAS!N39</f>
        <v>0</v>
      </c>
      <c r="P88" s="950">
        <f>P73+P75+ENTRADAS!O20+ENTRADAS!O24+ENTRADAS!O35+ENTRADAS!O39</f>
        <v>0</v>
      </c>
      <c r="Q88" s="782"/>
      <c r="T88" s="86"/>
      <c r="U88" s="86"/>
      <c r="V88" s="86"/>
      <c r="W88" s="86"/>
      <c r="X88" s="86"/>
      <c r="Y88" s="86"/>
    </row>
    <row r="89" spans="2:25" s="51" customFormat="1" hidden="1" x14ac:dyDescent="0.25">
      <c r="B89" s="456"/>
      <c r="C89" s="951"/>
      <c r="D89" s="952"/>
      <c r="E89" s="950">
        <f>E81+E83+E85+E87-E82-E84-E86-E88</f>
        <v>138</v>
      </c>
      <c r="F89" s="950">
        <f t="shared" ref="F89:P89" si="8">F81+F83+F85+F87-F82-F84-F86-F88</f>
        <v>0</v>
      </c>
      <c r="G89" s="950">
        <f t="shared" si="8"/>
        <v>99</v>
      </c>
      <c r="H89" s="950">
        <f t="shared" si="8"/>
        <v>-1</v>
      </c>
      <c r="I89" s="950">
        <f t="shared" si="8"/>
        <v>0</v>
      </c>
      <c r="J89" s="950">
        <f t="shared" si="8"/>
        <v>0</v>
      </c>
      <c r="K89" s="950">
        <f t="shared" si="8"/>
        <v>-38</v>
      </c>
      <c r="L89" s="950">
        <f t="shared" si="8"/>
        <v>31</v>
      </c>
      <c r="M89" s="950">
        <f t="shared" si="8"/>
        <v>0</v>
      </c>
      <c r="N89" s="950">
        <f t="shared" si="8"/>
        <v>0</v>
      </c>
      <c r="O89" s="950">
        <f t="shared" si="8"/>
        <v>0</v>
      </c>
      <c r="P89" s="950">
        <f t="shared" si="8"/>
        <v>0</v>
      </c>
      <c r="Q89" s="782"/>
      <c r="T89" s="86"/>
      <c r="U89" s="86"/>
      <c r="V89" s="86"/>
      <c r="W89" s="86"/>
      <c r="X89" s="86"/>
      <c r="Y89" s="86"/>
    </row>
    <row r="90" spans="2:25" s="51" customFormat="1" hidden="1" x14ac:dyDescent="0.25">
      <c r="B90" s="456"/>
      <c r="C90" s="955"/>
      <c r="D90" s="956"/>
      <c r="E90" s="950"/>
      <c r="F90" s="950"/>
      <c r="G90" s="950"/>
      <c r="H90" s="950"/>
      <c r="I90" s="950"/>
      <c r="J90" s="950"/>
      <c r="K90" s="950"/>
      <c r="L90" s="950"/>
      <c r="M90" s="950"/>
      <c r="N90" s="950"/>
      <c r="O90" s="950"/>
      <c r="P90" s="950"/>
      <c r="Q90" s="782"/>
      <c r="T90" s="86"/>
      <c r="U90" s="86"/>
      <c r="V90" s="86"/>
      <c r="W90" s="86"/>
      <c r="X90" s="86"/>
      <c r="Y90" s="86"/>
    </row>
    <row r="91" spans="2:25" s="51" customFormat="1" hidden="1" x14ac:dyDescent="0.25">
      <c r="B91" s="456"/>
      <c r="C91" s="957"/>
      <c r="D91" s="958" t="s">
        <v>309</v>
      </c>
      <c r="E91" s="950">
        <f>E89</f>
        <v>138</v>
      </c>
      <c r="F91" s="950">
        <f t="shared" ref="F91:P91" si="9">E91+F89</f>
        <v>138</v>
      </c>
      <c r="G91" s="950">
        <f t="shared" si="9"/>
        <v>237</v>
      </c>
      <c r="H91" s="950">
        <f t="shared" si="9"/>
        <v>236</v>
      </c>
      <c r="I91" s="950">
        <f t="shared" si="9"/>
        <v>236</v>
      </c>
      <c r="J91" s="950">
        <f t="shared" si="9"/>
        <v>236</v>
      </c>
      <c r="K91" s="950">
        <f t="shared" si="9"/>
        <v>198</v>
      </c>
      <c r="L91" s="950">
        <f t="shared" si="9"/>
        <v>229</v>
      </c>
      <c r="M91" s="950">
        <f t="shared" si="9"/>
        <v>229</v>
      </c>
      <c r="N91" s="950">
        <f t="shared" si="9"/>
        <v>229</v>
      </c>
      <c r="O91" s="950">
        <f t="shared" si="9"/>
        <v>229</v>
      </c>
      <c r="P91" s="950">
        <f t="shared" si="9"/>
        <v>229</v>
      </c>
      <c r="Q91" s="782"/>
      <c r="T91" s="86"/>
      <c r="U91" s="86"/>
      <c r="V91" s="86"/>
      <c r="W91" s="86"/>
      <c r="X91" s="86"/>
      <c r="Y91" s="86"/>
    </row>
    <row r="92" spans="2:25" s="51" customFormat="1" hidden="1" x14ac:dyDescent="0.25">
      <c r="B92" s="456"/>
      <c r="C92" s="844"/>
      <c r="D92" s="844"/>
      <c r="E92" s="79"/>
      <c r="F92" s="79"/>
      <c r="G92" s="79"/>
      <c r="H92" s="79"/>
      <c r="I92" s="79"/>
      <c r="J92" s="79"/>
      <c r="K92" s="79"/>
      <c r="L92" s="79"/>
      <c r="M92" s="79"/>
      <c r="N92" s="79"/>
      <c r="O92" s="79"/>
      <c r="P92" s="79"/>
      <c r="Q92" s="782"/>
      <c r="T92" s="86"/>
      <c r="U92" s="86"/>
      <c r="V92" s="86"/>
      <c r="W92" s="86"/>
      <c r="X92" s="86"/>
      <c r="Y92" s="86"/>
    </row>
    <row r="93" spans="2:25" hidden="1" x14ac:dyDescent="0.25">
      <c r="B93" s="894"/>
      <c r="C93" s="895"/>
      <c r="D93" s="895"/>
      <c r="E93" s="896"/>
      <c r="F93" s="896"/>
      <c r="G93" s="896"/>
      <c r="H93" s="896"/>
      <c r="I93" s="896"/>
      <c r="J93" s="896"/>
      <c r="K93" s="896"/>
      <c r="L93" s="896"/>
      <c r="M93" s="896"/>
      <c r="N93" s="896"/>
      <c r="O93" s="896"/>
      <c r="P93" s="896"/>
      <c r="Q93" s="965" t="s">
        <v>473</v>
      </c>
      <c r="R93" s="960" t="s">
        <v>130</v>
      </c>
    </row>
    <row r="94" spans="2:25" hidden="1" x14ac:dyDescent="0.25">
      <c r="B94" s="894"/>
      <c r="C94" s="961" t="s">
        <v>249</v>
      </c>
      <c r="D94" s="959" t="s">
        <v>303</v>
      </c>
      <c r="E94" s="960">
        <f t="shared" ref="E94:P94" si="10">((E39*E38)+(E41*E40))/540</f>
        <v>0</v>
      </c>
      <c r="F94" s="960">
        <f t="shared" si="10"/>
        <v>0</v>
      </c>
      <c r="G94" s="960">
        <f t="shared" si="10"/>
        <v>0</v>
      </c>
      <c r="H94" s="960">
        <f t="shared" si="10"/>
        <v>0</v>
      </c>
      <c r="I94" s="960">
        <f t="shared" si="10"/>
        <v>0</v>
      </c>
      <c r="J94" s="960">
        <f t="shared" si="10"/>
        <v>0</v>
      </c>
      <c r="K94" s="960">
        <f t="shared" si="10"/>
        <v>0</v>
      </c>
      <c r="L94" s="960">
        <f t="shared" si="10"/>
        <v>0</v>
      </c>
      <c r="M94" s="960">
        <f t="shared" si="10"/>
        <v>0</v>
      </c>
      <c r="N94" s="960">
        <f t="shared" si="10"/>
        <v>0</v>
      </c>
      <c r="O94" s="960">
        <f t="shared" si="10"/>
        <v>0</v>
      </c>
      <c r="P94" s="964">
        <f t="shared" si="10"/>
        <v>0</v>
      </c>
      <c r="Q94" s="965">
        <f>AVERAGE(E94:P94)</f>
        <v>0</v>
      </c>
      <c r="R94" s="960">
        <f>IF($D$98=0,0,(Q94/$D$98)*100)</f>
        <v>0</v>
      </c>
    </row>
    <row r="95" spans="2:25" hidden="1" x14ac:dyDescent="0.25">
      <c r="B95" s="894"/>
      <c r="C95" s="962"/>
      <c r="D95" s="959" t="s">
        <v>304</v>
      </c>
      <c r="E95" s="960">
        <f t="shared" ref="E95:P95" si="11">((E44*E43)+(E46*E45))/540</f>
        <v>92.601851851851848</v>
      </c>
      <c r="F95" s="960">
        <f t="shared" si="11"/>
        <v>92.601851851851848</v>
      </c>
      <c r="G95" s="960">
        <f t="shared" si="11"/>
        <v>127.17777777777778</v>
      </c>
      <c r="H95" s="960">
        <f t="shared" si="11"/>
        <v>59.703703703703702</v>
      </c>
      <c r="I95" s="960">
        <f t="shared" si="11"/>
        <v>45.075925925925922</v>
      </c>
      <c r="J95" s="960">
        <f t="shared" si="11"/>
        <v>45.075925925925922</v>
      </c>
      <c r="K95" s="960">
        <f t="shared" si="11"/>
        <v>81.2</v>
      </c>
      <c r="L95" s="960">
        <f t="shared" si="11"/>
        <v>91.111111111111114</v>
      </c>
      <c r="M95" s="960">
        <f t="shared" si="11"/>
        <v>0</v>
      </c>
      <c r="N95" s="960">
        <f t="shared" si="11"/>
        <v>0</v>
      </c>
      <c r="O95" s="960">
        <f t="shared" si="11"/>
        <v>0</v>
      </c>
      <c r="P95" s="964">
        <f t="shared" si="11"/>
        <v>0</v>
      </c>
      <c r="Q95" s="965">
        <f t="shared" ref="Q95:Q97" si="12">AVERAGE(E95:P95)</f>
        <v>52.879012345679008</v>
      </c>
      <c r="R95" s="960">
        <f t="shared" ref="R95:R97" si="13">IF($D$98=0,0,(Q95/$D$98)*100)</f>
        <v>63.555680032941162</v>
      </c>
    </row>
    <row r="96" spans="2:25" hidden="1" x14ac:dyDescent="0.25">
      <c r="B96" s="894"/>
      <c r="C96" s="962"/>
      <c r="D96" s="959" t="s">
        <v>307</v>
      </c>
      <c r="E96" s="960">
        <f t="shared" ref="E96:P96" si="14">((E49*E48)+(E51*E50))/540</f>
        <v>0</v>
      </c>
      <c r="F96" s="960">
        <f t="shared" si="14"/>
        <v>0</v>
      </c>
      <c r="G96" s="960">
        <f t="shared" si="14"/>
        <v>0</v>
      </c>
      <c r="H96" s="960">
        <f t="shared" si="14"/>
        <v>92.705555555555549</v>
      </c>
      <c r="I96" s="960">
        <f t="shared" si="14"/>
        <v>111.91481481481482</v>
      </c>
      <c r="J96" s="960">
        <f t="shared" si="14"/>
        <v>111.91481481481482</v>
      </c>
      <c r="K96" s="960">
        <f t="shared" si="14"/>
        <v>19.209259259259259</v>
      </c>
      <c r="L96" s="960">
        <f t="shared" si="14"/>
        <v>19.209259259259259</v>
      </c>
      <c r="M96" s="960">
        <f t="shared" si="14"/>
        <v>0</v>
      </c>
      <c r="N96" s="960">
        <f t="shared" si="14"/>
        <v>0</v>
      </c>
      <c r="O96" s="960">
        <f t="shared" si="14"/>
        <v>0</v>
      </c>
      <c r="P96" s="964">
        <f t="shared" si="14"/>
        <v>0</v>
      </c>
      <c r="Q96" s="965">
        <f t="shared" si="12"/>
        <v>29.579475308641978</v>
      </c>
      <c r="R96" s="960">
        <f t="shared" si="13"/>
        <v>35.551792381613048</v>
      </c>
    </row>
    <row r="97" spans="2:18" hidden="1" x14ac:dyDescent="0.25">
      <c r="B97" s="894"/>
      <c r="C97" s="963"/>
      <c r="D97" s="959" t="s">
        <v>308</v>
      </c>
      <c r="E97" s="960">
        <f t="shared" ref="E97:P97" si="15">((E54*E53)+(E56*E55))/540</f>
        <v>1.1111111111111112</v>
      </c>
      <c r="F97" s="960">
        <f t="shared" si="15"/>
        <v>1.1111111111111112</v>
      </c>
      <c r="G97" s="960">
        <f t="shared" si="15"/>
        <v>1.1111111111111112</v>
      </c>
      <c r="H97" s="960">
        <f t="shared" si="15"/>
        <v>1.1111111111111112</v>
      </c>
      <c r="I97" s="960">
        <f t="shared" si="15"/>
        <v>1.1111111111111112</v>
      </c>
      <c r="J97" s="960">
        <f t="shared" si="15"/>
        <v>1.1111111111111112</v>
      </c>
      <c r="K97" s="960">
        <f t="shared" si="15"/>
        <v>1.1222222222222222</v>
      </c>
      <c r="L97" s="960">
        <f t="shared" si="15"/>
        <v>1.1222222222222222</v>
      </c>
      <c r="M97" s="960">
        <f t="shared" si="15"/>
        <v>0</v>
      </c>
      <c r="N97" s="960">
        <f t="shared" si="15"/>
        <v>0</v>
      </c>
      <c r="O97" s="960">
        <f t="shared" si="15"/>
        <v>0</v>
      </c>
      <c r="P97" s="964">
        <f t="shared" si="15"/>
        <v>0</v>
      </c>
      <c r="Q97" s="965">
        <f t="shared" si="12"/>
        <v>0.74259259259259247</v>
      </c>
      <c r="R97" s="960">
        <f t="shared" si="13"/>
        <v>0.89252758544579069</v>
      </c>
    </row>
    <row r="98" spans="2:18" hidden="1" x14ac:dyDescent="0.25">
      <c r="B98" s="894"/>
      <c r="C98" s="966" t="s">
        <v>134</v>
      </c>
      <c r="D98" s="965">
        <f>SUM(Q94:Q97)</f>
        <v>83.201080246913577</v>
      </c>
      <c r="E98" s="967">
        <f t="shared" ref="E98:P98" si="16">SUM(E94:E97)</f>
        <v>93.712962962962962</v>
      </c>
      <c r="F98" s="967">
        <f t="shared" si="16"/>
        <v>93.712962962962962</v>
      </c>
      <c r="G98" s="967">
        <f t="shared" si="16"/>
        <v>128.28888888888889</v>
      </c>
      <c r="H98" s="967">
        <f t="shared" si="16"/>
        <v>153.52037037037036</v>
      </c>
      <c r="I98" s="967">
        <f t="shared" si="16"/>
        <v>158.10185185185185</v>
      </c>
      <c r="J98" s="967">
        <f t="shared" si="16"/>
        <v>158.10185185185185</v>
      </c>
      <c r="K98" s="967">
        <f t="shared" si="16"/>
        <v>101.53148148148148</v>
      </c>
      <c r="L98" s="967">
        <f t="shared" si="16"/>
        <v>111.44259259259259</v>
      </c>
      <c r="M98" s="967">
        <f t="shared" si="16"/>
        <v>0</v>
      </c>
      <c r="N98" s="967">
        <f t="shared" si="16"/>
        <v>0</v>
      </c>
      <c r="O98" s="967">
        <f t="shared" si="16"/>
        <v>0</v>
      </c>
      <c r="P98" s="967">
        <f t="shared" si="16"/>
        <v>0</v>
      </c>
    </row>
    <row r="99" spans="2:18" hidden="1" x14ac:dyDescent="0.25">
      <c r="B99" s="894"/>
      <c r="C99" s="895"/>
      <c r="D99" s="895"/>
      <c r="E99" s="896"/>
      <c r="F99" s="896"/>
      <c r="G99" s="896"/>
      <c r="H99" s="896"/>
      <c r="I99" s="896"/>
      <c r="J99" s="896"/>
      <c r="K99" s="896"/>
      <c r="L99" s="896"/>
      <c r="M99" s="896"/>
      <c r="N99" s="896"/>
      <c r="O99" s="896"/>
      <c r="P99" s="896"/>
      <c r="Q99" s="897"/>
    </row>
    <row r="100" spans="2:18" hidden="1" x14ac:dyDescent="0.25">
      <c r="B100" s="894"/>
      <c r="C100" s="895"/>
      <c r="D100" s="895"/>
      <c r="E100" s="896"/>
      <c r="F100" s="896"/>
      <c r="G100" s="896"/>
      <c r="H100" s="896"/>
      <c r="I100" s="896"/>
      <c r="J100" s="896"/>
      <c r="K100" s="896"/>
      <c r="L100" s="896"/>
      <c r="M100" s="896"/>
      <c r="N100" s="896"/>
      <c r="O100" s="896"/>
      <c r="P100" s="896"/>
      <c r="Q100" s="965" t="s">
        <v>473</v>
      </c>
      <c r="R100" s="960" t="s">
        <v>130</v>
      </c>
    </row>
    <row r="101" spans="2:18" hidden="1" x14ac:dyDescent="0.25">
      <c r="B101" s="894"/>
      <c r="C101" s="961" t="s">
        <v>464</v>
      </c>
      <c r="D101" s="959" t="s">
        <v>303</v>
      </c>
      <c r="E101" s="1018">
        <f t="shared" ref="E101:P101" si="17">((E39*E38)+(E41*E40))/14.689</f>
        <v>0</v>
      </c>
      <c r="F101" s="1018">
        <f t="shared" si="17"/>
        <v>0</v>
      </c>
      <c r="G101" s="1018">
        <f t="shared" si="17"/>
        <v>0</v>
      </c>
      <c r="H101" s="1018">
        <f t="shared" si="17"/>
        <v>0</v>
      </c>
      <c r="I101" s="1018">
        <f t="shared" si="17"/>
        <v>0</v>
      </c>
      <c r="J101" s="1018">
        <f t="shared" si="17"/>
        <v>0</v>
      </c>
      <c r="K101" s="1018">
        <f t="shared" si="17"/>
        <v>0</v>
      </c>
      <c r="L101" s="1018">
        <f t="shared" si="17"/>
        <v>0</v>
      </c>
      <c r="M101" s="1018">
        <f t="shared" si="17"/>
        <v>0</v>
      </c>
      <c r="N101" s="1018">
        <f t="shared" si="17"/>
        <v>0</v>
      </c>
      <c r="O101" s="1018">
        <f t="shared" si="17"/>
        <v>0</v>
      </c>
      <c r="P101" s="1018">
        <f t="shared" si="17"/>
        <v>0</v>
      </c>
      <c r="Q101" s="965">
        <f>AVERAGE(E101:P101)</f>
        <v>0</v>
      </c>
      <c r="R101" s="960">
        <f>IF($D$105=0,0,(Q101/$D$105)*100)</f>
        <v>0</v>
      </c>
    </row>
    <row r="102" spans="2:18" hidden="1" x14ac:dyDescent="0.25">
      <c r="C102" s="962"/>
      <c r="D102" s="959" t="s">
        <v>304</v>
      </c>
      <c r="E102" s="1018">
        <f t="shared" ref="E102:P102" si="18">((E44*E43)+(E46*E45))/14.689</f>
        <v>3404.2480767921575</v>
      </c>
      <c r="F102" s="1018">
        <f t="shared" si="18"/>
        <v>3404.2480767921575</v>
      </c>
      <c r="G102" s="1018">
        <f t="shared" si="18"/>
        <v>4675.3352849070734</v>
      </c>
      <c r="H102" s="1018">
        <f t="shared" si="18"/>
        <v>2194.8396759479883</v>
      </c>
      <c r="I102" s="1018">
        <f t="shared" si="18"/>
        <v>1657.0903397099871</v>
      </c>
      <c r="J102" s="1018">
        <f t="shared" si="18"/>
        <v>1657.0903397099871</v>
      </c>
      <c r="K102" s="1018">
        <f t="shared" si="18"/>
        <v>2985.0908843352167</v>
      </c>
      <c r="L102" s="1018">
        <f t="shared" si="18"/>
        <v>3349.4451630471781</v>
      </c>
      <c r="M102" s="1018">
        <f t="shared" si="18"/>
        <v>0</v>
      </c>
      <c r="N102" s="1018">
        <f t="shared" si="18"/>
        <v>0</v>
      </c>
      <c r="O102" s="1018">
        <f t="shared" si="18"/>
        <v>0</v>
      </c>
      <c r="P102" s="1018">
        <f t="shared" si="18"/>
        <v>0</v>
      </c>
      <c r="Q102" s="965">
        <f t="shared" ref="Q102:Q104" si="19">AVERAGE(E102:P102)</f>
        <v>1943.9489867701452</v>
      </c>
      <c r="R102" s="960">
        <f t="shared" ref="R102:R104" si="20">IF($D$105=0,0,(Q102/$D$105)*100)</f>
        <v>63.555680032941176</v>
      </c>
    </row>
    <row r="103" spans="2:18" hidden="1" x14ac:dyDescent="0.25">
      <c r="C103" s="962"/>
      <c r="D103" s="959" t="s">
        <v>307</v>
      </c>
      <c r="E103" s="1018">
        <f t="shared" ref="E103:P103" si="21">((E49*E48)+(E51*E50))/14.689</f>
        <v>0</v>
      </c>
      <c r="F103" s="1018">
        <f t="shared" si="21"/>
        <v>0</v>
      </c>
      <c r="G103" s="1018">
        <f t="shared" si="21"/>
        <v>0</v>
      </c>
      <c r="H103" s="1018">
        <f t="shared" si="21"/>
        <v>3408.0604534005038</v>
      </c>
      <c r="I103" s="1018">
        <f t="shared" si="21"/>
        <v>4114.2351419429506</v>
      </c>
      <c r="J103" s="1018">
        <f t="shared" si="21"/>
        <v>4114.2351419429506</v>
      </c>
      <c r="K103" s="1018">
        <f t="shared" si="21"/>
        <v>706.17468854244669</v>
      </c>
      <c r="L103" s="1018">
        <f t="shared" si="21"/>
        <v>706.17468854244669</v>
      </c>
      <c r="M103" s="1018">
        <f t="shared" si="21"/>
        <v>0</v>
      </c>
      <c r="N103" s="1018">
        <f t="shared" si="21"/>
        <v>0</v>
      </c>
      <c r="O103" s="1018">
        <f t="shared" si="21"/>
        <v>0</v>
      </c>
      <c r="P103" s="1018">
        <f t="shared" si="21"/>
        <v>0</v>
      </c>
      <c r="Q103" s="965">
        <f t="shared" si="19"/>
        <v>1087.4066761976082</v>
      </c>
      <c r="R103" s="960">
        <f t="shared" si="20"/>
        <v>35.551792381613048</v>
      </c>
    </row>
    <row r="104" spans="2:18" hidden="1" x14ac:dyDescent="0.25">
      <c r="C104" s="963"/>
      <c r="D104" s="959" t="s">
        <v>308</v>
      </c>
      <c r="E104" s="1018">
        <f t="shared" ref="E104:P104" si="22">((E54*E53)+(E56*E55))/14.689</f>
        <v>40.846892232282663</v>
      </c>
      <c r="F104" s="1018">
        <f t="shared" si="22"/>
        <v>40.846892232282663</v>
      </c>
      <c r="G104" s="1018">
        <f t="shared" si="22"/>
        <v>40.846892232282663</v>
      </c>
      <c r="H104" s="1018">
        <f t="shared" si="22"/>
        <v>40.846892232282663</v>
      </c>
      <c r="I104" s="1018">
        <f t="shared" si="22"/>
        <v>40.846892232282663</v>
      </c>
      <c r="J104" s="1018">
        <f t="shared" si="22"/>
        <v>40.846892232282663</v>
      </c>
      <c r="K104" s="1018">
        <f t="shared" si="22"/>
        <v>41.255361154605488</v>
      </c>
      <c r="L104" s="1018">
        <f t="shared" si="22"/>
        <v>41.255361154605488</v>
      </c>
      <c r="M104" s="1018">
        <f t="shared" si="22"/>
        <v>0</v>
      </c>
      <c r="N104" s="1018">
        <f t="shared" si="22"/>
        <v>0</v>
      </c>
      <c r="O104" s="1018">
        <f t="shared" si="22"/>
        <v>0</v>
      </c>
      <c r="P104" s="1018">
        <f t="shared" si="22"/>
        <v>0</v>
      </c>
      <c r="Q104" s="965">
        <f t="shared" si="19"/>
        <v>27.299339641908915</v>
      </c>
      <c r="R104" s="960">
        <f t="shared" si="20"/>
        <v>0.89252758544579103</v>
      </c>
    </row>
    <row r="105" spans="2:18" hidden="1" x14ac:dyDescent="0.25">
      <c r="C105" s="966" t="s">
        <v>134</v>
      </c>
      <c r="D105" s="965">
        <f>SUM(Q101:Q104)</f>
        <v>3058.655002609662</v>
      </c>
      <c r="E105" s="967">
        <f t="shared" ref="E105" si="23">SUM(E101:E104)</f>
        <v>3445.0949690244402</v>
      </c>
      <c r="F105" s="967">
        <f t="shared" ref="F105" si="24">SUM(F101:F104)</f>
        <v>3445.0949690244402</v>
      </c>
      <c r="G105" s="967">
        <f t="shared" ref="G105" si="25">SUM(G101:G104)</f>
        <v>4716.1821771393561</v>
      </c>
      <c r="H105" s="967">
        <f t="shared" ref="H105" si="26">SUM(H101:H104)</f>
        <v>5643.7470215807753</v>
      </c>
      <c r="I105" s="967">
        <f t="shared" ref="I105" si="27">SUM(I101:I104)</f>
        <v>5812.1723738852206</v>
      </c>
      <c r="J105" s="967">
        <f t="shared" ref="J105" si="28">SUM(J101:J104)</f>
        <v>5812.1723738852206</v>
      </c>
      <c r="K105" s="967">
        <f t="shared" ref="K105" si="29">SUM(K101:K104)</f>
        <v>3732.520934032269</v>
      </c>
      <c r="L105" s="967">
        <f t="shared" ref="L105" si="30">SUM(L101:L104)</f>
        <v>4096.8752127442303</v>
      </c>
      <c r="M105" s="967">
        <f t="shared" ref="M105" si="31">SUM(M101:M104)</f>
        <v>0</v>
      </c>
      <c r="N105" s="967">
        <f t="shared" ref="N105" si="32">SUM(N101:N104)</f>
        <v>0</v>
      </c>
      <c r="O105" s="967">
        <f t="shared" ref="O105" si="33">SUM(O101:O104)</f>
        <v>0</v>
      </c>
      <c r="P105" s="967">
        <f t="shared" ref="P105" si="34">SUM(P101:P104)</f>
        <v>0</v>
      </c>
    </row>
    <row r="106" spans="2:18" hidden="1" x14ac:dyDescent="0.25"/>
    <row r="107" spans="2:18" hidden="1" x14ac:dyDescent="0.25"/>
    <row r="108" spans="2:18" hidden="1" x14ac:dyDescent="0.25"/>
    <row r="109" spans="2:18" hidden="1" x14ac:dyDescent="0.25"/>
    <row r="110" spans="2:18" hidden="1" x14ac:dyDescent="0.25"/>
    <row r="111" spans="2:18" hidden="1" x14ac:dyDescent="0.25"/>
    <row r="112" spans="2:18" hidden="1" x14ac:dyDescent="0.25"/>
    <row r="113" spans="2:20" hidden="1" x14ac:dyDescent="0.25"/>
    <row r="114" spans="2:20" hidden="1" x14ac:dyDescent="0.25"/>
    <row r="115" spans="2:20" hidden="1" x14ac:dyDescent="0.25"/>
    <row r="116" spans="2:20" hidden="1" x14ac:dyDescent="0.25"/>
    <row r="117" spans="2:20" hidden="1" x14ac:dyDescent="0.25"/>
    <row r="118" spans="2:20" s="899" customFormat="1" hidden="1" x14ac:dyDescent="0.25">
      <c r="B118" s="894"/>
    </row>
    <row r="119" spans="2:20" s="899" customFormat="1" hidden="1" x14ac:dyDescent="0.25">
      <c r="B119" s="894"/>
    </row>
    <row r="120" spans="2:20" s="899" customFormat="1" hidden="1" x14ac:dyDescent="0.25">
      <c r="B120" s="894"/>
      <c r="C120" s="901"/>
      <c r="D120" s="902"/>
      <c r="E120" s="897"/>
      <c r="F120" s="897"/>
      <c r="G120" s="897"/>
      <c r="H120" s="897"/>
      <c r="I120" s="897"/>
      <c r="J120" s="897"/>
      <c r="K120" s="897"/>
      <c r="L120" s="897"/>
      <c r="M120" s="897"/>
      <c r="N120" s="897"/>
      <c r="O120" s="897"/>
      <c r="P120" s="897"/>
      <c r="Q120" s="897"/>
      <c r="R120" s="903"/>
      <c r="S120" s="903"/>
      <c r="T120" s="903"/>
    </row>
    <row r="121" spans="2:20" s="899" customFormat="1" hidden="1" x14ac:dyDescent="0.25">
      <c r="B121" s="894"/>
    </row>
    <row r="122" spans="2:20" s="899" customFormat="1" hidden="1" x14ac:dyDescent="0.25">
      <c r="B122" s="894"/>
    </row>
    <row r="123" spans="2:20" s="899" customFormat="1" hidden="1" x14ac:dyDescent="0.25">
      <c r="B123" s="894"/>
    </row>
    <row r="124" spans="2:20" hidden="1" x14ac:dyDescent="0.25"/>
    <row r="125" spans="2:20" hidden="1" x14ac:dyDescent="0.25"/>
    <row r="126" spans="2:20" hidden="1" x14ac:dyDescent="0.25"/>
    <row r="127" spans="2:20" hidden="1" x14ac:dyDescent="0.25"/>
    <row r="128" spans="2: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spans="2:19" hidden="1" x14ac:dyDescent="0.25"/>
    <row r="146" spans="2:19" hidden="1" x14ac:dyDescent="0.25"/>
    <row r="147" spans="2:19" hidden="1" x14ac:dyDescent="0.25"/>
    <row r="148" spans="2:19" hidden="1" x14ac:dyDescent="0.25"/>
    <row r="149" spans="2:19" hidden="1" x14ac:dyDescent="0.25"/>
    <row r="150" spans="2:19" hidden="1" x14ac:dyDescent="0.25"/>
    <row r="151" spans="2:19" s="899" customFormat="1" hidden="1" x14ac:dyDescent="0.25">
      <c r="B151" s="894"/>
      <c r="C151" s="895"/>
      <c r="D151" s="895"/>
      <c r="E151" s="897"/>
      <c r="F151" s="897"/>
      <c r="G151" s="897"/>
      <c r="H151" s="897"/>
      <c r="I151" s="897"/>
      <c r="J151" s="897"/>
      <c r="K151" s="897"/>
      <c r="L151" s="897"/>
      <c r="M151" s="897"/>
      <c r="N151" s="897"/>
      <c r="O151" s="897"/>
      <c r="P151" s="897"/>
      <c r="Q151" s="897"/>
    </row>
    <row r="152" spans="2:19" hidden="1" x14ac:dyDescent="0.25"/>
    <row r="153" spans="2:19" hidden="1" x14ac:dyDescent="0.25"/>
    <row r="154" spans="2:19" hidden="1" x14ac:dyDescent="0.25"/>
    <row r="155" spans="2:19" hidden="1" x14ac:dyDescent="0.25"/>
    <row r="156" spans="2:19" hidden="1" x14ac:dyDescent="0.25"/>
    <row r="157" spans="2:19" hidden="1" x14ac:dyDescent="0.25"/>
    <row r="158" spans="2:19" hidden="1" x14ac:dyDescent="0.25"/>
    <row r="159" spans="2:19" hidden="1" x14ac:dyDescent="0.25"/>
    <row r="160" spans="2:19" hidden="1" x14ac:dyDescent="0.25">
      <c r="B160" s="894"/>
      <c r="C160" s="899"/>
      <c r="D160" s="899"/>
      <c r="E160" s="899"/>
      <c r="F160" s="899"/>
      <c r="G160" s="899"/>
      <c r="H160" s="899"/>
      <c r="I160" s="899"/>
      <c r="J160" s="899"/>
      <c r="K160" s="899"/>
      <c r="L160" s="899"/>
      <c r="M160" s="899"/>
      <c r="N160" s="899"/>
      <c r="O160" s="899"/>
      <c r="P160" s="899"/>
      <c r="Q160" s="899"/>
      <c r="R160" s="899"/>
      <c r="S160" s="899"/>
    </row>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5:17" hidden="1" x14ac:dyDescent="0.25"/>
    <row r="178" spans="5:17" hidden="1" x14ac:dyDescent="0.25"/>
    <row r="179" spans="5:17" hidden="1" x14ac:dyDescent="0.25"/>
    <row r="180" spans="5:17" hidden="1" x14ac:dyDescent="0.25"/>
    <row r="181" spans="5:17" hidden="1" x14ac:dyDescent="0.25"/>
    <row r="182" spans="5:17" hidden="1" x14ac:dyDescent="0.25"/>
    <row r="183" spans="5:17" hidden="1" x14ac:dyDescent="0.25"/>
    <row r="184" spans="5:17" hidden="1" x14ac:dyDescent="0.25"/>
    <row r="185" spans="5:17" hidden="1" x14ac:dyDescent="0.25"/>
    <row r="186" spans="5:17" hidden="1" x14ac:dyDescent="0.25">
      <c r="E186" s="904"/>
      <c r="F186" s="904"/>
      <c r="G186" s="904"/>
      <c r="H186" s="904"/>
      <c r="I186" s="904"/>
      <c r="J186" s="904"/>
      <c r="K186" s="904"/>
      <c r="L186" s="904"/>
      <c r="M186" s="904"/>
      <c r="N186" s="904"/>
      <c r="O186" s="904"/>
      <c r="P186" s="904"/>
      <c r="Q186" s="904"/>
    </row>
    <row r="187" spans="5:17" hidden="1" x14ac:dyDescent="0.25">
      <c r="E187" s="904"/>
      <c r="F187" s="904"/>
      <c r="G187" s="904"/>
      <c r="H187" s="904"/>
      <c r="I187" s="904"/>
      <c r="J187" s="904"/>
      <c r="K187" s="904"/>
      <c r="L187" s="904"/>
      <c r="M187" s="904"/>
      <c r="N187" s="904"/>
      <c r="O187" s="904"/>
      <c r="P187" s="905"/>
    </row>
    <row r="188" spans="5:17" hidden="1" x14ac:dyDescent="0.25">
      <c r="E188" s="904"/>
      <c r="F188" s="904"/>
      <c r="G188" s="904"/>
      <c r="H188" s="904"/>
      <c r="I188" s="904"/>
      <c r="J188" s="904"/>
      <c r="K188" s="904"/>
      <c r="L188" s="904"/>
      <c r="M188" s="904"/>
      <c r="N188" s="904"/>
      <c r="O188" s="904"/>
      <c r="P188" s="904"/>
    </row>
    <row r="189" spans="5:17" hidden="1" x14ac:dyDescent="0.25">
      <c r="E189" s="904"/>
      <c r="F189" s="904"/>
      <c r="G189" s="904"/>
      <c r="H189" s="904"/>
      <c r="I189" s="904"/>
      <c r="J189" s="904"/>
      <c r="K189" s="904"/>
      <c r="L189" s="904"/>
      <c r="M189" s="904"/>
      <c r="N189" s="904"/>
      <c r="O189" s="904"/>
      <c r="P189" s="904"/>
    </row>
    <row r="190" spans="5:17" hidden="1" x14ac:dyDescent="0.25">
      <c r="E190" s="904"/>
      <c r="F190" s="904"/>
      <c r="G190" s="904"/>
      <c r="H190" s="904"/>
      <c r="I190" s="904"/>
      <c r="J190" s="904"/>
      <c r="K190" s="904"/>
      <c r="L190" s="904"/>
      <c r="M190" s="904"/>
      <c r="N190" s="904"/>
      <c r="O190" s="904"/>
      <c r="P190" s="904"/>
    </row>
    <row r="191" spans="5:17" hidden="1" x14ac:dyDescent="0.25"/>
    <row r="192" spans="5:17" hidden="1" x14ac:dyDescent="0.25">
      <c r="M192" s="904"/>
    </row>
    <row r="193" hidden="1" x14ac:dyDescent="0.25"/>
  </sheetData>
  <sheetProtection password="E066" sheet="1" objects="1" scenarios="1" selectLockedCells="1"/>
  <mergeCells count="39">
    <mergeCell ref="C68:D68"/>
    <mergeCell ref="C70:D70"/>
    <mergeCell ref="C72:D72"/>
    <mergeCell ref="C74:D74"/>
    <mergeCell ref="C76:D76"/>
    <mergeCell ref="B67:B68"/>
    <mergeCell ref="B69:B70"/>
    <mergeCell ref="B71:B72"/>
    <mergeCell ref="B73:B74"/>
    <mergeCell ref="B75:B76"/>
    <mergeCell ref="C4:E4"/>
    <mergeCell ref="F2:H2"/>
    <mergeCell ref="F3:H3"/>
    <mergeCell ref="F4:H4"/>
    <mergeCell ref="C43:C44"/>
    <mergeCell ref="C2:E2"/>
    <mergeCell ref="C3:E3"/>
    <mergeCell ref="C45:C46"/>
    <mergeCell ref="C42:D42"/>
    <mergeCell ref="C6:E6"/>
    <mergeCell ref="B36:Q36"/>
    <mergeCell ref="C40:C41"/>
    <mergeCell ref="B38:B42"/>
    <mergeCell ref="C37:D37"/>
    <mergeCell ref="B43:B47"/>
    <mergeCell ref="C38:C39"/>
    <mergeCell ref="C47:D47"/>
    <mergeCell ref="L13:M13"/>
    <mergeCell ref="B65:Q65"/>
    <mergeCell ref="C63:D63"/>
    <mergeCell ref="C62:D62"/>
    <mergeCell ref="C57:D57"/>
    <mergeCell ref="B58:D58"/>
    <mergeCell ref="C48:C49"/>
    <mergeCell ref="C50:C51"/>
    <mergeCell ref="B61:Q61"/>
    <mergeCell ref="C52:D52"/>
    <mergeCell ref="B53:B57"/>
    <mergeCell ref="B48:B52"/>
  </mergeCells>
  <conditionalFormatting sqref="E58:P59">
    <cfRule type="expression" dxfId="23" priority="13">
      <formula>E58&lt;&gt;E91</formula>
    </cfRule>
  </conditionalFormatting>
  <conditionalFormatting sqref="I2">
    <cfRule type="expression" dxfId="22" priority="6">
      <formula>$I$2=0</formula>
    </cfRule>
    <cfRule type="expression" dxfId="21" priority="7">
      <formula>$I$2=""</formula>
    </cfRule>
    <cfRule type="expression" dxfId="20" priority="8">
      <formula>$I$2&lt;&gt;$K$2</formula>
    </cfRule>
    <cfRule type="expression" dxfId="19" priority="9">
      <formula>$I$2=" "</formula>
    </cfRule>
  </conditionalFormatting>
  <conditionalFormatting sqref="G63:P63">
    <cfRule type="expression" dxfId="18" priority="2">
      <formula>OR(G$53=0,G$53="")</formula>
    </cfRule>
  </conditionalFormatting>
  <conditionalFormatting sqref="E63:F63">
    <cfRule type="expression" dxfId="17" priority="1">
      <formula>OR(E$53=0,E$53="")</formula>
    </cfRule>
  </conditionalFormatting>
  <pageMargins left="0.25" right="0.25" top="0.75" bottom="0.75" header="0.3" footer="0.3"/>
  <pageSetup paperSize="9" orientation="landscape" r:id="rId1"/>
  <ignoredErrors>
    <ignoredError sqref="Q67:Q72" formulaRange="1"/>
    <ignoredError sqref="E94:P97 Q94:Q97 D98:P98 D105:R105 D101:Q101 D102:Q104"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77"/>
  <sheetViews>
    <sheetView showGridLines="0" topLeftCell="A7" zoomScale="70" zoomScaleNormal="70" workbookViewId="0">
      <selection activeCell="L31" sqref="L31"/>
    </sheetView>
  </sheetViews>
  <sheetFormatPr defaultColWidth="0" defaultRowHeight="15" zeroHeight="1" x14ac:dyDescent="0.25"/>
  <cols>
    <col min="1" max="1" width="3.140625" style="50" customWidth="1"/>
    <col min="2" max="2" width="26" style="50" customWidth="1"/>
    <col min="3" max="3" width="16.85546875" style="50" bestFit="1" customWidth="1"/>
    <col min="4" max="9" width="15.28515625" style="50" customWidth="1"/>
    <col min="10" max="15" width="16.28515625" style="50" customWidth="1"/>
    <col min="16" max="16" width="17.5703125" style="50" bestFit="1" customWidth="1"/>
    <col min="17" max="17" width="2.85546875" style="50" customWidth="1"/>
    <col min="18" max="18" width="11" style="50" hidden="1" customWidth="1"/>
    <col min="19" max="19" width="16.5703125" style="50" hidden="1" customWidth="1"/>
    <col min="20" max="20" width="9.140625" style="50" hidden="1" customWidth="1"/>
    <col min="21" max="21" width="17.85546875" style="50" hidden="1" customWidth="1"/>
    <col min="22" max="22" width="8.28515625" style="50" hidden="1" customWidth="1"/>
    <col min="23" max="23" width="18" style="50" hidden="1" customWidth="1"/>
    <col min="24" max="24" width="9.140625" style="50" hidden="1" customWidth="1"/>
    <col min="25" max="25" width="19.42578125" style="50" hidden="1" customWidth="1"/>
    <col min="26" max="29" width="0" style="50" hidden="1" customWidth="1"/>
    <col min="30" max="16384" width="9.140625" style="50" hidden="1"/>
  </cols>
  <sheetData>
    <row r="1" spans="2:29" ht="9" customHeight="1" thickBot="1" x14ac:dyDescent="0.3"/>
    <row r="2" spans="2:29" ht="15.75" thickTop="1" x14ac:dyDescent="0.25">
      <c r="B2" s="764" t="str">
        <f>REBANHO!B2</f>
        <v>Fazenda</v>
      </c>
      <c r="C2" s="763" t="str">
        <f>IF(REBANHO!C2="","",REBANHO!C2)</f>
        <v>Bonanza</v>
      </c>
      <c r="D2" s="762"/>
      <c r="E2" s="762"/>
      <c r="F2" s="774"/>
      <c r="G2" s="467" t="s">
        <v>120</v>
      </c>
      <c r="H2" s="224"/>
      <c r="J2" s="437"/>
    </row>
    <row r="3" spans="2:29" ht="15.75" thickBot="1" x14ac:dyDescent="0.3">
      <c r="B3" s="775" t="str">
        <f>REBANHO!B6</f>
        <v>Sistema de produção</v>
      </c>
      <c r="C3" s="776" t="str">
        <f>IF(REBANHO!C3="","",REBANHO!C3)</f>
        <v>Quatá</v>
      </c>
      <c r="D3" s="776"/>
      <c r="E3" s="776"/>
      <c r="F3" s="530"/>
      <c r="G3" s="772">
        <f>IF(REBANHO!I2="","",REBANHO!I2)</f>
        <v>2016</v>
      </c>
      <c r="H3" s="224"/>
      <c r="J3" s="437"/>
    </row>
    <row r="4" spans="2:29" ht="20.25" customHeight="1" thickTop="1" thickBot="1" x14ac:dyDescent="0.3"/>
    <row r="5" spans="2:29" ht="22.5" thickTop="1" thickBot="1" x14ac:dyDescent="0.3">
      <c r="B5" s="245" t="s">
        <v>125</v>
      </c>
      <c r="C5" s="246"/>
      <c r="D5" s="246"/>
      <c r="E5" s="246"/>
      <c r="F5" s="246"/>
      <c r="G5" s="246"/>
      <c r="H5" s="246"/>
      <c r="I5" s="246"/>
      <c r="J5" s="246"/>
      <c r="K5" s="246"/>
      <c r="L5" s="246"/>
      <c r="M5" s="246"/>
      <c r="N5" s="246"/>
      <c r="O5" s="246"/>
      <c r="P5" s="247"/>
    </row>
    <row r="6" spans="2:29" ht="5.25" customHeight="1" thickTop="1" thickBot="1" x14ac:dyDescent="0.3"/>
    <row r="7" spans="2:29" ht="16.5" thickTop="1" thickBot="1" x14ac:dyDescent="0.3">
      <c r="B7" s="1164" t="s">
        <v>367</v>
      </c>
      <c r="C7" s="1165"/>
      <c r="D7" s="248" t="s">
        <v>0</v>
      </c>
      <c r="E7" s="248" t="s">
        <v>1</v>
      </c>
      <c r="F7" s="248" t="s">
        <v>2</v>
      </c>
      <c r="G7" s="248" t="s">
        <v>3</v>
      </c>
      <c r="H7" s="248" t="s">
        <v>4</v>
      </c>
      <c r="I7" s="248" t="s">
        <v>5</v>
      </c>
      <c r="J7" s="248" t="s">
        <v>6</v>
      </c>
      <c r="K7" s="248" t="s">
        <v>7</v>
      </c>
      <c r="L7" s="248" t="s">
        <v>8</v>
      </c>
      <c r="M7" s="248" t="s">
        <v>9</v>
      </c>
      <c r="N7" s="248" t="s">
        <v>10</v>
      </c>
      <c r="O7" s="248" t="s">
        <v>11</v>
      </c>
      <c r="P7" s="249" t="s">
        <v>17</v>
      </c>
      <c r="Y7" s="224"/>
      <c r="Z7" s="224"/>
      <c r="AA7" s="224"/>
      <c r="AB7" s="224"/>
      <c r="AC7" s="224"/>
    </row>
    <row r="8" spans="2:29" ht="15.75" thickTop="1" x14ac:dyDescent="0.25">
      <c r="B8" s="1166" t="s">
        <v>121</v>
      </c>
      <c r="C8" s="250" t="s">
        <v>15</v>
      </c>
      <c r="D8" s="313"/>
      <c r="E8" s="313"/>
      <c r="F8" s="313"/>
      <c r="G8" s="313"/>
      <c r="H8" s="313"/>
      <c r="I8" s="313"/>
      <c r="J8" s="313"/>
      <c r="K8" s="313"/>
      <c r="L8" s="313"/>
      <c r="M8" s="313"/>
      <c r="N8" s="313"/>
      <c r="O8" s="313"/>
      <c r="P8" s="251">
        <f>SUM(D8:O8)</f>
        <v>0</v>
      </c>
    </row>
    <row r="9" spans="2:29" x14ac:dyDescent="0.25">
      <c r="B9" s="1166"/>
      <c r="C9" s="250" t="s">
        <v>112</v>
      </c>
      <c r="D9" s="314"/>
      <c r="E9" s="314"/>
      <c r="F9" s="314"/>
      <c r="G9" s="314"/>
      <c r="H9" s="314"/>
      <c r="I9" s="314"/>
      <c r="J9" s="314"/>
      <c r="K9" s="314"/>
      <c r="L9" s="314"/>
      <c r="M9" s="314"/>
      <c r="N9" s="314"/>
      <c r="O9" s="314"/>
      <c r="P9" s="253">
        <f>SUM(D9:O9)</f>
        <v>0</v>
      </c>
    </row>
    <row r="10" spans="2:29" x14ac:dyDescent="0.25">
      <c r="B10" s="1167"/>
      <c r="C10" s="252" t="s">
        <v>113</v>
      </c>
      <c r="D10" s="314"/>
      <c r="E10" s="314"/>
      <c r="F10" s="314"/>
      <c r="G10" s="314"/>
      <c r="H10" s="314"/>
      <c r="I10" s="314"/>
      <c r="J10" s="314"/>
      <c r="K10" s="314"/>
      <c r="L10" s="314"/>
      <c r="M10" s="314"/>
      <c r="N10" s="314"/>
      <c r="O10" s="314"/>
      <c r="P10" s="253">
        <f>IF(P8=0,0,P11/P8)</f>
        <v>0</v>
      </c>
    </row>
    <row r="11" spans="2:29" ht="15.75" thickBot="1" x14ac:dyDescent="0.3">
      <c r="B11" s="1172"/>
      <c r="C11" s="254" t="s">
        <v>16</v>
      </c>
      <c r="D11" s="255">
        <f t="shared" ref="D11:O11" si="0">D8*D10</f>
        <v>0</v>
      </c>
      <c r="E11" s="255">
        <f t="shared" si="0"/>
        <v>0</v>
      </c>
      <c r="F11" s="255">
        <f t="shared" si="0"/>
        <v>0</v>
      </c>
      <c r="G11" s="255">
        <f t="shared" si="0"/>
        <v>0</v>
      </c>
      <c r="H11" s="255">
        <f t="shared" si="0"/>
        <v>0</v>
      </c>
      <c r="I11" s="255">
        <f t="shared" si="0"/>
        <v>0</v>
      </c>
      <c r="J11" s="255">
        <f t="shared" si="0"/>
        <v>0</v>
      </c>
      <c r="K11" s="255">
        <f t="shared" si="0"/>
        <v>0</v>
      </c>
      <c r="L11" s="255">
        <f t="shared" si="0"/>
        <v>0</v>
      </c>
      <c r="M11" s="255">
        <f t="shared" si="0"/>
        <v>0</v>
      </c>
      <c r="N11" s="255">
        <f t="shared" si="0"/>
        <v>0</v>
      </c>
      <c r="O11" s="255">
        <f t="shared" si="0"/>
        <v>0</v>
      </c>
      <c r="P11" s="256">
        <f>SUM(D11:O11)</f>
        <v>0</v>
      </c>
    </row>
    <row r="12" spans="2:29" ht="15.75" thickTop="1" x14ac:dyDescent="0.25">
      <c r="B12" s="1166" t="s">
        <v>13</v>
      </c>
      <c r="C12" s="257" t="s">
        <v>15</v>
      </c>
      <c r="D12" s="313"/>
      <c r="E12" s="313"/>
      <c r="F12" s="313"/>
      <c r="G12" s="313">
        <v>1</v>
      </c>
      <c r="H12" s="313"/>
      <c r="I12" s="313"/>
      <c r="J12" s="313"/>
      <c r="K12" s="313"/>
      <c r="L12" s="313"/>
      <c r="M12" s="313"/>
      <c r="N12" s="313"/>
      <c r="O12" s="313"/>
      <c r="P12" s="251">
        <f>SUM(D12:O12)</f>
        <v>1</v>
      </c>
    </row>
    <row r="13" spans="2:29" x14ac:dyDescent="0.25">
      <c r="B13" s="1166"/>
      <c r="C13" s="250" t="s">
        <v>112</v>
      </c>
      <c r="D13" s="314"/>
      <c r="E13" s="314"/>
      <c r="F13" s="314"/>
      <c r="G13" s="314">
        <v>458</v>
      </c>
      <c r="H13" s="314"/>
      <c r="I13" s="314"/>
      <c r="J13" s="314"/>
      <c r="K13" s="314"/>
      <c r="L13" s="314"/>
      <c r="M13" s="314"/>
      <c r="N13" s="314"/>
      <c r="O13" s="314"/>
      <c r="P13" s="253">
        <f>SUM(D13:O13)</f>
        <v>458</v>
      </c>
    </row>
    <row r="14" spans="2:29" x14ac:dyDescent="0.25">
      <c r="B14" s="1167"/>
      <c r="C14" s="252" t="s">
        <v>113</v>
      </c>
      <c r="D14" s="314"/>
      <c r="E14" s="314"/>
      <c r="F14" s="314"/>
      <c r="G14" s="314">
        <v>3000</v>
      </c>
      <c r="H14" s="314"/>
      <c r="I14" s="314"/>
      <c r="J14" s="314"/>
      <c r="K14" s="314"/>
      <c r="L14" s="314"/>
      <c r="M14" s="314"/>
      <c r="N14" s="314"/>
      <c r="O14" s="314"/>
      <c r="P14" s="253">
        <f>IF(P12=0,0,P15/P12)</f>
        <v>3000</v>
      </c>
    </row>
    <row r="15" spans="2:29" ht="15.75" thickBot="1" x14ac:dyDescent="0.3">
      <c r="B15" s="1168"/>
      <c r="C15" s="254" t="s">
        <v>16</v>
      </c>
      <c r="D15" s="258">
        <f t="shared" ref="D15:O15" si="1">D12*D14</f>
        <v>0</v>
      </c>
      <c r="E15" s="258">
        <f t="shared" si="1"/>
        <v>0</v>
      </c>
      <c r="F15" s="258">
        <f t="shared" si="1"/>
        <v>0</v>
      </c>
      <c r="G15" s="258">
        <f t="shared" si="1"/>
        <v>3000</v>
      </c>
      <c r="H15" s="258">
        <f t="shared" si="1"/>
        <v>0</v>
      </c>
      <c r="I15" s="258">
        <f t="shared" si="1"/>
        <v>0</v>
      </c>
      <c r="J15" s="258">
        <f t="shared" si="1"/>
        <v>0</v>
      </c>
      <c r="K15" s="258">
        <f t="shared" si="1"/>
        <v>0</v>
      </c>
      <c r="L15" s="258">
        <f t="shared" si="1"/>
        <v>0</v>
      </c>
      <c r="M15" s="258">
        <f t="shared" si="1"/>
        <v>0</v>
      </c>
      <c r="N15" s="258">
        <f t="shared" si="1"/>
        <v>0</v>
      </c>
      <c r="O15" s="258">
        <f t="shared" si="1"/>
        <v>0</v>
      </c>
      <c r="P15" s="259">
        <f>SUM(D15:O15)</f>
        <v>3000</v>
      </c>
    </row>
    <row r="16" spans="2:29" ht="15.75" thickTop="1" x14ac:dyDescent="0.25">
      <c r="B16" s="1171" t="s">
        <v>14</v>
      </c>
      <c r="C16" s="257" t="s">
        <v>15</v>
      </c>
      <c r="D16" s="315"/>
      <c r="E16" s="315"/>
      <c r="F16" s="315"/>
      <c r="G16" s="315"/>
      <c r="H16" s="315"/>
      <c r="I16" s="315"/>
      <c r="J16" s="315"/>
      <c r="K16" s="315"/>
      <c r="L16" s="315"/>
      <c r="M16" s="315"/>
      <c r="N16" s="315"/>
      <c r="O16" s="315"/>
      <c r="P16" s="260">
        <f>SUM(D16:O16)</f>
        <v>0</v>
      </c>
    </row>
    <row r="17" spans="2:29" x14ac:dyDescent="0.25">
      <c r="B17" s="1166"/>
      <c r="C17" s="250" t="s">
        <v>112</v>
      </c>
      <c r="D17" s="314"/>
      <c r="E17" s="314"/>
      <c r="F17" s="314"/>
      <c r="G17" s="314"/>
      <c r="H17" s="314"/>
      <c r="I17" s="314"/>
      <c r="J17" s="314"/>
      <c r="K17" s="314"/>
      <c r="L17" s="314"/>
      <c r="M17" s="314"/>
      <c r="N17" s="314"/>
      <c r="O17" s="314"/>
      <c r="P17" s="253">
        <f>SUM(D17:O17)</f>
        <v>0</v>
      </c>
    </row>
    <row r="18" spans="2:29" x14ac:dyDescent="0.25">
      <c r="B18" s="1167"/>
      <c r="C18" s="252" t="s">
        <v>113</v>
      </c>
      <c r="D18" s="314"/>
      <c r="E18" s="314"/>
      <c r="F18" s="314"/>
      <c r="G18" s="314"/>
      <c r="H18" s="314"/>
      <c r="I18" s="314"/>
      <c r="J18" s="314"/>
      <c r="K18" s="314"/>
      <c r="L18" s="314"/>
      <c r="M18" s="314"/>
      <c r="N18" s="314"/>
      <c r="O18" s="314"/>
      <c r="P18" s="253">
        <f>IF(P16=0,0,P19/P16)</f>
        <v>0</v>
      </c>
    </row>
    <row r="19" spans="2:29" ht="15.75" thickBot="1" x14ac:dyDescent="0.3">
      <c r="B19" s="1172"/>
      <c r="C19" s="254" t="s">
        <v>16</v>
      </c>
      <c r="D19" s="255">
        <f t="shared" ref="D19:O19" si="2">D16*D18</f>
        <v>0</v>
      </c>
      <c r="E19" s="255">
        <f t="shared" si="2"/>
        <v>0</v>
      </c>
      <c r="F19" s="255">
        <f>F16*F18</f>
        <v>0</v>
      </c>
      <c r="G19" s="255">
        <f t="shared" si="2"/>
        <v>0</v>
      </c>
      <c r="H19" s="255">
        <f t="shared" si="2"/>
        <v>0</v>
      </c>
      <c r="I19" s="255">
        <f t="shared" si="2"/>
        <v>0</v>
      </c>
      <c r="J19" s="255">
        <f t="shared" si="2"/>
        <v>0</v>
      </c>
      <c r="K19" s="255">
        <f t="shared" si="2"/>
        <v>0</v>
      </c>
      <c r="L19" s="255">
        <f t="shared" si="2"/>
        <v>0</v>
      </c>
      <c r="M19" s="255">
        <f t="shared" si="2"/>
        <v>0</v>
      </c>
      <c r="N19" s="255">
        <f t="shared" si="2"/>
        <v>0</v>
      </c>
      <c r="O19" s="255">
        <f t="shared" si="2"/>
        <v>0</v>
      </c>
      <c r="P19" s="256">
        <f>SUM(D19:O19)</f>
        <v>0</v>
      </c>
    </row>
    <row r="20" spans="2:29" ht="15.75" thickTop="1" x14ac:dyDescent="0.25">
      <c r="B20" s="1166" t="s">
        <v>105</v>
      </c>
      <c r="C20" s="257" t="s">
        <v>15</v>
      </c>
      <c r="D20" s="313"/>
      <c r="E20" s="313"/>
      <c r="F20" s="313"/>
      <c r="G20" s="313"/>
      <c r="H20" s="313"/>
      <c r="I20" s="313"/>
      <c r="J20" s="313"/>
      <c r="K20" s="313"/>
      <c r="L20" s="313"/>
      <c r="M20" s="313"/>
      <c r="N20" s="313"/>
      <c r="O20" s="313"/>
      <c r="P20" s="251">
        <f>SUM(D20:O20)</f>
        <v>0</v>
      </c>
    </row>
    <row r="21" spans="2:29" x14ac:dyDescent="0.25">
      <c r="B21" s="1166"/>
      <c r="C21" s="250" t="s">
        <v>112</v>
      </c>
      <c r="D21" s="314"/>
      <c r="E21" s="314"/>
      <c r="F21" s="314"/>
      <c r="G21" s="314"/>
      <c r="H21" s="314"/>
      <c r="I21" s="314"/>
      <c r="J21" s="314"/>
      <c r="K21" s="314"/>
      <c r="L21" s="314"/>
      <c r="M21" s="314"/>
      <c r="N21" s="314"/>
      <c r="O21" s="314"/>
      <c r="P21" s="253">
        <f>SUM(D21:O21)</f>
        <v>0</v>
      </c>
    </row>
    <row r="22" spans="2:29" x14ac:dyDescent="0.25">
      <c r="B22" s="1167"/>
      <c r="C22" s="252" t="s">
        <v>113</v>
      </c>
      <c r="D22" s="314"/>
      <c r="E22" s="314"/>
      <c r="F22" s="314"/>
      <c r="G22" s="314"/>
      <c r="H22" s="314"/>
      <c r="I22" s="314"/>
      <c r="J22" s="314"/>
      <c r="K22" s="314"/>
      <c r="L22" s="314"/>
      <c r="M22" s="314"/>
      <c r="N22" s="314"/>
      <c r="O22" s="314"/>
      <c r="P22" s="253">
        <f>IF(P20=0,0,P23/P20)</f>
        <v>0</v>
      </c>
    </row>
    <row r="23" spans="2:29" ht="15.75" thickBot="1" x14ac:dyDescent="0.3">
      <c r="B23" s="1168"/>
      <c r="C23" s="254" t="s">
        <v>16</v>
      </c>
      <c r="D23" s="258">
        <f t="shared" ref="D23:O23" si="3">D20*D22</f>
        <v>0</v>
      </c>
      <c r="E23" s="258">
        <f t="shared" si="3"/>
        <v>0</v>
      </c>
      <c r="F23" s="258">
        <f t="shared" si="3"/>
        <v>0</v>
      </c>
      <c r="G23" s="258">
        <f t="shared" si="3"/>
        <v>0</v>
      </c>
      <c r="H23" s="258">
        <f t="shared" si="3"/>
        <v>0</v>
      </c>
      <c r="I23" s="258">
        <f t="shared" si="3"/>
        <v>0</v>
      </c>
      <c r="J23" s="258">
        <f t="shared" si="3"/>
        <v>0</v>
      </c>
      <c r="K23" s="258">
        <f t="shared" si="3"/>
        <v>0</v>
      </c>
      <c r="L23" s="258">
        <f t="shared" si="3"/>
        <v>0</v>
      </c>
      <c r="M23" s="258">
        <f t="shared" si="3"/>
        <v>0</v>
      </c>
      <c r="N23" s="258">
        <f t="shared" si="3"/>
        <v>0</v>
      </c>
      <c r="O23" s="258">
        <f t="shared" si="3"/>
        <v>0</v>
      </c>
      <c r="P23" s="259">
        <f>SUM(D23:O23)</f>
        <v>0</v>
      </c>
    </row>
    <row r="24" spans="2:29" ht="15.75" thickTop="1" x14ac:dyDescent="0.25">
      <c r="B24" s="1171" t="s">
        <v>106</v>
      </c>
      <c r="C24" s="257" t="s">
        <v>15</v>
      </c>
      <c r="D24" s="315"/>
      <c r="E24" s="315"/>
      <c r="F24" s="315"/>
      <c r="G24" s="315"/>
      <c r="H24" s="315"/>
      <c r="I24" s="315"/>
      <c r="J24" s="315"/>
      <c r="K24" s="315"/>
      <c r="L24" s="315"/>
      <c r="M24" s="315"/>
      <c r="N24" s="315"/>
      <c r="O24" s="315"/>
      <c r="P24" s="260">
        <f>SUM(D24:O24)</f>
        <v>0</v>
      </c>
    </row>
    <row r="25" spans="2:29" x14ac:dyDescent="0.25">
      <c r="B25" s="1166"/>
      <c r="C25" s="250" t="s">
        <v>112</v>
      </c>
      <c r="D25" s="314"/>
      <c r="E25" s="314"/>
      <c r="F25" s="314"/>
      <c r="G25" s="314"/>
      <c r="H25" s="314"/>
      <c r="I25" s="314"/>
      <c r="J25" s="314"/>
      <c r="K25" s="314"/>
      <c r="L25" s="314"/>
      <c r="M25" s="314"/>
      <c r="N25" s="314"/>
      <c r="O25" s="314"/>
      <c r="P25" s="253">
        <f>SUM(D25:O25)</f>
        <v>0</v>
      </c>
    </row>
    <row r="26" spans="2:29" x14ac:dyDescent="0.25">
      <c r="B26" s="1167"/>
      <c r="C26" s="252" t="s">
        <v>113</v>
      </c>
      <c r="D26" s="314"/>
      <c r="E26" s="314"/>
      <c r="F26" s="314"/>
      <c r="G26" s="314"/>
      <c r="H26" s="314"/>
      <c r="I26" s="314"/>
      <c r="J26" s="314"/>
      <c r="K26" s="314"/>
      <c r="L26" s="314"/>
      <c r="M26" s="314"/>
      <c r="N26" s="314"/>
      <c r="O26" s="314"/>
      <c r="P26" s="253">
        <f>IF(P24=0,0,P27/P24)</f>
        <v>0</v>
      </c>
    </row>
    <row r="27" spans="2:29" ht="15.75" thickBot="1" x14ac:dyDescent="0.3">
      <c r="B27" s="1168"/>
      <c r="C27" s="261" t="s">
        <v>16</v>
      </c>
      <c r="D27" s="258">
        <f t="shared" ref="D27:O27" si="4">D24*D26</f>
        <v>0</v>
      </c>
      <c r="E27" s="258">
        <f t="shared" si="4"/>
        <v>0</v>
      </c>
      <c r="F27" s="258">
        <f>F24*F26</f>
        <v>0</v>
      </c>
      <c r="G27" s="258">
        <f t="shared" si="4"/>
        <v>0</v>
      </c>
      <c r="H27" s="258">
        <f t="shared" si="4"/>
        <v>0</v>
      </c>
      <c r="I27" s="258">
        <f t="shared" si="4"/>
        <v>0</v>
      </c>
      <c r="J27" s="258">
        <f t="shared" si="4"/>
        <v>0</v>
      </c>
      <c r="K27" s="258">
        <f t="shared" si="4"/>
        <v>0</v>
      </c>
      <c r="L27" s="258">
        <f t="shared" si="4"/>
        <v>0</v>
      </c>
      <c r="M27" s="258">
        <f t="shared" si="4"/>
        <v>0</v>
      </c>
      <c r="N27" s="258">
        <f t="shared" si="4"/>
        <v>0</v>
      </c>
      <c r="O27" s="258">
        <f t="shared" si="4"/>
        <v>0</v>
      </c>
      <c r="P27" s="259">
        <f>SUM(D27:O27)</f>
        <v>0</v>
      </c>
    </row>
    <row r="28" spans="2:29" s="266" customFormat="1" ht="16.5" thickTop="1" thickBot="1" x14ac:dyDescent="0.3">
      <c r="B28" s="262" t="s">
        <v>17</v>
      </c>
      <c r="C28" s="263" t="s">
        <v>47</v>
      </c>
      <c r="D28" s="264">
        <f t="shared" ref="D28:P28" si="5">SUM(D11,D15,D19,D23,D27)</f>
        <v>0</v>
      </c>
      <c r="E28" s="264">
        <f t="shared" si="5"/>
        <v>0</v>
      </c>
      <c r="F28" s="264">
        <f t="shared" si="5"/>
        <v>0</v>
      </c>
      <c r="G28" s="264">
        <f t="shared" si="5"/>
        <v>3000</v>
      </c>
      <c r="H28" s="264">
        <f t="shared" si="5"/>
        <v>0</v>
      </c>
      <c r="I28" s="264">
        <f t="shared" si="5"/>
        <v>0</v>
      </c>
      <c r="J28" s="264">
        <f t="shared" si="5"/>
        <v>0</v>
      </c>
      <c r="K28" s="264">
        <f t="shared" si="5"/>
        <v>0</v>
      </c>
      <c r="L28" s="264">
        <f t="shared" si="5"/>
        <v>0</v>
      </c>
      <c r="M28" s="264">
        <f t="shared" si="5"/>
        <v>0</v>
      </c>
      <c r="N28" s="264">
        <f t="shared" si="5"/>
        <v>0</v>
      </c>
      <c r="O28" s="264">
        <f t="shared" si="5"/>
        <v>0</v>
      </c>
      <c r="P28" s="265">
        <f t="shared" si="5"/>
        <v>3000</v>
      </c>
    </row>
    <row r="29" spans="2:29" ht="5.25" customHeight="1" thickTop="1" thickBot="1" x14ac:dyDescent="0.3">
      <c r="B29" s="229"/>
      <c r="C29" s="224"/>
      <c r="D29" s="224"/>
      <c r="E29" s="224"/>
      <c r="F29" s="224"/>
      <c r="G29" s="224"/>
      <c r="H29" s="224"/>
      <c r="I29" s="224"/>
      <c r="J29" s="224"/>
      <c r="K29" s="224"/>
      <c r="L29" s="224"/>
      <c r="M29" s="224"/>
      <c r="N29" s="224"/>
      <c r="O29" s="224"/>
      <c r="P29" s="224"/>
    </row>
    <row r="30" spans="2:29" ht="16.5" thickTop="1" thickBot="1" x14ac:dyDescent="0.3">
      <c r="B30" s="1164" t="s">
        <v>368</v>
      </c>
      <c r="C30" s="1165"/>
      <c r="D30" s="248" t="s">
        <v>0</v>
      </c>
      <c r="E30" s="248" t="s">
        <v>1</v>
      </c>
      <c r="F30" s="248" t="s">
        <v>2</v>
      </c>
      <c r="G30" s="248" t="s">
        <v>3</v>
      </c>
      <c r="H30" s="248" t="s">
        <v>4</v>
      </c>
      <c r="I30" s="248" t="s">
        <v>5</v>
      </c>
      <c r="J30" s="248" t="s">
        <v>6</v>
      </c>
      <c r="K30" s="248" t="s">
        <v>7</v>
      </c>
      <c r="L30" s="248" t="s">
        <v>8</v>
      </c>
      <c r="M30" s="248" t="s">
        <v>9</v>
      </c>
      <c r="N30" s="248" t="s">
        <v>10</v>
      </c>
      <c r="O30" s="248" t="s">
        <v>11</v>
      </c>
      <c r="P30" s="249" t="s">
        <v>17</v>
      </c>
      <c r="Y30" s="224"/>
      <c r="Z30" s="224"/>
      <c r="AA30" s="224"/>
      <c r="AB30" s="224"/>
      <c r="AC30" s="224"/>
    </row>
    <row r="31" spans="2:29" ht="15.75" thickTop="1" x14ac:dyDescent="0.25">
      <c r="B31" s="1166" t="s">
        <v>14</v>
      </c>
      <c r="C31" s="250" t="s">
        <v>15</v>
      </c>
      <c r="D31" s="313"/>
      <c r="E31" s="313"/>
      <c r="F31" s="313"/>
      <c r="G31" s="313"/>
      <c r="H31" s="313"/>
      <c r="I31" s="313"/>
      <c r="J31" s="313">
        <v>111</v>
      </c>
      <c r="K31" s="313"/>
      <c r="L31" s="313"/>
      <c r="M31" s="313"/>
      <c r="N31" s="313"/>
      <c r="O31" s="313"/>
      <c r="P31" s="251">
        <f>SUM(D31:O31)</f>
        <v>111</v>
      </c>
    </row>
    <row r="32" spans="2:29" x14ac:dyDescent="0.25">
      <c r="B32" s="1166"/>
      <c r="C32" s="250" t="s">
        <v>112</v>
      </c>
      <c r="D32" s="313"/>
      <c r="E32" s="313"/>
      <c r="F32" s="313"/>
      <c r="G32" s="313"/>
      <c r="H32" s="313"/>
      <c r="I32" s="313"/>
      <c r="J32" s="313">
        <v>587</v>
      </c>
      <c r="K32" s="313"/>
      <c r="L32" s="313"/>
      <c r="M32" s="313"/>
      <c r="N32" s="313"/>
      <c r="O32" s="313"/>
      <c r="P32" s="253">
        <f>SUM(D32:O32)</f>
        <v>587</v>
      </c>
    </row>
    <row r="33" spans="2:16" x14ac:dyDescent="0.25">
      <c r="B33" s="1167"/>
      <c r="C33" s="252" t="s">
        <v>113</v>
      </c>
      <c r="D33" s="267">
        <f t="shared" ref="D33:P33" si="6">IF(D31=0,0,D34/D31)</f>
        <v>0</v>
      </c>
      <c r="E33" s="267">
        <f t="shared" si="6"/>
        <v>0</v>
      </c>
      <c r="F33" s="267">
        <f t="shared" si="6"/>
        <v>0</v>
      </c>
      <c r="G33" s="267">
        <f t="shared" si="6"/>
        <v>0</v>
      </c>
      <c r="H33" s="267">
        <f t="shared" si="6"/>
        <v>0</v>
      </c>
      <c r="I33" s="267">
        <f t="shared" si="6"/>
        <v>0</v>
      </c>
      <c r="J33" s="267">
        <f t="shared" si="6"/>
        <v>3240.8180180180179</v>
      </c>
      <c r="K33" s="267">
        <f t="shared" si="6"/>
        <v>0</v>
      </c>
      <c r="L33" s="267">
        <f t="shared" si="6"/>
        <v>0</v>
      </c>
      <c r="M33" s="267">
        <f t="shared" si="6"/>
        <v>0</v>
      </c>
      <c r="N33" s="267">
        <f t="shared" si="6"/>
        <v>0</v>
      </c>
      <c r="O33" s="267">
        <f t="shared" si="6"/>
        <v>0</v>
      </c>
      <c r="P33" s="253">
        <f t="shared" si="6"/>
        <v>3240.8180180180179</v>
      </c>
    </row>
    <row r="34" spans="2:16" ht="15.75" thickBot="1" x14ac:dyDescent="0.3">
      <c r="B34" s="1172"/>
      <c r="C34" s="254" t="s">
        <v>16</v>
      </c>
      <c r="D34" s="316"/>
      <c r="E34" s="316"/>
      <c r="F34" s="316"/>
      <c r="G34" s="316"/>
      <c r="H34" s="316"/>
      <c r="I34" s="316"/>
      <c r="J34" s="316">
        <v>359730.8</v>
      </c>
      <c r="K34" s="316"/>
      <c r="L34" s="316"/>
      <c r="M34" s="316"/>
      <c r="N34" s="316"/>
      <c r="O34" s="316"/>
      <c r="P34" s="268">
        <f>SUM(D34:O34)</f>
        <v>359730.8</v>
      </c>
    </row>
    <row r="35" spans="2:16" ht="15.75" thickTop="1" x14ac:dyDescent="0.25">
      <c r="B35" s="1166" t="s">
        <v>105</v>
      </c>
      <c r="C35" s="257" t="s">
        <v>15</v>
      </c>
      <c r="D35" s="313"/>
      <c r="E35" s="313"/>
      <c r="F35" s="313"/>
      <c r="G35" s="313"/>
      <c r="H35" s="313"/>
      <c r="I35" s="313"/>
      <c r="J35" s="313"/>
      <c r="K35" s="313"/>
      <c r="L35" s="313"/>
      <c r="M35" s="313"/>
      <c r="N35" s="313"/>
      <c r="O35" s="313"/>
      <c r="P35" s="251">
        <f>SUM(D35:O35)</f>
        <v>0</v>
      </c>
    </row>
    <row r="36" spans="2:16" x14ac:dyDescent="0.25">
      <c r="B36" s="1166"/>
      <c r="C36" s="250" t="s">
        <v>112</v>
      </c>
      <c r="D36" s="313"/>
      <c r="E36" s="313"/>
      <c r="F36" s="313"/>
      <c r="G36" s="313"/>
      <c r="H36" s="313"/>
      <c r="I36" s="313"/>
      <c r="J36" s="313"/>
      <c r="K36" s="313"/>
      <c r="L36" s="313"/>
      <c r="M36" s="313"/>
      <c r="N36" s="313"/>
      <c r="O36" s="313"/>
      <c r="P36" s="253">
        <f>SUM(D36:O36)</f>
        <v>0</v>
      </c>
    </row>
    <row r="37" spans="2:16" x14ac:dyDescent="0.25">
      <c r="B37" s="1167"/>
      <c r="C37" s="252" t="s">
        <v>113</v>
      </c>
      <c r="D37" s="267">
        <f t="shared" ref="D37:P37" si="7">IF(D35=0,0,D38/D35)</f>
        <v>0</v>
      </c>
      <c r="E37" s="267">
        <f t="shared" si="7"/>
        <v>0</v>
      </c>
      <c r="F37" s="267">
        <f t="shared" si="7"/>
        <v>0</v>
      </c>
      <c r="G37" s="267">
        <f t="shared" si="7"/>
        <v>0</v>
      </c>
      <c r="H37" s="267">
        <f t="shared" si="7"/>
        <v>0</v>
      </c>
      <c r="I37" s="267">
        <f t="shared" si="7"/>
        <v>0</v>
      </c>
      <c r="J37" s="267">
        <f t="shared" si="7"/>
        <v>0</v>
      </c>
      <c r="K37" s="267">
        <f t="shared" si="7"/>
        <v>0</v>
      </c>
      <c r="L37" s="267">
        <f t="shared" si="7"/>
        <v>0</v>
      </c>
      <c r="M37" s="267">
        <f t="shared" si="7"/>
        <v>0</v>
      </c>
      <c r="N37" s="267">
        <f t="shared" si="7"/>
        <v>0</v>
      </c>
      <c r="O37" s="267">
        <f t="shared" si="7"/>
        <v>0</v>
      </c>
      <c r="P37" s="253">
        <f t="shared" si="7"/>
        <v>0</v>
      </c>
    </row>
    <row r="38" spans="2:16" ht="15.75" thickBot="1" x14ac:dyDescent="0.3">
      <c r="B38" s="1168"/>
      <c r="C38" s="254" t="s">
        <v>16</v>
      </c>
      <c r="D38" s="316"/>
      <c r="E38" s="316"/>
      <c r="F38" s="316"/>
      <c r="G38" s="316"/>
      <c r="H38" s="316"/>
      <c r="I38" s="316"/>
      <c r="J38" s="316"/>
      <c r="K38" s="316"/>
      <c r="L38" s="316"/>
      <c r="M38" s="316"/>
      <c r="N38" s="316"/>
      <c r="O38" s="316"/>
      <c r="P38" s="259">
        <f>SUM(D38:O38)</f>
        <v>0</v>
      </c>
    </row>
    <row r="39" spans="2:16" ht="15.75" thickTop="1" x14ac:dyDescent="0.25">
      <c r="B39" s="1171" t="s">
        <v>106</v>
      </c>
      <c r="C39" s="257" t="s">
        <v>15</v>
      </c>
      <c r="D39" s="315"/>
      <c r="E39" s="315"/>
      <c r="F39" s="315"/>
      <c r="G39" s="315"/>
      <c r="H39" s="315"/>
      <c r="I39" s="315"/>
      <c r="J39" s="315"/>
      <c r="K39" s="315"/>
      <c r="L39" s="315"/>
      <c r="M39" s="315"/>
      <c r="N39" s="315"/>
      <c r="O39" s="315"/>
      <c r="P39" s="260">
        <f>SUM(D39:O39)</f>
        <v>0</v>
      </c>
    </row>
    <row r="40" spans="2:16" x14ac:dyDescent="0.25">
      <c r="B40" s="1166"/>
      <c r="C40" s="250" t="s">
        <v>112</v>
      </c>
      <c r="D40" s="313"/>
      <c r="E40" s="313"/>
      <c r="F40" s="313"/>
      <c r="G40" s="313"/>
      <c r="H40" s="313"/>
      <c r="I40" s="313"/>
      <c r="J40" s="313"/>
      <c r="K40" s="313"/>
      <c r="L40" s="313"/>
      <c r="M40" s="313"/>
      <c r="N40" s="313"/>
      <c r="O40" s="313"/>
      <c r="P40" s="253">
        <f>SUM(D40:O40)</f>
        <v>0</v>
      </c>
    </row>
    <row r="41" spans="2:16" x14ac:dyDescent="0.25">
      <c r="B41" s="1167"/>
      <c r="C41" s="252" t="s">
        <v>113</v>
      </c>
      <c r="D41" s="267">
        <f t="shared" ref="D41:P41" si="8">IF(D39=0,0,D42/D39)</f>
        <v>0</v>
      </c>
      <c r="E41" s="267">
        <f t="shared" si="8"/>
        <v>0</v>
      </c>
      <c r="F41" s="267">
        <f t="shared" si="8"/>
        <v>0</v>
      </c>
      <c r="G41" s="267">
        <f t="shared" si="8"/>
        <v>0</v>
      </c>
      <c r="H41" s="267">
        <f t="shared" si="8"/>
        <v>0</v>
      </c>
      <c r="I41" s="267">
        <f t="shared" si="8"/>
        <v>0</v>
      </c>
      <c r="J41" s="267">
        <f t="shared" si="8"/>
        <v>0</v>
      </c>
      <c r="K41" s="267">
        <f t="shared" si="8"/>
        <v>0</v>
      </c>
      <c r="L41" s="267">
        <f t="shared" si="8"/>
        <v>0</v>
      </c>
      <c r="M41" s="267">
        <f t="shared" si="8"/>
        <v>0</v>
      </c>
      <c r="N41" s="267">
        <f t="shared" si="8"/>
        <v>0</v>
      </c>
      <c r="O41" s="267">
        <f t="shared" si="8"/>
        <v>0</v>
      </c>
      <c r="P41" s="253">
        <f t="shared" si="8"/>
        <v>0</v>
      </c>
    </row>
    <row r="42" spans="2:16" ht="15.75" thickBot="1" x14ac:dyDescent="0.3">
      <c r="B42" s="1172"/>
      <c r="C42" s="261" t="s">
        <v>16</v>
      </c>
      <c r="D42" s="316"/>
      <c r="E42" s="316"/>
      <c r="F42" s="316"/>
      <c r="G42" s="316"/>
      <c r="H42" s="316"/>
      <c r="I42" s="316"/>
      <c r="J42" s="316"/>
      <c r="K42" s="316"/>
      <c r="L42" s="316"/>
      <c r="M42" s="316"/>
      <c r="N42" s="316"/>
      <c r="O42" s="316"/>
      <c r="P42" s="256">
        <f>SUM(D42:O42)</f>
        <v>0</v>
      </c>
    </row>
    <row r="43" spans="2:16" s="266" customFormat="1" ht="16.5" thickTop="1" thickBot="1" x14ac:dyDescent="0.3">
      <c r="B43" s="262" t="s">
        <v>17</v>
      </c>
      <c r="C43" s="263" t="s">
        <v>47</v>
      </c>
      <c r="D43" s="264">
        <f t="shared" ref="D43:P43" si="9">SUM(D34,D38,D42)</f>
        <v>0</v>
      </c>
      <c r="E43" s="264">
        <f t="shared" si="9"/>
        <v>0</v>
      </c>
      <c r="F43" s="264">
        <f t="shared" si="9"/>
        <v>0</v>
      </c>
      <c r="G43" s="264">
        <f t="shared" si="9"/>
        <v>0</v>
      </c>
      <c r="H43" s="264">
        <f t="shared" si="9"/>
        <v>0</v>
      </c>
      <c r="I43" s="264">
        <f t="shared" si="9"/>
        <v>0</v>
      </c>
      <c r="J43" s="264">
        <f t="shared" si="9"/>
        <v>359730.8</v>
      </c>
      <c r="K43" s="264">
        <f t="shared" si="9"/>
        <v>0</v>
      </c>
      <c r="L43" s="264">
        <f t="shared" si="9"/>
        <v>0</v>
      </c>
      <c r="M43" s="264">
        <f t="shared" si="9"/>
        <v>0</v>
      </c>
      <c r="N43" s="264">
        <f t="shared" si="9"/>
        <v>0</v>
      </c>
      <c r="O43" s="264">
        <f t="shared" si="9"/>
        <v>0</v>
      </c>
      <c r="P43" s="265">
        <f t="shared" si="9"/>
        <v>359730.8</v>
      </c>
    </row>
    <row r="44" spans="2:16" ht="16.5" thickTop="1" thickBot="1" x14ac:dyDescent="0.3"/>
    <row r="45" spans="2:16" ht="23.25" customHeight="1" thickTop="1" thickBot="1" x14ac:dyDescent="0.3">
      <c r="B45" s="1164" t="s">
        <v>235</v>
      </c>
      <c r="C45" s="1165"/>
      <c r="D45" s="269" t="s">
        <v>202</v>
      </c>
      <c r="E45" s="248" t="s">
        <v>47</v>
      </c>
      <c r="F45" s="270" t="s">
        <v>203</v>
      </c>
      <c r="G45" s="270" t="s">
        <v>487</v>
      </c>
      <c r="H45" s="1160" t="s">
        <v>236</v>
      </c>
      <c r="I45" s="1161"/>
      <c r="J45" s="271"/>
      <c r="K45" s="436" t="s">
        <v>488</v>
      </c>
      <c r="L45" s="271"/>
      <c r="M45" s="271"/>
      <c r="N45" s="271"/>
      <c r="O45" s="271"/>
      <c r="P45" s="271"/>
    </row>
    <row r="46" spans="2:16" ht="15.75" customHeight="1" thickTop="1" x14ac:dyDescent="0.25">
      <c r="B46" s="1169"/>
      <c r="C46" s="1170"/>
      <c r="D46" s="317"/>
      <c r="E46" s="317"/>
      <c r="F46" s="318"/>
      <c r="G46" s="318"/>
      <c r="H46" s="1162"/>
      <c r="I46" s="1163"/>
      <c r="J46" s="273" t="s">
        <v>104</v>
      </c>
      <c r="K46" s="226">
        <f>(F46*G46)/14.689</f>
        <v>0</v>
      </c>
      <c r="L46" s="1019"/>
      <c r="M46" s="1019"/>
      <c r="N46" s="1019"/>
      <c r="O46" s="1019"/>
      <c r="P46" s="271"/>
    </row>
    <row r="47" spans="2:16" x14ac:dyDescent="0.25">
      <c r="B47" s="1173"/>
      <c r="C47" s="1174"/>
      <c r="D47" s="777"/>
      <c r="E47" s="317"/>
      <c r="F47" s="318"/>
      <c r="G47" s="318"/>
      <c r="H47" s="1158"/>
      <c r="I47" s="1159"/>
      <c r="J47" s="273" t="s">
        <v>103</v>
      </c>
      <c r="K47" s="226">
        <f t="shared" ref="K47:K65" si="10">(F47*G47)/14.689</f>
        <v>0</v>
      </c>
      <c r="L47" s="224"/>
      <c r="M47" s="274"/>
      <c r="N47" s="237"/>
      <c r="O47" s="275"/>
      <c r="P47" s="276"/>
    </row>
    <row r="48" spans="2:16" x14ac:dyDescent="0.25">
      <c r="B48" s="1173"/>
      <c r="C48" s="1174"/>
      <c r="D48" s="317"/>
      <c r="E48" s="317"/>
      <c r="F48" s="318"/>
      <c r="G48" s="318"/>
      <c r="H48" s="1158"/>
      <c r="I48" s="1159"/>
      <c r="J48" s="273" t="s">
        <v>102</v>
      </c>
      <c r="K48" s="226">
        <f t="shared" si="10"/>
        <v>0</v>
      </c>
      <c r="L48" s="224"/>
      <c r="M48" s="274"/>
      <c r="N48" s="237"/>
      <c r="O48" s="275"/>
      <c r="P48" s="276"/>
    </row>
    <row r="49" spans="2:16" x14ac:dyDescent="0.25">
      <c r="B49" s="1173"/>
      <c r="C49" s="1174"/>
      <c r="D49" s="317"/>
      <c r="E49" s="317"/>
      <c r="F49" s="318"/>
      <c r="G49" s="318"/>
      <c r="H49" s="1158"/>
      <c r="I49" s="1159"/>
      <c r="J49" s="273" t="s">
        <v>123</v>
      </c>
      <c r="K49" s="226">
        <f t="shared" si="10"/>
        <v>0</v>
      </c>
      <c r="L49" s="224"/>
      <c r="M49" s="274"/>
      <c r="N49" s="237"/>
      <c r="O49" s="275"/>
      <c r="P49" s="276"/>
    </row>
    <row r="50" spans="2:16" x14ac:dyDescent="0.25">
      <c r="B50" s="1173"/>
      <c r="C50" s="1174"/>
      <c r="D50" s="317"/>
      <c r="E50" s="317"/>
      <c r="F50" s="318"/>
      <c r="G50" s="318"/>
      <c r="H50" s="1158"/>
      <c r="I50" s="1159"/>
      <c r="J50" s="224"/>
      <c r="K50" s="226">
        <f t="shared" si="10"/>
        <v>0</v>
      </c>
      <c r="L50" s="224"/>
      <c r="M50" s="274"/>
      <c r="N50" s="237"/>
      <c r="O50" s="275"/>
      <c r="P50" s="276"/>
    </row>
    <row r="51" spans="2:16" x14ac:dyDescent="0.25">
      <c r="B51" s="1173"/>
      <c r="C51" s="1174"/>
      <c r="D51" s="317"/>
      <c r="E51" s="317"/>
      <c r="F51" s="318"/>
      <c r="G51" s="318"/>
      <c r="H51" s="1158"/>
      <c r="I51" s="1159"/>
      <c r="J51" s="224"/>
      <c r="K51" s="226">
        <f t="shared" si="10"/>
        <v>0</v>
      </c>
      <c r="L51" s="224"/>
      <c r="M51" s="274"/>
      <c r="N51" s="237"/>
      <c r="O51" s="275"/>
      <c r="P51" s="276"/>
    </row>
    <row r="52" spans="2:16" x14ac:dyDescent="0.25">
      <c r="B52" s="1173"/>
      <c r="C52" s="1174"/>
      <c r="D52" s="317"/>
      <c r="E52" s="317"/>
      <c r="F52" s="318"/>
      <c r="G52" s="318"/>
      <c r="H52" s="1158"/>
      <c r="I52" s="1159"/>
      <c r="J52" s="274"/>
      <c r="K52" s="226">
        <f t="shared" si="10"/>
        <v>0</v>
      </c>
      <c r="L52" s="275"/>
      <c r="M52" s="274"/>
      <c r="N52" s="237"/>
      <c r="O52" s="275"/>
      <c r="P52" s="276"/>
    </row>
    <row r="53" spans="2:16" x14ac:dyDescent="0.25">
      <c r="B53" s="1173"/>
      <c r="C53" s="1174"/>
      <c r="D53" s="317"/>
      <c r="E53" s="317"/>
      <c r="F53" s="318"/>
      <c r="G53" s="318"/>
      <c r="H53" s="1158"/>
      <c r="I53" s="1159"/>
      <c r="J53" s="274"/>
      <c r="K53" s="226">
        <f t="shared" si="10"/>
        <v>0</v>
      </c>
      <c r="L53" s="275"/>
      <c r="M53" s="274"/>
      <c r="N53" s="237"/>
      <c r="O53" s="275"/>
      <c r="P53" s="276"/>
    </row>
    <row r="54" spans="2:16" x14ac:dyDescent="0.25">
      <c r="B54" s="1173"/>
      <c r="C54" s="1174"/>
      <c r="D54" s="317"/>
      <c r="E54" s="317"/>
      <c r="F54" s="318"/>
      <c r="G54" s="318"/>
      <c r="H54" s="1158"/>
      <c r="I54" s="1159"/>
      <c r="J54" s="274"/>
      <c r="K54" s="226">
        <f t="shared" si="10"/>
        <v>0</v>
      </c>
      <c r="L54" s="275"/>
      <c r="M54" s="274"/>
      <c r="N54" s="237"/>
      <c r="O54" s="275"/>
      <c r="P54" s="276"/>
    </row>
    <row r="55" spans="2:16" x14ac:dyDescent="0.25">
      <c r="B55" s="1173"/>
      <c r="C55" s="1174"/>
      <c r="D55" s="317"/>
      <c r="E55" s="317"/>
      <c r="F55" s="318"/>
      <c r="G55" s="318"/>
      <c r="H55" s="1158"/>
      <c r="I55" s="1159"/>
      <c r="J55" s="274"/>
      <c r="K55" s="226">
        <f t="shared" si="10"/>
        <v>0</v>
      </c>
      <c r="L55" s="275"/>
      <c r="M55" s="274"/>
      <c r="N55" s="237"/>
      <c r="O55" s="275"/>
      <c r="P55" s="276"/>
    </row>
    <row r="56" spans="2:16" x14ac:dyDescent="0.25">
      <c r="B56" s="1173"/>
      <c r="C56" s="1174"/>
      <c r="D56" s="317"/>
      <c r="E56" s="317"/>
      <c r="F56" s="318"/>
      <c r="G56" s="318"/>
      <c r="H56" s="1158"/>
      <c r="I56" s="1159"/>
      <c r="J56" s="274"/>
      <c r="K56" s="226">
        <f t="shared" si="10"/>
        <v>0</v>
      </c>
      <c r="L56" s="275"/>
      <c r="M56" s="274"/>
      <c r="N56" s="237"/>
      <c r="O56" s="275"/>
      <c r="P56" s="276"/>
    </row>
    <row r="57" spans="2:16" x14ac:dyDescent="0.25">
      <c r="B57" s="1173"/>
      <c r="C57" s="1174"/>
      <c r="D57" s="317"/>
      <c r="E57" s="317"/>
      <c r="F57" s="318"/>
      <c r="G57" s="318"/>
      <c r="H57" s="1158"/>
      <c r="I57" s="1159"/>
      <c r="J57" s="274"/>
      <c r="K57" s="226">
        <f t="shared" si="10"/>
        <v>0</v>
      </c>
      <c r="L57" s="275"/>
      <c r="M57" s="274"/>
      <c r="N57" s="237"/>
      <c r="O57" s="275"/>
      <c r="P57" s="276"/>
    </row>
    <row r="58" spans="2:16" x14ac:dyDescent="0.25">
      <c r="B58" s="1173"/>
      <c r="C58" s="1174"/>
      <c r="D58" s="319"/>
      <c r="E58" s="317"/>
      <c r="F58" s="318"/>
      <c r="G58" s="318"/>
      <c r="H58" s="1158"/>
      <c r="I58" s="1159"/>
      <c r="J58" s="274"/>
      <c r="K58" s="226">
        <f t="shared" si="10"/>
        <v>0</v>
      </c>
      <c r="L58" s="275"/>
      <c r="M58" s="274"/>
      <c r="N58" s="237"/>
      <c r="O58" s="275"/>
      <c r="P58" s="276"/>
    </row>
    <row r="59" spans="2:16" x14ac:dyDescent="0.25">
      <c r="B59" s="820"/>
      <c r="C59" s="821"/>
      <c r="D59" s="319"/>
      <c r="E59" s="317"/>
      <c r="F59" s="318"/>
      <c r="G59" s="318"/>
      <c r="H59" s="1158"/>
      <c r="I59" s="1159"/>
      <c r="J59" s="274"/>
      <c r="K59" s="226">
        <f t="shared" si="10"/>
        <v>0</v>
      </c>
      <c r="L59" s="275"/>
      <c r="M59" s="274"/>
      <c r="N59" s="237"/>
      <c r="O59" s="275"/>
      <c r="P59" s="276"/>
    </row>
    <row r="60" spans="2:16" x14ac:dyDescent="0.25">
      <c r="B60" s="820"/>
      <c r="C60" s="821"/>
      <c r="D60" s="319"/>
      <c r="E60" s="317"/>
      <c r="F60" s="318"/>
      <c r="G60" s="318"/>
      <c r="H60" s="1158"/>
      <c r="I60" s="1159"/>
      <c r="J60" s="274"/>
      <c r="K60" s="226">
        <f t="shared" si="10"/>
        <v>0</v>
      </c>
      <c r="L60" s="275"/>
      <c r="M60" s="274"/>
      <c r="N60" s="237"/>
      <c r="O60" s="275"/>
      <c r="P60" s="276"/>
    </row>
    <row r="61" spans="2:16" x14ac:dyDescent="0.25">
      <c r="B61" s="820"/>
      <c r="C61" s="821"/>
      <c r="D61" s="319"/>
      <c r="E61" s="317"/>
      <c r="F61" s="318"/>
      <c r="G61" s="318"/>
      <c r="H61" s="1158"/>
      <c r="I61" s="1159"/>
      <c r="J61" s="274"/>
      <c r="K61" s="226">
        <f t="shared" si="10"/>
        <v>0</v>
      </c>
      <c r="L61" s="275"/>
      <c r="M61" s="274"/>
      <c r="N61" s="237"/>
      <c r="O61" s="275"/>
      <c r="P61" s="276"/>
    </row>
    <row r="62" spans="2:16" x14ac:dyDescent="0.25">
      <c r="B62" s="820"/>
      <c r="C62" s="821"/>
      <c r="D62" s="319"/>
      <c r="E62" s="317"/>
      <c r="F62" s="318"/>
      <c r="G62" s="318"/>
      <c r="H62" s="1158"/>
      <c r="I62" s="1159"/>
      <c r="J62" s="274"/>
      <c r="K62" s="226">
        <f t="shared" si="10"/>
        <v>0</v>
      </c>
      <c r="L62" s="275"/>
      <c r="M62" s="274"/>
      <c r="N62" s="237"/>
      <c r="O62" s="275"/>
      <c r="P62" s="276"/>
    </row>
    <row r="63" spans="2:16" x14ac:dyDescent="0.25">
      <c r="B63" s="820"/>
      <c r="C63" s="821"/>
      <c r="D63" s="319"/>
      <c r="E63" s="317"/>
      <c r="F63" s="318"/>
      <c r="G63" s="318"/>
      <c r="H63" s="1158"/>
      <c r="I63" s="1159"/>
      <c r="J63" s="274"/>
      <c r="K63" s="226">
        <f t="shared" si="10"/>
        <v>0</v>
      </c>
      <c r="L63" s="275"/>
      <c r="M63" s="274"/>
      <c r="N63" s="237"/>
      <c r="O63" s="275"/>
      <c r="P63" s="276"/>
    </row>
    <row r="64" spans="2:16" x14ac:dyDescent="0.25">
      <c r="B64" s="820"/>
      <c r="C64" s="821"/>
      <c r="D64" s="319"/>
      <c r="E64" s="317"/>
      <c r="F64" s="318"/>
      <c r="G64" s="318"/>
      <c r="H64" s="1158"/>
      <c r="I64" s="1159"/>
      <c r="J64" s="274"/>
      <c r="K64" s="226">
        <f t="shared" si="10"/>
        <v>0</v>
      </c>
      <c r="L64" s="275"/>
      <c r="M64" s="274"/>
      <c r="N64" s="237"/>
      <c r="O64" s="275"/>
      <c r="P64" s="276"/>
    </row>
    <row r="65" spans="2:26" ht="15.75" thickBot="1" x14ac:dyDescent="0.3">
      <c r="B65" s="778"/>
      <c r="C65" s="779"/>
      <c r="D65" s="320"/>
      <c r="E65" s="321"/>
      <c r="F65" s="322"/>
      <c r="G65" s="322"/>
      <c r="H65" s="1156"/>
      <c r="I65" s="1157"/>
      <c r="J65" s="274"/>
      <c r="K65" s="226">
        <f t="shared" si="10"/>
        <v>0</v>
      </c>
      <c r="L65" s="275"/>
      <c r="M65" s="274"/>
      <c r="N65" s="237"/>
      <c r="O65" s="275"/>
      <c r="P65" s="276"/>
    </row>
    <row r="66" spans="2:26" ht="16.5" thickTop="1" thickBot="1" x14ac:dyDescent="0.3">
      <c r="B66" s="278"/>
      <c r="C66" s="277"/>
      <c r="D66" s="279"/>
      <c r="E66" s="280"/>
      <c r="F66" s="281"/>
      <c r="G66" s="279"/>
      <c r="H66" s="280"/>
      <c r="I66" s="281"/>
      <c r="J66" s="279"/>
      <c r="K66" s="280"/>
      <c r="L66" s="281"/>
      <c r="M66" s="279"/>
      <c r="N66" s="280"/>
      <c r="O66" s="281"/>
      <c r="P66" s="282"/>
    </row>
    <row r="67" spans="2:26" ht="16.5" thickTop="1" thickBot="1" x14ac:dyDescent="0.3">
      <c r="B67" s="283"/>
      <c r="C67" s="284"/>
      <c r="D67" s="285" t="s">
        <v>0</v>
      </c>
      <c r="E67" s="286" t="s">
        <v>1</v>
      </c>
      <c r="F67" s="286" t="s">
        <v>2</v>
      </c>
      <c r="G67" s="285" t="s">
        <v>3</v>
      </c>
      <c r="H67" s="286" t="s">
        <v>4</v>
      </c>
      <c r="I67" s="286" t="s">
        <v>5</v>
      </c>
      <c r="J67" s="285" t="s">
        <v>6</v>
      </c>
      <c r="K67" s="286" t="s">
        <v>7</v>
      </c>
      <c r="L67" s="286" t="s">
        <v>8</v>
      </c>
      <c r="M67" s="285" t="s">
        <v>9</v>
      </c>
      <c r="N67" s="286" t="s">
        <v>10</v>
      </c>
      <c r="O67" s="286" t="s">
        <v>11</v>
      </c>
      <c r="P67" s="287" t="s">
        <v>17</v>
      </c>
    </row>
    <row r="68" spans="2:26" ht="16.5" thickTop="1" thickBot="1" x14ac:dyDescent="0.3">
      <c r="B68" s="1164" t="s">
        <v>403</v>
      </c>
      <c r="C68" s="1175"/>
      <c r="D68" s="288">
        <f t="shared" ref="D68:O68" si="11">SUMIFS($E46:$E65,$D46:$D65,D67)</f>
        <v>0</v>
      </c>
      <c r="E68" s="288">
        <f t="shared" si="11"/>
        <v>0</v>
      </c>
      <c r="F68" s="288">
        <f t="shared" si="11"/>
        <v>0</v>
      </c>
      <c r="G68" s="288">
        <f t="shared" si="11"/>
        <v>0</v>
      </c>
      <c r="H68" s="288">
        <f t="shared" si="11"/>
        <v>0</v>
      </c>
      <c r="I68" s="288">
        <f t="shared" si="11"/>
        <v>0</v>
      </c>
      <c r="J68" s="288">
        <f t="shared" si="11"/>
        <v>0</v>
      </c>
      <c r="K68" s="288">
        <f t="shared" si="11"/>
        <v>0</v>
      </c>
      <c r="L68" s="288">
        <f t="shared" si="11"/>
        <v>0</v>
      </c>
      <c r="M68" s="288">
        <f t="shared" si="11"/>
        <v>0</v>
      </c>
      <c r="N68" s="288">
        <f t="shared" si="11"/>
        <v>0</v>
      </c>
      <c r="O68" s="288">
        <f t="shared" si="11"/>
        <v>0</v>
      </c>
      <c r="P68" s="289">
        <f>SUM(D68:O68)</f>
        <v>0</v>
      </c>
    </row>
    <row r="69" spans="2:26" ht="16.5" thickTop="1" thickBot="1" x14ac:dyDescent="0.3"/>
    <row r="70" spans="2:26" ht="16.5" thickTop="1" thickBot="1" x14ac:dyDescent="0.3">
      <c r="B70" s="1177" t="s">
        <v>402</v>
      </c>
      <c r="C70" s="1178"/>
      <c r="D70" s="290">
        <f t="shared" ref="D70:O70" si="12">SUM(D68,D43,D28)</f>
        <v>0</v>
      </c>
      <c r="E70" s="290">
        <f t="shared" si="12"/>
        <v>0</v>
      </c>
      <c r="F70" s="290">
        <f t="shared" si="12"/>
        <v>0</v>
      </c>
      <c r="G70" s="290">
        <f t="shared" si="12"/>
        <v>3000</v>
      </c>
      <c r="H70" s="290">
        <f t="shared" si="12"/>
        <v>0</v>
      </c>
      <c r="I70" s="290">
        <f t="shared" si="12"/>
        <v>0</v>
      </c>
      <c r="J70" s="290">
        <f t="shared" si="12"/>
        <v>359730.8</v>
      </c>
      <c r="K70" s="290">
        <f t="shared" si="12"/>
        <v>0</v>
      </c>
      <c r="L70" s="290">
        <f t="shared" si="12"/>
        <v>0</v>
      </c>
      <c r="M70" s="290">
        <f t="shared" si="12"/>
        <v>0</v>
      </c>
      <c r="N70" s="290">
        <f t="shared" si="12"/>
        <v>0</v>
      </c>
      <c r="O70" s="290">
        <f t="shared" si="12"/>
        <v>0</v>
      </c>
      <c r="P70" s="291">
        <f>SUM(D70:O70)</f>
        <v>362730.8</v>
      </c>
    </row>
    <row r="71" spans="2:26" ht="16.5" thickTop="1" thickBot="1" x14ac:dyDescent="0.3"/>
    <row r="72" spans="2:26" ht="16.5" thickTop="1" thickBot="1" x14ac:dyDescent="0.3">
      <c r="B72" s="292" t="s">
        <v>391</v>
      </c>
      <c r="C72" s="293"/>
      <c r="D72" s="294" t="s">
        <v>28</v>
      </c>
      <c r="E72" s="295" t="s">
        <v>29</v>
      </c>
      <c r="F72" s="295" t="s">
        <v>30</v>
      </c>
      <c r="G72" s="294" t="s">
        <v>31</v>
      </c>
      <c r="H72" s="295" t="s">
        <v>32</v>
      </c>
      <c r="I72" s="295" t="s">
        <v>33</v>
      </c>
      <c r="J72" s="294" t="s">
        <v>34</v>
      </c>
      <c r="K72" s="295" t="s">
        <v>35</v>
      </c>
      <c r="L72" s="295" t="s">
        <v>36</v>
      </c>
      <c r="M72" s="294" t="s">
        <v>37</v>
      </c>
      <c r="N72" s="295" t="s">
        <v>38</v>
      </c>
      <c r="O72" s="295" t="s">
        <v>39</v>
      </c>
      <c r="P72" s="296" t="s">
        <v>17</v>
      </c>
      <c r="Q72" s="272"/>
      <c r="R72" s="272"/>
      <c r="S72" s="1176"/>
      <c r="T72" s="1176"/>
      <c r="U72" s="1176"/>
      <c r="V72" s="1176"/>
      <c r="W72" s="1176"/>
      <c r="X72" s="1176"/>
      <c r="Y72" s="1176"/>
      <c r="Z72" s="1176"/>
    </row>
    <row r="73" spans="2:26" ht="15.75" thickTop="1" x14ac:dyDescent="0.25">
      <c r="B73" s="297" t="s">
        <v>405</v>
      </c>
      <c r="C73" s="298"/>
      <c r="D73" s="323"/>
      <c r="E73" s="323"/>
      <c r="F73" s="323"/>
      <c r="G73" s="323"/>
      <c r="H73" s="323"/>
      <c r="I73" s="323"/>
      <c r="J73" s="323"/>
      <c r="K73" s="323"/>
      <c r="L73" s="323"/>
      <c r="M73" s="323"/>
      <c r="N73" s="323"/>
      <c r="O73" s="323"/>
      <c r="P73" s="299">
        <f>SUM(D73:O73)</f>
        <v>0</v>
      </c>
      <c r="Q73" s="300"/>
      <c r="R73" s="300"/>
      <c r="S73" s="300"/>
      <c r="T73" s="300"/>
      <c r="U73" s="300"/>
      <c r="V73" s="300"/>
      <c r="W73" s="300"/>
      <c r="X73" s="300"/>
      <c r="Y73" s="300"/>
      <c r="Z73" s="300"/>
    </row>
    <row r="74" spans="2:26" x14ac:dyDescent="0.25">
      <c r="B74" s="301" t="s">
        <v>406</v>
      </c>
      <c r="C74" s="302"/>
      <c r="D74" s="324"/>
      <c r="E74" s="324"/>
      <c r="F74" s="324">
        <v>180000</v>
      </c>
      <c r="G74" s="324"/>
      <c r="H74" s="324"/>
      <c r="I74" s="324"/>
      <c r="J74" s="324">
        <f>38500+74400</f>
        <v>112900</v>
      </c>
      <c r="K74" s="324">
        <v>41850</v>
      </c>
      <c r="L74" s="324"/>
      <c r="M74" s="324"/>
      <c r="N74" s="324"/>
      <c r="O74" s="324"/>
      <c r="P74" s="303">
        <f t="shared" ref="P74:P76" si="13">SUM(D74:O74)</f>
        <v>334750</v>
      </c>
      <c r="Q74" s="300"/>
      <c r="R74" s="300"/>
      <c r="S74" s="300"/>
      <c r="T74" s="300"/>
      <c r="U74" s="300"/>
      <c r="V74" s="300"/>
      <c r="W74" s="300"/>
      <c r="X74" s="300"/>
      <c r="Y74" s="300"/>
      <c r="Z74" s="300"/>
    </row>
    <row r="75" spans="2:26" ht="15.75" thickBot="1" x14ac:dyDescent="0.3">
      <c r="B75" s="304" t="s">
        <v>407</v>
      </c>
      <c r="C75" s="305"/>
      <c r="D75" s="325"/>
      <c r="E75" s="325"/>
      <c r="F75" s="325"/>
      <c r="G75" s="325"/>
      <c r="H75" s="325"/>
      <c r="I75" s="325"/>
      <c r="J75" s="325"/>
      <c r="K75" s="325"/>
      <c r="L75" s="325"/>
      <c r="M75" s="325"/>
      <c r="N75" s="325"/>
      <c r="O75" s="325"/>
      <c r="P75" s="306">
        <f t="shared" si="13"/>
        <v>0</v>
      </c>
      <c r="Q75" s="300"/>
      <c r="R75" s="300"/>
      <c r="S75" s="300"/>
      <c r="T75" s="300"/>
      <c r="U75" s="300"/>
      <c r="V75" s="300"/>
      <c r="W75" s="300"/>
      <c r="X75" s="300"/>
      <c r="Y75" s="300"/>
      <c r="Z75" s="300"/>
    </row>
    <row r="76" spans="2:26" ht="16.5" thickTop="1" thickBot="1" x14ac:dyDescent="0.3">
      <c r="B76" s="307" t="s">
        <v>404</v>
      </c>
      <c r="C76" s="308"/>
      <c r="D76" s="309">
        <f t="shared" ref="D76:O76" si="14">SUM(D73:D75)</f>
        <v>0</v>
      </c>
      <c r="E76" s="309">
        <f t="shared" si="14"/>
        <v>0</v>
      </c>
      <c r="F76" s="309">
        <f t="shared" si="14"/>
        <v>180000</v>
      </c>
      <c r="G76" s="309">
        <f t="shared" si="14"/>
        <v>0</v>
      </c>
      <c r="H76" s="309">
        <f t="shared" si="14"/>
        <v>0</v>
      </c>
      <c r="I76" s="309">
        <f t="shared" si="14"/>
        <v>0</v>
      </c>
      <c r="J76" s="309">
        <f t="shared" si="14"/>
        <v>112900</v>
      </c>
      <c r="K76" s="309">
        <f t="shared" si="14"/>
        <v>41850</v>
      </c>
      <c r="L76" s="309">
        <f t="shared" si="14"/>
        <v>0</v>
      </c>
      <c r="M76" s="309">
        <f t="shared" si="14"/>
        <v>0</v>
      </c>
      <c r="N76" s="309">
        <f t="shared" si="14"/>
        <v>0</v>
      </c>
      <c r="O76" s="309">
        <f t="shared" si="14"/>
        <v>0</v>
      </c>
      <c r="P76" s="310">
        <f t="shared" si="13"/>
        <v>334750</v>
      </c>
      <c r="Q76" s="311"/>
      <c r="R76" s="312"/>
      <c r="S76" s="311"/>
      <c r="T76" s="312"/>
      <c r="U76" s="311"/>
      <c r="V76" s="312"/>
      <c r="W76" s="311"/>
      <c r="X76" s="312"/>
      <c r="Y76" s="311"/>
      <c r="Z76" s="312"/>
    </row>
    <row r="77" spans="2:26" ht="15.75" thickTop="1" x14ac:dyDescent="0.25">
      <c r="P77" s="224"/>
      <c r="Q77" s="224"/>
      <c r="R77" s="224"/>
      <c r="S77" s="224"/>
      <c r="T77" s="224"/>
      <c r="U77" s="224"/>
      <c r="V77" s="224"/>
      <c r="W77" s="224"/>
      <c r="X77" s="224"/>
      <c r="Y77" s="224"/>
      <c r="Z77" s="224"/>
    </row>
  </sheetData>
  <sheetProtection password="E066" sheet="1" objects="1" scenarios="1" selectLockedCells="1"/>
  <mergeCells count="51">
    <mergeCell ref="S72:T72"/>
    <mergeCell ref="U72:V72"/>
    <mergeCell ref="W72:X72"/>
    <mergeCell ref="Y72:Z72"/>
    <mergeCell ref="B70:C70"/>
    <mergeCell ref="B47:C47"/>
    <mergeCell ref="B48:C48"/>
    <mergeCell ref="B49:C49"/>
    <mergeCell ref="B50:C50"/>
    <mergeCell ref="B51:C51"/>
    <mergeCell ref="B56:C56"/>
    <mergeCell ref="B57:C57"/>
    <mergeCell ref="B58:C58"/>
    <mergeCell ref="B68:C68"/>
    <mergeCell ref="B52:C52"/>
    <mergeCell ref="B53:C53"/>
    <mergeCell ref="B54:C54"/>
    <mergeCell ref="B55:C55"/>
    <mergeCell ref="B30:C30"/>
    <mergeCell ref="B35:B38"/>
    <mergeCell ref="B7:C7"/>
    <mergeCell ref="B45:C45"/>
    <mergeCell ref="B46:C46"/>
    <mergeCell ref="B39:B42"/>
    <mergeCell ref="B31:B34"/>
    <mergeCell ref="B8:B11"/>
    <mergeCell ref="B12:B15"/>
    <mergeCell ref="B16:B19"/>
    <mergeCell ref="B20:B23"/>
    <mergeCell ref="B24:B27"/>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5:I65"/>
    <mergeCell ref="H60:I60"/>
    <mergeCell ref="H61:I61"/>
    <mergeCell ref="H62:I62"/>
    <mergeCell ref="H63:I63"/>
    <mergeCell ref="H64:I64"/>
  </mergeCells>
  <conditionalFormatting sqref="F47:F65">
    <cfRule type="expression" dxfId="16" priority="15">
      <formula>AND($E47&lt;&gt;0,OR($F47=0,$F47=""))</formula>
    </cfRule>
  </conditionalFormatting>
  <conditionalFormatting sqref="D47:D65">
    <cfRule type="expression" dxfId="15" priority="13">
      <formula>AND($D47="",OR($E47&lt;&gt;0,$E47&lt;&gt;""))</formula>
    </cfRule>
  </conditionalFormatting>
  <conditionalFormatting sqref="R73">
    <cfRule type="expression" dxfId="14" priority="12">
      <formula>T73+V73+X73+Z73&lt;&gt;R73</formula>
    </cfRule>
  </conditionalFormatting>
  <conditionalFormatting sqref="R74">
    <cfRule type="expression" dxfId="13" priority="11">
      <formula>T74+V74+X74+Z74&lt;&gt;R74</formula>
    </cfRule>
  </conditionalFormatting>
  <conditionalFormatting sqref="R75">
    <cfRule type="expression" dxfId="12" priority="10">
      <formula>T75+V75+X75+Z75&lt;&gt;R75</formula>
    </cfRule>
  </conditionalFormatting>
  <conditionalFormatting sqref="F46">
    <cfRule type="expression" dxfId="11" priority="9">
      <formula>AND($E46&lt;&gt;0,OR($F46=0,$F46=""))</formula>
    </cfRule>
  </conditionalFormatting>
  <conditionalFormatting sqref="D46">
    <cfRule type="expression" dxfId="10" priority="7">
      <formula>AND($D46="",OR($E46&lt;&gt;0,$E46&lt;&gt;""))</formula>
    </cfRule>
  </conditionalFormatting>
  <conditionalFormatting sqref="G47:G65">
    <cfRule type="expression" dxfId="9" priority="5">
      <formula>AND($E47&lt;&gt;0,OR($F47=0,$F47=""))</formula>
    </cfRule>
  </conditionalFormatting>
  <conditionalFormatting sqref="G46">
    <cfRule type="expression" dxfId="8" priority="4">
      <formula>AND($E46&lt;&gt;0,OR($F46=0,$F46=""))</formula>
    </cfRule>
  </conditionalFormatting>
  <conditionalFormatting sqref="H46">
    <cfRule type="expression" dxfId="7" priority="2">
      <formula>AND($E46&lt;&gt;0,OR($F46=0,$F46=""))</formula>
    </cfRule>
  </conditionalFormatting>
  <conditionalFormatting sqref="H47:H65">
    <cfRule type="expression" dxfId="6" priority="1">
      <formula>AND($E47&lt;&gt;0,OR($F47=0,$F47=""))</formula>
    </cfRule>
  </conditionalFormatting>
  <dataValidations disablePrompts="1" count="2">
    <dataValidation type="list" allowBlank="1" showInputMessage="1" showErrorMessage="1" sqref="J66 G66 M66 D46:D66">
      <formula1>$D$67:$O$67</formula1>
    </dataValidation>
    <dataValidation type="list" allowBlank="1" showInputMessage="1" showErrorMessage="1" sqref="H46:H65">
      <formula1>$J$46:$J$49</formula1>
    </dataValidation>
  </dataValidations>
  <pageMargins left="0.23622047244094491" right="0.23622047244094491" top="0.59055118110236227" bottom="0.59055118110236227" header="0.31496062992125984" footer="0.31496062992125984"/>
  <pageSetup paperSize="9" orientation="landscape" r:id="rId1"/>
  <ignoredErrors>
    <ignoredError sqref="P10 P26 P41:P42 P14:P16 P18:P20 P22:P24 P33:P35 P37:P39"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82"/>
  <sheetViews>
    <sheetView showGridLines="0" topLeftCell="B1" zoomScale="80" zoomScaleNormal="80" workbookViewId="0">
      <selection activeCell="B27" sqref="B27"/>
    </sheetView>
  </sheetViews>
  <sheetFormatPr defaultColWidth="0" defaultRowHeight="15" zeroHeight="1" x14ac:dyDescent="0.25"/>
  <cols>
    <col min="1" max="1" width="3.7109375" style="32" customWidth="1"/>
    <col min="2" max="2" width="24.140625" style="1" customWidth="1"/>
    <col min="3" max="3" width="14.42578125" style="1" customWidth="1"/>
    <col min="4" max="4" width="10.85546875" style="1" customWidth="1"/>
    <col min="5" max="5" width="12.7109375" style="1" hidden="1" customWidth="1"/>
    <col min="6" max="6" width="16.85546875" style="1" customWidth="1"/>
    <col min="7" max="7" width="12.28515625" style="1" customWidth="1"/>
    <col min="8" max="8" width="13.7109375" style="1" customWidth="1"/>
    <col min="9" max="9" width="15" style="1" customWidth="1"/>
    <col min="10" max="10" width="16.5703125" style="1" customWidth="1"/>
    <col min="11" max="11" width="18.85546875" style="1" customWidth="1"/>
    <col min="12" max="12" width="3.28515625" style="32" customWidth="1"/>
    <col min="13" max="13" width="15.140625" style="1" customWidth="1"/>
    <col min="14" max="14" width="18.42578125" style="1" customWidth="1"/>
    <col min="15" max="15" width="17.42578125" style="1" customWidth="1"/>
    <col min="16" max="16" width="17.5703125" style="1" customWidth="1"/>
    <col min="17" max="17" width="16.140625" style="1" customWidth="1"/>
    <col min="18" max="18" width="17.28515625" style="1" customWidth="1"/>
    <col min="19" max="19" width="13.5703125" style="1" customWidth="1"/>
    <col min="20" max="20" width="20.28515625" style="1" customWidth="1"/>
    <col min="21" max="21" width="3.140625" style="1" customWidth="1"/>
    <col min="22" max="16383" width="10" style="1" hidden="1"/>
    <col min="16384" max="16384" width="4" style="1" hidden="1"/>
  </cols>
  <sheetData>
    <row r="1" spans="1:16384" ht="15.75" thickBot="1" x14ac:dyDescent="0.3"/>
    <row r="2" spans="1:16384" ht="16.5" customHeight="1" thickTop="1" thickBot="1" x14ac:dyDescent="0.3">
      <c r="B2" s="440" t="str">
        <f>REBANHO!B2</f>
        <v>Fazenda</v>
      </c>
      <c r="C2" s="441" t="str">
        <f>IF(REBANHO!C2="","",REBANHO!C2)</f>
        <v>Bonanza</v>
      </c>
      <c r="D2" s="441"/>
      <c r="E2" s="441"/>
      <c r="F2" s="441"/>
      <c r="G2" s="445" t="str">
        <f>REBANHO!F2</f>
        <v>Ano</v>
      </c>
      <c r="H2" s="441"/>
      <c r="I2" s="448">
        <f>IF(REBANHO!I2="","",REBANHO!I2)</f>
        <v>2016</v>
      </c>
      <c r="K2" s="74"/>
    </row>
    <row r="3" spans="1:16384" ht="16.5" customHeight="1" thickTop="1" x14ac:dyDescent="0.25">
      <c r="B3" s="442" t="str">
        <f>REBANHO!B3</f>
        <v>Município</v>
      </c>
      <c r="C3" s="439" t="str">
        <f>IF(REBANHO!C3="","",REBANHO!C3)</f>
        <v>Quatá</v>
      </c>
      <c r="D3" s="439"/>
      <c r="E3" s="439"/>
      <c r="F3" s="451"/>
      <c r="G3" s="446" t="str">
        <f>REBANHO!F3</f>
        <v>Área total da propriedade (ha)</v>
      </c>
      <c r="H3" s="439"/>
      <c r="I3" s="449">
        <f>IF(REBANHO!I3="","",REBANHO!I3)</f>
        <v>1100</v>
      </c>
      <c r="K3" s="74"/>
    </row>
    <row r="4" spans="1:16384" ht="16.5" customHeight="1" x14ac:dyDescent="0.25">
      <c r="B4" s="442" t="str">
        <f>REBANHO!B4</f>
        <v>Estado</v>
      </c>
      <c r="C4" s="439" t="str">
        <f>IF(REBANHO!C4="","",REBANHO!C4)</f>
        <v>SP</v>
      </c>
      <c r="D4" s="439"/>
      <c r="E4" s="439"/>
      <c r="F4" s="451"/>
      <c r="G4" s="446" t="str">
        <f>REBANHO!F4</f>
        <v>Área de pasto (ha)</v>
      </c>
      <c r="H4" s="439"/>
      <c r="I4" s="453">
        <f>IF(REBANHO!I4="","",REBANHO!I4)</f>
        <v>100.9</v>
      </c>
      <c r="K4" s="74"/>
    </row>
    <row r="5" spans="1:16384" ht="16.5" customHeight="1" x14ac:dyDescent="0.25">
      <c r="B5" s="442" t="str">
        <f>REBANHO!B5</f>
        <v>Proprietário</v>
      </c>
      <c r="C5" s="439" t="str">
        <f>IF(REBANHO!C5="","",REBANHO!C5)</f>
        <v>Marcelo Delchiaro</v>
      </c>
      <c r="D5" s="439"/>
      <c r="E5" s="439"/>
      <c r="F5" s="451"/>
      <c r="G5" s="446" t="str">
        <f>REBANHO!F5</f>
        <v>Área de reserva (ha)</v>
      </c>
      <c r="H5" s="439"/>
      <c r="I5" s="453">
        <f>IF(REBANHO!I5="","",REBANHO!I5)</f>
        <v>11</v>
      </c>
      <c r="K5" s="74"/>
    </row>
    <row r="6" spans="1:16384" ht="16.5" customHeight="1" thickBot="1" x14ac:dyDescent="0.3">
      <c r="B6" s="443" t="str">
        <f>REBANHO!B6</f>
        <v>Sistema de produção</v>
      </c>
      <c r="C6" s="444" t="str">
        <f>IF(REBANHO!C6="","",REBANHO!C6)</f>
        <v>Rotacionado - Adubado</v>
      </c>
      <c r="D6" s="444"/>
      <c r="E6" s="444"/>
      <c r="F6" s="452"/>
      <c r="G6" s="447" t="str">
        <f>REBANHO!F6</f>
        <v>Outros (ha)</v>
      </c>
      <c r="H6" s="444"/>
      <c r="I6" s="450" t="str">
        <f>IF(REBANHO!I6="","",REBANHO!I6)</f>
        <v/>
      </c>
      <c r="K6" s="74"/>
    </row>
    <row r="7" spans="1:16384" ht="17.25" thickTop="1" thickBot="1" x14ac:dyDescent="0.3">
      <c r="B7" s="2"/>
      <c r="C7" s="14"/>
      <c r="D7" s="14"/>
      <c r="E7" s="2"/>
      <c r="F7" s="38"/>
      <c r="J7" s="2"/>
      <c r="K7" s="2"/>
    </row>
    <row r="8" spans="1:16384" ht="24" customHeight="1" thickTop="1" thickBot="1" x14ac:dyDescent="0.3">
      <c r="B8" s="1198" t="s">
        <v>229</v>
      </c>
      <c r="C8" s="1199"/>
      <c r="D8" s="1161"/>
      <c r="E8" s="3"/>
      <c r="F8" s="4"/>
      <c r="G8" s="1197" t="s">
        <v>126</v>
      </c>
      <c r="H8" s="1197"/>
      <c r="I8" s="92">
        <v>0.06</v>
      </c>
      <c r="J8" s="5"/>
      <c r="K8" s="5"/>
    </row>
    <row r="9" spans="1:16384" ht="30" customHeight="1" thickTop="1" thickBot="1" x14ac:dyDescent="0.3">
      <c r="E9" s="3"/>
      <c r="F9" s="4"/>
      <c r="J9" s="5"/>
      <c r="K9" s="5"/>
    </row>
    <row r="10" spans="1:16384" ht="23.25" customHeight="1" thickTop="1" thickBot="1" x14ac:dyDescent="0.3">
      <c r="B10" s="1183" t="s">
        <v>135</v>
      </c>
      <c r="C10" s="1184"/>
      <c r="D10" s="1184"/>
      <c r="E10" s="1184"/>
      <c r="F10" s="1184"/>
      <c r="G10" s="1184"/>
      <c r="H10" s="1184"/>
      <c r="I10" s="1184"/>
      <c r="J10" s="1184"/>
      <c r="K10" s="97"/>
      <c r="M10" s="1194" t="s">
        <v>373</v>
      </c>
      <c r="N10" s="1195"/>
      <c r="O10" s="1195"/>
      <c r="P10" s="1196"/>
      <c r="R10" s="128" t="s">
        <v>313</v>
      </c>
      <c r="S10" s="129"/>
      <c r="T10" s="130"/>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row r="11" spans="1:16384" s="15" customFormat="1" ht="63.75" customHeight="1" thickTop="1" thickBot="1" x14ac:dyDescent="0.3">
      <c r="A11" s="71"/>
      <c r="B11" s="101" t="s">
        <v>136</v>
      </c>
      <c r="C11" s="102" t="s">
        <v>137</v>
      </c>
      <c r="D11" s="102" t="s">
        <v>147</v>
      </c>
      <c r="E11" s="102" t="s">
        <v>300</v>
      </c>
      <c r="F11" s="102" t="s">
        <v>372</v>
      </c>
      <c r="G11" s="102" t="s">
        <v>139</v>
      </c>
      <c r="H11" s="102" t="s">
        <v>377</v>
      </c>
      <c r="I11" s="102" t="s">
        <v>374</v>
      </c>
      <c r="J11" s="103" t="s">
        <v>375</v>
      </c>
      <c r="K11" s="105" t="s">
        <v>376</v>
      </c>
      <c r="L11" s="71"/>
      <c r="M11" s="120" t="s">
        <v>140</v>
      </c>
      <c r="N11" s="121" t="s">
        <v>141</v>
      </c>
      <c r="O11" s="121" t="s">
        <v>142</v>
      </c>
      <c r="P11" s="122" t="s">
        <v>143</v>
      </c>
      <c r="R11" s="134" t="s">
        <v>236</v>
      </c>
      <c r="S11" s="137"/>
      <c r="T11" s="131" t="s">
        <v>314</v>
      </c>
    </row>
    <row r="12" spans="1:16384" s="15" customFormat="1" ht="15.75" thickTop="1" x14ac:dyDescent="0.25">
      <c r="A12" s="71"/>
      <c r="B12" s="98" t="s">
        <v>299</v>
      </c>
      <c r="C12" s="99">
        <f>IF(OR(I$2=0,I$2=""),"",$I$2-11)</f>
        <v>2005</v>
      </c>
      <c r="D12" s="99">
        <v>8</v>
      </c>
      <c r="E12" s="45">
        <f t="shared" ref="E12:E20" si="0">IF(C12="","",IF(11-($I$2-C12)&lt;=0,0,11-($I$2-C12)))</f>
        <v>0</v>
      </c>
      <c r="F12" s="35"/>
      <c r="G12" s="33"/>
      <c r="H12" s="100">
        <f t="shared" ref="H12:H18" si="1">IF(G12=0,0,F12*G12)</f>
        <v>0</v>
      </c>
      <c r="I12" s="19">
        <f>G12*P12</f>
        <v>0</v>
      </c>
      <c r="J12" s="104">
        <f>IF(C12="",0,IF(C12&gt;$I$2,0,IF((C12+D12+3)-$I$2&lt;=0,0,(PMT($I$8,D12,H12,-I12,0))*(-1))))</f>
        <v>0</v>
      </c>
      <c r="K12" s="831"/>
      <c r="L12" s="32"/>
      <c r="M12" s="117"/>
      <c r="N12" s="118"/>
      <c r="O12" s="118"/>
      <c r="P12" s="119">
        <f t="shared" ref="P12:P21" si="2">(M12/15)*N12*0.01*O12</f>
        <v>0</v>
      </c>
      <c r="Q12" s="31"/>
      <c r="R12" s="135" t="s">
        <v>104</v>
      </c>
      <c r="S12" s="138"/>
      <c r="T12" s="132">
        <f>REBANHO!R94</f>
        <v>0</v>
      </c>
    </row>
    <row r="13" spans="1:16384" x14ac:dyDescent="0.25">
      <c r="B13" s="95" t="s">
        <v>144</v>
      </c>
      <c r="C13" s="44">
        <f>IF(OR(I$2=0,I$2=""),"",$I$2-10)</f>
        <v>2006</v>
      </c>
      <c r="D13" s="44">
        <v>8</v>
      </c>
      <c r="E13" s="45">
        <f t="shared" si="0"/>
        <v>1</v>
      </c>
      <c r="F13" s="23"/>
      <c r="G13" s="34"/>
      <c r="H13" s="39">
        <f t="shared" si="1"/>
        <v>0</v>
      </c>
      <c r="I13" s="16">
        <f>G13*P13</f>
        <v>0</v>
      </c>
      <c r="J13" s="104">
        <f>IF(C13="",0,IF(C13&gt;$I$2,0,IF((C13+D13+3)-$I$2&lt;=0,0,(PMT($I$8,D13,H13,-I13,0))*(-1))))</f>
        <v>0</v>
      </c>
      <c r="K13" s="832"/>
      <c r="M13" s="115"/>
      <c r="N13" s="17"/>
      <c r="O13" s="17"/>
      <c r="P13" s="116">
        <f t="shared" si="2"/>
        <v>0</v>
      </c>
      <c r="Q13" s="31"/>
      <c r="R13" s="135" t="s">
        <v>103</v>
      </c>
      <c r="S13" s="139"/>
      <c r="T13" s="132">
        <f>REBANHO!R95</f>
        <v>63.555680032941162</v>
      </c>
    </row>
    <row r="14" spans="1:16384" x14ac:dyDescent="0.25">
      <c r="B14" s="95" t="s">
        <v>144</v>
      </c>
      <c r="C14" s="44">
        <f>IF(OR(I$2=0,I$2=""),"",C13+1)</f>
        <v>2007</v>
      </c>
      <c r="D14" s="44">
        <v>8</v>
      </c>
      <c r="E14" s="45">
        <f t="shared" si="0"/>
        <v>2</v>
      </c>
      <c r="F14" s="23"/>
      <c r="G14" s="34"/>
      <c r="H14" s="39">
        <f t="shared" si="1"/>
        <v>0</v>
      </c>
      <c r="I14" s="16">
        <f t="shared" ref="I14:I20" si="3">G14*P14</f>
        <v>0</v>
      </c>
      <c r="J14" s="104">
        <f>IF(C14="",0,IF(C14&gt;$I$2,0,IF((C14+D14+3)-$I$2&lt;=0,0,(PMT($I$8,D14,H14,-I14,0))*(-1))))</f>
        <v>0</v>
      </c>
      <c r="K14" s="832"/>
      <c r="M14" s="115"/>
      <c r="N14" s="17"/>
      <c r="O14" s="17"/>
      <c r="P14" s="116">
        <f t="shared" si="2"/>
        <v>0</v>
      </c>
      <c r="Q14" s="31"/>
      <c r="R14" s="135" t="s">
        <v>102</v>
      </c>
      <c r="S14" s="139"/>
      <c r="T14" s="132">
        <f>REBANHO!R96</f>
        <v>35.551792381613048</v>
      </c>
    </row>
    <row r="15" spans="1:16384" ht="15.75" thickBot="1" x14ac:dyDescent="0.3">
      <c r="B15" s="95" t="s">
        <v>144</v>
      </c>
      <c r="C15" s="44">
        <f t="shared" ref="C15:C20" si="4">IF(OR(I$2=0,I$2=""),"",C14+1)</f>
        <v>2008</v>
      </c>
      <c r="D15" s="44">
        <v>8</v>
      </c>
      <c r="E15" s="45">
        <f t="shared" si="0"/>
        <v>3</v>
      </c>
      <c r="F15" s="23"/>
      <c r="G15" s="34"/>
      <c r="H15" s="39">
        <f t="shared" si="1"/>
        <v>0</v>
      </c>
      <c r="I15" s="16">
        <f t="shared" si="3"/>
        <v>0</v>
      </c>
      <c r="J15" s="104">
        <f t="shared" ref="J15:J20" si="5">IF(C15="",0,IF(C15&gt;$I$2,0,IF((C15+D15+3)-$I$2&lt;=0,0,(PMT($I$8,D15,H15,-I15,0))*(-1))))</f>
        <v>0</v>
      </c>
      <c r="K15" s="832"/>
      <c r="M15" s="115"/>
      <c r="N15" s="17"/>
      <c r="O15" s="17"/>
      <c r="P15" s="116">
        <f t="shared" si="2"/>
        <v>0</v>
      </c>
      <c r="Q15" s="31"/>
      <c r="R15" s="136" t="s">
        <v>123</v>
      </c>
      <c r="S15" s="140"/>
      <c r="T15" s="133">
        <f>REBANHO!R97</f>
        <v>0.89252758544579069</v>
      </c>
    </row>
    <row r="16" spans="1:16384" ht="15.75" thickTop="1" x14ac:dyDescent="0.25">
      <c r="B16" s="95" t="s">
        <v>144</v>
      </c>
      <c r="C16" s="44">
        <f t="shared" si="4"/>
        <v>2009</v>
      </c>
      <c r="D16" s="44">
        <v>8</v>
      </c>
      <c r="E16" s="45">
        <f t="shared" si="0"/>
        <v>4</v>
      </c>
      <c r="F16" s="23"/>
      <c r="G16" s="34"/>
      <c r="H16" s="39">
        <f t="shared" si="1"/>
        <v>0</v>
      </c>
      <c r="I16" s="16">
        <f t="shared" si="3"/>
        <v>0</v>
      </c>
      <c r="J16" s="104">
        <f t="shared" si="5"/>
        <v>0</v>
      </c>
      <c r="K16" s="832"/>
      <c r="M16" s="115"/>
      <c r="N16" s="17"/>
      <c r="O16" s="17"/>
      <c r="P16" s="116">
        <f t="shared" si="2"/>
        <v>0</v>
      </c>
      <c r="Q16" s="31"/>
      <c r="R16" s="78"/>
      <c r="S16" s="79"/>
      <c r="T16" s="79"/>
    </row>
    <row r="17" spans="1:20" x14ac:dyDescent="0.25">
      <c r="B17" s="95" t="s">
        <v>144</v>
      </c>
      <c r="C17" s="44">
        <f t="shared" si="4"/>
        <v>2010</v>
      </c>
      <c r="D17" s="44">
        <v>8</v>
      </c>
      <c r="E17" s="45">
        <f t="shared" si="0"/>
        <v>5</v>
      </c>
      <c r="F17" s="23"/>
      <c r="G17" s="34"/>
      <c r="H17" s="39">
        <f t="shared" si="1"/>
        <v>0</v>
      </c>
      <c r="I17" s="16">
        <f t="shared" si="3"/>
        <v>0</v>
      </c>
      <c r="J17" s="104">
        <f t="shared" si="5"/>
        <v>0</v>
      </c>
      <c r="K17" s="832"/>
      <c r="M17" s="115"/>
      <c r="N17" s="17"/>
      <c r="O17" s="17"/>
      <c r="P17" s="116">
        <f t="shared" si="2"/>
        <v>0</v>
      </c>
      <c r="Q17" s="31"/>
      <c r="R17" s="78"/>
    </row>
    <row r="18" spans="1:20" x14ac:dyDescent="0.25">
      <c r="B18" s="95" t="s">
        <v>144</v>
      </c>
      <c r="C18" s="44">
        <f t="shared" si="4"/>
        <v>2011</v>
      </c>
      <c r="D18" s="44">
        <v>8</v>
      </c>
      <c r="E18" s="45">
        <f t="shared" si="0"/>
        <v>6</v>
      </c>
      <c r="F18" s="23"/>
      <c r="G18" s="34"/>
      <c r="H18" s="39">
        <f t="shared" si="1"/>
        <v>0</v>
      </c>
      <c r="I18" s="16">
        <f t="shared" si="3"/>
        <v>0</v>
      </c>
      <c r="J18" s="104">
        <f t="shared" si="5"/>
        <v>0</v>
      </c>
      <c r="K18" s="832"/>
      <c r="M18" s="115"/>
      <c r="N18" s="17"/>
      <c r="O18" s="17"/>
      <c r="P18" s="116">
        <f t="shared" si="2"/>
        <v>0</v>
      </c>
      <c r="Q18" s="31"/>
      <c r="R18" s="78"/>
    </row>
    <row r="19" spans="1:20" x14ac:dyDescent="0.25">
      <c r="B19" s="95" t="s">
        <v>144</v>
      </c>
      <c r="C19" s="44">
        <f t="shared" si="4"/>
        <v>2012</v>
      </c>
      <c r="D19" s="44">
        <v>8</v>
      </c>
      <c r="E19" s="45">
        <f t="shared" si="0"/>
        <v>7</v>
      </c>
      <c r="F19" s="23"/>
      <c r="G19" s="34"/>
      <c r="H19" s="39">
        <f>IF(G19=0,0,F19*G19)</f>
        <v>0</v>
      </c>
      <c r="I19" s="16">
        <f t="shared" si="3"/>
        <v>0</v>
      </c>
      <c r="J19" s="104">
        <f t="shared" si="5"/>
        <v>0</v>
      </c>
      <c r="K19" s="832"/>
      <c r="M19" s="115"/>
      <c r="N19" s="17"/>
      <c r="O19" s="17"/>
      <c r="P19" s="116">
        <f t="shared" si="2"/>
        <v>0</v>
      </c>
      <c r="Q19" s="31"/>
      <c r="R19" s="78"/>
    </row>
    <row r="20" spans="1:20" ht="15.75" thickBot="1" x14ac:dyDescent="0.3">
      <c r="B20" s="96" t="s">
        <v>144</v>
      </c>
      <c r="C20" s="44">
        <f t="shared" si="4"/>
        <v>2013</v>
      </c>
      <c r="D20" s="81">
        <v>8</v>
      </c>
      <c r="E20" s="106">
        <f t="shared" si="0"/>
        <v>8</v>
      </c>
      <c r="F20" s="27"/>
      <c r="G20" s="191"/>
      <c r="H20" s="107">
        <f>IF(G20=0,0,F20*G20)</f>
        <v>0</v>
      </c>
      <c r="I20" s="18">
        <f t="shared" si="3"/>
        <v>0</v>
      </c>
      <c r="J20" s="104">
        <f t="shared" si="5"/>
        <v>0</v>
      </c>
      <c r="K20" s="833"/>
      <c r="M20" s="123"/>
      <c r="N20" s="29"/>
      <c r="O20" s="29"/>
      <c r="P20" s="124">
        <f t="shared" si="2"/>
        <v>0</v>
      </c>
      <c r="Q20" s="31"/>
      <c r="R20" s="78"/>
    </row>
    <row r="21" spans="1:20" ht="16.5" thickTop="1" thickBot="1" x14ac:dyDescent="0.3">
      <c r="B21" s="108" t="s">
        <v>145</v>
      </c>
      <c r="C21" s="109" t="s">
        <v>134</v>
      </c>
      <c r="D21" s="109" t="s">
        <v>107</v>
      </c>
      <c r="E21" s="110" t="s">
        <v>107</v>
      </c>
      <c r="F21" s="111">
        <f>SUM(F12:F20)</f>
        <v>0</v>
      </c>
      <c r="G21" s="112">
        <f>SUM(G12:G20)</f>
        <v>0</v>
      </c>
      <c r="H21" s="112" t="s">
        <v>107</v>
      </c>
      <c r="I21" s="111">
        <f>SUM(I12:I20)</f>
        <v>0</v>
      </c>
      <c r="J21" s="113">
        <f>SUM(J12:J20)</f>
        <v>0</v>
      </c>
      <c r="K21" s="114">
        <f>SUM(K12:K20)</f>
        <v>0</v>
      </c>
      <c r="M21" s="125">
        <f>IF(SUM(M12:M20)=0,0,AVERAGE(M12:M20))</f>
        <v>0</v>
      </c>
      <c r="N21" s="126">
        <f>IF(SUM(N12:N20)=0,0,AVERAGE(N12:N20))</f>
        <v>0</v>
      </c>
      <c r="O21" s="126">
        <f>IF(SUM(O12:O20)=0,0,AVERAGE(O12:O20))</f>
        <v>0</v>
      </c>
      <c r="P21" s="127">
        <f t="shared" si="2"/>
        <v>0</v>
      </c>
      <c r="Q21" s="32"/>
      <c r="R21" s="78"/>
    </row>
    <row r="22" spans="1:20" ht="15.75" thickTop="1" x14ac:dyDescent="0.25">
      <c r="B22" s="58"/>
      <c r="C22" s="93"/>
      <c r="D22" s="93"/>
      <c r="E22" s="93"/>
      <c r="F22" s="73"/>
      <c r="G22" s="94"/>
      <c r="H22" s="94"/>
      <c r="I22" s="73"/>
      <c r="J22" s="73"/>
      <c r="K22" s="73"/>
      <c r="M22" s="20"/>
      <c r="N22" s="20"/>
      <c r="O22" s="20"/>
      <c r="P22" s="20"/>
    </row>
    <row r="23" spans="1:20" ht="84" customHeight="1" thickBot="1" x14ac:dyDescent="0.3">
      <c r="B23" s="14"/>
      <c r="C23" s="14"/>
      <c r="D23" s="14"/>
      <c r="E23" s="14"/>
      <c r="F23" s="14"/>
      <c r="G23" s="14"/>
      <c r="H23" s="14"/>
      <c r="I23" s="14"/>
      <c r="J23" s="14"/>
      <c r="K23" s="75"/>
      <c r="L23" s="75"/>
      <c r="M23" s="2"/>
    </row>
    <row r="24" spans="1:20" ht="18.75" customHeight="1" thickTop="1" thickBot="1" x14ac:dyDescent="0.3">
      <c r="A24" s="31"/>
      <c r="B24" s="14"/>
      <c r="C24" s="14"/>
      <c r="D24" s="14"/>
      <c r="E24" s="14"/>
      <c r="F24" s="14"/>
      <c r="G24" s="14"/>
      <c r="H24" s="14"/>
      <c r="I24" s="14"/>
      <c r="J24" s="14"/>
      <c r="K24" s="76"/>
      <c r="M24" s="1205" t="s">
        <v>42</v>
      </c>
      <c r="N24" s="1206"/>
      <c r="O24" s="1206"/>
      <c r="P24" s="1206"/>
      <c r="Q24" s="819" t="s">
        <v>447</v>
      </c>
      <c r="R24" s="816"/>
      <c r="S24" s="819" t="s">
        <v>448</v>
      </c>
      <c r="T24" s="817" t="s">
        <v>498</v>
      </c>
    </row>
    <row r="25" spans="1:20" ht="16.5" thickTop="1" thickBot="1" x14ac:dyDescent="0.3">
      <c r="B25" s="141" t="s">
        <v>166</v>
      </c>
      <c r="C25" s="142"/>
      <c r="D25" s="142"/>
      <c r="E25" s="142"/>
      <c r="F25" s="142"/>
      <c r="G25" s="142"/>
      <c r="H25" s="142"/>
      <c r="I25" s="142"/>
      <c r="J25" s="142"/>
      <c r="K25" s="143"/>
      <c r="L25" s="72"/>
      <c r="M25" s="1200" t="s">
        <v>123</v>
      </c>
      <c r="N25" s="1192"/>
      <c r="O25" s="1201" t="s">
        <v>104</v>
      </c>
      <c r="P25" s="1202"/>
      <c r="Q25" s="1203" t="s">
        <v>127</v>
      </c>
      <c r="R25" s="1192"/>
      <c r="S25" s="1203" t="s">
        <v>128</v>
      </c>
      <c r="T25" s="1204"/>
    </row>
    <row r="26" spans="1:20" ht="55.5" customHeight="1" thickTop="1" thickBot="1" x14ac:dyDescent="0.3">
      <c r="A26" s="30"/>
      <c r="B26" s="150" t="s">
        <v>136</v>
      </c>
      <c r="C26" s="151" t="s">
        <v>261</v>
      </c>
      <c r="D26" s="151" t="s">
        <v>147</v>
      </c>
      <c r="E26" s="152"/>
      <c r="F26" s="151" t="s">
        <v>224</v>
      </c>
      <c r="G26" s="151" t="s">
        <v>148</v>
      </c>
      <c r="H26" s="151" t="s">
        <v>377</v>
      </c>
      <c r="I26" s="151" t="s">
        <v>378</v>
      </c>
      <c r="J26" s="174" t="s">
        <v>436</v>
      </c>
      <c r="K26" s="175" t="s">
        <v>376</v>
      </c>
      <c r="L26" s="147" t="s">
        <v>146</v>
      </c>
      <c r="M26" s="144" t="s">
        <v>130</v>
      </c>
      <c r="N26" s="145" t="s">
        <v>131</v>
      </c>
      <c r="O26" s="145" t="s">
        <v>130</v>
      </c>
      <c r="P26" s="145" t="s">
        <v>131</v>
      </c>
      <c r="Q26" s="145" t="s">
        <v>130</v>
      </c>
      <c r="R26" s="145" t="s">
        <v>131</v>
      </c>
      <c r="S26" s="145" t="s">
        <v>130</v>
      </c>
      <c r="T26" s="146" t="s">
        <v>131</v>
      </c>
    </row>
    <row r="27" spans="1:20" ht="15.75" thickTop="1" x14ac:dyDescent="0.25">
      <c r="A27" s="30">
        <f>IF(C27="","",MONTH(C27))</f>
        <v>8</v>
      </c>
      <c r="B27" s="159" t="s">
        <v>507</v>
      </c>
      <c r="C27" s="160">
        <v>41487</v>
      </c>
      <c r="D27" s="161">
        <v>10</v>
      </c>
      <c r="E27" s="162"/>
      <c r="F27" s="163">
        <f t="shared" ref="F27:F51" si="6">IF(L27="","",IF(D27-($I$2-L27)&lt;=0,0,D27-($I$2-L27)))</f>
        <v>7</v>
      </c>
      <c r="G27" s="164">
        <v>53</v>
      </c>
      <c r="H27" s="165">
        <v>15000</v>
      </c>
      <c r="I27" s="166">
        <f>IF(OR(B27="",H27=""),"",0)</f>
        <v>0</v>
      </c>
      <c r="J27" s="425">
        <f>IF(OR(B27="",I$2=""),"",IF(L27&gt;$I$2,0,IF(F27&lt;=0,0,(PMT($I$8,D27,H27,0,0))*(-1))))</f>
        <v>2038.0193733057577</v>
      </c>
      <c r="K27" s="834">
        <v>15000</v>
      </c>
      <c r="L27" s="42">
        <f>IF(C27="","",YEAR(C27))</f>
        <v>2013</v>
      </c>
      <c r="M27" s="177"/>
      <c r="N27" s="178" t="str">
        <f t="shared" ref="N27:N51" si="7">IF(M27="","",$J27*M27/100)</f>
        <v/>
      </c>
      <c r="O27" s="179"/>
      <c r="P27" s="178" t="str">
        <f t="shared" ref="P27:P51" si="8">IF(O27="","",$J27*O27/100)</f>
        <v/>
      </c>
      <c r="Q27" s="179"/>
      <c r="R27" s="178" t="str">
        <f t="shared" ref="R27:R51" si="9">IF(Q27="","",$J27*Q27/100)</f>
        <v/>
      </c>
      <c r="S27" s="180" t="str">
        <f>IF(AND(M27="",O27="",Q27=""),"",100-M27-O27-Q27)</f>
        <v/>
      </c>
      <c r="T27" s="181" t="str">
        <f t="shared" ref="T27:T51" si="10">IF(S27="","",$J27*S27/100)</f>
        <v/>
      </c>
    </row>
    <row r="28" spans="1:20" x14ac:dyDescent="0.25">
      <c r="A28" s="30">
        <f t="shared" ref="A28:A51" si="11">IF(C28="","",MONTH(C28))</f>
        <v>11</v>
      </c>
      <c r="B28" s="148" t="s">
        <v>523</v>
      </c>
      <c r="C28" s="69">
        <v>41944</v>
      </c>
      <c r="D28" s="21">
        <v>0.5</v>
      </c>
      <c r="E28" s="22"/>
      <c r="F28" s="40">
        <f t="shared" si="6"/>
        <v>0</v>
      </c>
      <c r="G28" s="23">
        <v>38</v>
      </c>
      <c r="H28" s="24">
        <v>3040</v>
      </c>
      <c r="I28" s="16">
        <f t="shared" ref="I28:I50" si="12">IF(OR(B28="",H28=""),"",0)</f>
        <v>0</v>
      </c>
      <c r="J28" s="426">
        <f t="shared" ref="J28:J51" si="13">IF(OR(B28="",I$2=""),"",IF(L28&gt;$I$2,0,IF(F28&lt;=0,0,(PMT($I$8,D28,H28,0,0))*(-1))))</f>
        <v>0</v>
      </c>
      <c r="K28" s="832">
        <v>3040</v>
      </c>
      <c r="L28" s="42">
        <f t="shared" ref="L28:L52" si="14">IF(C28="","",YEAR(C28))</f>
        <v>2014</v>
      </c>
      <c r="M28" s="115"/>
      <c r="N28" s="25" t="str">
        <f t="shared" si="7"/>
        <v/>
      </c>
      <c r="O28" s="17"/>
      <c r="P28" s="25" t="str">
        <f t="shared" si="8"/>
        <v/>
      </c>
      <c r="Q28" s="17"/>
      <c r="R28" s="25" t="str">
        <f t="shared" si="9"/>
        <v/>
      </c>
      <c r="S28" s="26" t="str">
        <f t="shared" ref="S28:S51" si="15">IF(AND(M28="",O28="",Q28=""),"",100-M28-O28-Q28)</f>
        <v/>
      </c>
      <c r="T28" s="182" t="str">
        <f t="shared" si="10"/>
        <v/>
      </c>
    </row>
    <row r="29" spans="1:20" x14ac:dyDescent="0.25">
      <c r="A29" s="30" t="str">
        <f t="shared" si="11"/>
        <v/>
      </c>
      <c r="B29" s="148" t="s">
        <v>149</v>
      </c>
      <c r="C29" s="69"/>
      <c r="D29" s="21"/>
      <c r="E29" s="22"/>
      <c r="F29" s="40" t="str">
        <f t="shared" si="6"/>
        <v/>
      </c>
      <c r="G29" s="23"/>
      <c r="H29" s="24"/>
      <c r="I29" s="16" t="str">
        <f t="shared" si="12"/>
        <v/>
      </c>
      <c r="J29" s="426">
        <f t="shared" si="13"/>
        <v>0</v>
      </c>
      <c r="K29" s="832"/>
      <c r="L29" s="42" t="str">
        <f t="shared" si="14"/>
        <v/>
      </c>
      <c r="M29" s="115"/>
      <c r="N29" s="25" t="str">
        <f t="shared" si="7"/>
        <v/>
      </c>
      <c r="O29" s="17"/>
      <c r="P29" s="25" t="str">
        <f t="shared" si="8"/>
        <v/>
      </c>
      <c r="Q29" s="17"/>
      <c r="R29" s="25" t="str">
        <f t="shared" si="9"/>
        <v/>
      </c>
      <c r="S29" s="26" t="str">
        <f t="shared" si="15"/>
        <v/>
      </c>
      <c r="T29" s="182" t="str">
        <f t="shared" si="10"/>
        <v/>
      </c>
    </row>
    <row r="30" spans="1:20" x14ac:dyDescent="0.25">
      <c r="A30" s="30" t="str">
        <f t="shared" si="11"/>
        <v/>
      </c>
      <c r="B30" s="148" t="s">
        <v>150</v>
      </c>
      <c r="C30" s="21"/>
      <c r="D30" s="21"/>
      <c r="E30" s="22"/>
      <c r="F30" s="40" t="str">
        <f t="shared" si="6"/>
        <v/>
      </c>
      <c r="G30" s="23"/>
      <c r="H30" s="24"/>
      <c r="I30" s="16" t="str">
        <f t="shared" si="12"/>
        <v/>
      </c>
      <c r="J30" s="426">
        <f t="shared" si="13"/>
        <v>0</v>
      </c>
      <c r="K30" s="832"/>
      <c r="L30" s="42" t="str">
        <f t="shared" si="14"/>
        <v/>
      </c>
      <c r="M30" s="115"/>
      <c r="N30" s="25" t="str">
        <f t="shared" si="7"/>
        <v/>
      </c>
      <c r="O30" s="17"/>
      <c r="P30" s="25" t="str">
        <f t="shared" si="8"/>
        <v/>
      </c>
      <c r="Q30" s="17"/>
      <c r="R30" s="25" t="str">
        <f t="shared" si="9"/>
        <v/>
      </c>
      <c r="S30" s="26" t="str">
        <f t="shared" si="15"/>
        <v/>
      </c>
      <c r="T30" s="182" t="str">
        <f t="shared" si="10"/>
        <v/>
      </c>
    </row>
    <row r="31" spans="1:20" x14ac:dyDescent="0.25">
      <c r="A31" s="30" t="str">
        <f t="shared" si="11"/>
        <v/>
      </c>
      <c r="B31" s="148" t="s">
        <v>151</v>
      </c>
      <c r="C31" s="21"/>
      <c r="D31" s="21"/>
      <c r="E31" s="22"/>
      <c r="F31" s="40" t="str">
        <f t="shared" si="6"/>
        <v/>
      </c>
      <c r="G31" s="23"/>
      <c r="H31" s="24"/>
      <c r="I31" s="16" t="str">
        <f t="shared" si="12"/>
        <v/>
      </c>
      <c r="J31" s="426">
        <f t="shared" si="13"/>
        <v>0</v>
      </c>
      <c r="K31" s="832"/>
      <c r="L31" s="42" t="str">
        <f t="shared" si="14"/>
        <v/>
      </c>
      <c r="M31" s="115"/>
      <c r="N31" s="25" t="str">
        <f t="shared" si="7"/>
        <v/>
      </c>
      <c r="O31" s="17"/>
      <c r="P31" s="25" t="str">
        <f t="shared" si="8"/>
        <v/>
      </c>
      <c r="Q31" s="17"/>
      <c r="R31" s="25" t="str">
        <f t="shared" si="9"/>
        <v/>
      </c>
      <c r="S31" s="26" t="str">
        <f t="shared" si="15"/>
        <v/>
      </c>
      <c r="T31" s="182" t="str">
        <f t="shared" si="10"/>
        <v/>
      </c>
    </row>
    <row r="32" spans="1:20" x14ac:dyDescent="0.25">
      <c r="A32" s="30" t="str">
        <f t="shared" si="11"/>
        <v/>
      </c>
      <c r="B32" s="148" t="s">
        <v>152</v>
      </c>
      <c r="C32" s="21"/>
      <c r="D32" s="21"/>
      <c r="E32" s="22"/>
      <c r="F32" s="40" t="str">
        <f t="shared" ref="F32:F50" si="16">IF(L32="","",IF(D32-($I$2-L32)&lt;=0,0,D32-($I$2-L32)))</f>
        <v/>
      </c>
      <c r="G32" s="23"/>
      <c r="H32" s="24"/>
      <c r="I32" s="16" t="str">
        <f t="shared" si="12"/>
        <v/>
      </c>
      <c r="J32" s="426">
        <f t="shared" si="13"/>
        <v>0</v>
      </c>
      <c r="K32" s="832"/>
      <c r="L32" s="42" t="str">
        <f t="shared" si="14"/>
        <v/>
      </c>
      <c r="M32" s="115"/>
      <c r="N32" s="25" t="str">
        <f t="shared" si="7"/>
        <v/>
      </c>
      <c r="O32" s="17"/>
      <c r="P32" s="25" t="str">
        <f t="shared" si="8"/>
        <v/>
      </c>
      <c r="Q32" s="17"/>
      <c r="R32" s="25" t="str">
        <f t="shared" si="9"/>
        <v/>
      </c>
      <c r="S32" s="26" t="str">
        <f t="shared" si="15"/>
        <v/>
      </c>
      <c r="T32" s="182" t="str">
        <f t="shared" si="10"/>
        <v/>
      </c>
    </row>
    <row r="33" spans="1:20" x14ac:dyDescent="0.25">
      <c r="A33" s="30" t="str">
        <f t="shared" si="11"/>
        <v/>
      </c>
      <c r="B33" s="148" t="s">
        <v>153</v>
      </c>
      <c r="C33" s="21"/>
      <c r="D33" s="21"/>
      <c r="E33" s="22"/>
      <c r="F33" s="40" t="str">
        <f t="shared" si="16"/>
        <v/>
      </c>
      <c r="G33" s="23"/>
      <c r="H33" s="24"/>
      <c r="I33" s="16" t="str">
        <f t="shared" si="12"/>
        <v/>
      </c>
      <c r="J33" s="426">
        <f t="shared" si="13"/>
        <v>0</v>
      </c>
      <c r="K33" s="832"/>
      <c r="L33" s="42" t="str">
        <f t="shared" si="14"/>
        <v/>
      </c>
      <c r="M33" s="115"/>
      <c r="N33" s="25" t="str">
        <f t="shared" ref="N33:N50" si="17">IF(M33="","",$J33*M33/100)</f>
        <v/>
      </c>
      <c r="O33" s="17"/>
      <c r="P33" s="25" t="str">
        <f t="shared" ref="P33:P50" si="18">IF(O33="","",$J33*O33/100)</f>
        <v/>
      </c>
      <c r="Q33" s="17"/>
      <c r="R33" s="25" t="str">
        <f t="shared" ref="R33:R50" si="19">IF(Q33="","",$J33*Q33/100)</f>
        <v/>
      </c>
      <c r="S33" s="26" t="str">
        <f t="shared" si="15"/>
        <v/>
      </c>
      <c r="T33" s="182" t="str">
        <f t="shared" ref="T33:T50" si="20">IF(S33="","",$J33*S33/100)</f>
        <v/>
      </c>
    </row>
    <row r="34" spans="1:20" x14ac:dyDescent="0.25">
      <c r="A34" s="30" t="str">
        <f t="shared" si="11"/>
        <v/>
      </c>
      <c r="B34" s="148" t="s">
        <v>154</v>
      </c>
      <c r="C34" s="21"/>
      <c r="D34" s="21"/>
      <c r="E34" s="22"/>
      <c r="F34" s="40" t="str">
        <f t="shared" si="16"/>
        <v/>
      </c>
      <c r="G34" s="23"/>
      <c r="H34" s="24"/>
      <c r="I34" s="16" t="str">
        <f t="shared" si="12"/>
        <v/>
      </c>
      <c r="J34" s="426">
        <f t="shared" si="13"/>
        <v>0</v>
      </c>
      <c r="K34" s="832"/>
      <c r="L34" s="42" t="str">
        <f t="shared" si="14"/>
        <v/>
      </c>
      <c r="M34" s="115"/>
      <c r="N34" s="25" t="str">
        <f t="shared" si="17"/>
        <v/>
      </c>
      <c r="O34" s="17"/>
      <c r="P34" s="25" t="str">
        <f t="shared" si="18"/>
        <v/>
      </c>
      <c r="Q34" s="17"/>
      <c r="R34" s="25" t="str">
        <f t="shared" si="19"/>
        <v/>
      </c>
      <c r="S34" s="26" t="str">
        <f t="shared" si="15"/>
        <v/>
      </c>
      <c r="T34" s="182" t="str">
        <f t="shared" si="20"/>
        <v/>
      </c>
    </row>
    <row r="35" spans="1:20" x14ac:dyDescent="0.25">
      <c r="A35" s="30" t="str">
        <f t="shared" si="11"/>
        <v/>
      </c>
      <c r="B35" s="148" t="s">
        <v>155</v>
      </c>
      <c r="C35" s="21"/>
      <c r="D35" s="21"/>
      <c r="E35" s="22"/>
      <c r="F35" s="40" t="str">
        <f t="shared" si="16"/>
        <v/>
      </c>
      <c r="G35" s="23"/>
      <c r="H35" s="24"/>
      <c r="I35" s="16" t="str">
        <f t="shared" si="12"/>
        <v/>
      </c>
      <c r="J35" s="426">
        <f t="shared" si="13"/>
        <v>0</v>
      </c>
      <c r="K35" s="832"/>
      <c r="L35" s="42" t="str">
        <f t="shared" si="14"/>
        <v/>
      </c>
      <c r="M35" s="115"/>
      <c r="N35" s="25" t="str">
        <f t="shared" si="17"/>
        <v/>
      </c>
      <c r="O35" s="17"/>
      <c r="P35" s="25" t="str">
        <f t="shared" si="18"/>
        <v/>
      </c>
      <c r="Q35" s="17"/>
      <c r="R35" s="25" t="str">
        <f t="shared" si="19"/>
        <v/>
      </c>
      <c r="S35" s="26" t="str">
        <f t="shared" si="15"/>
        <v/>
      </c>
      <c r="T35" s="182" t="str">
        <f t="shared" si="20"/>
        <v/>
      </c>
    </row>
    <row r="36" spans="1:20" x14ac:dyDescent="0.25">
      <c r="A36" s="30" t="str">
        <f t="shared" si="11"/>
        <v/>
      </c>
      <c r="B36" s="148" t="s">
        <v>156</v>
      </c>
      <c r="C36" s="21"/>
      <c r="D36" s="21"/>
      <c r="E36" s="22"/>
      <c r="F36" s="40" t="str">
        <f t="shared" si="16"/>
        <v/>
      </c>
      <c r="G36" s="23"/>
      <c r="H36" s="24"/>
      <c r="I36" s="16" t="str">
        <f t="shared" si="12"/>
        <v/>
      </c>
      <c r="J36" s="426">
        <f t="shared" si="13"/>
        <v>0</v>
      </c>
      <c r="K36" s="832"/>
      <c r="L36" s="42" t="str">
        <f t="shared" si="14"/>
        <v/>
      </c>
      <c r="M36" s="115"/>
      <c r="N36" s="25" t="str">
        <f t="shared" si="17"/>
        <v/>
      </c>
      <c r="O36" s="17"/>
      <c r="P36" s="25" t="str">
        <f t="shared" si="18"/>
        <v/>
      </c>
      <c r="Q36" s="17"/>
      <c r="R36" s="25" t="str">
        <f t="shared" si="19"/>
        <v/>
      </c>
      <c r="S36" s="26" t="str">
        <f t="shared" si="15"/>
        <v/>
      </c>
      <c r="T36" s="182" t="str">
        <f t="shared" si="20"/>
        <v/>
      </c>
    </row>
    <row r="37" spans="1:20" x14ac:dyDescent="0.25">
      <c r="A37" s="30" t="str">
        <f t="shared" si="11"/>
        <v/>
      </c>
      <c r="B37" s="148" t="s">
        <v>157</v>
      </c>
      <c r="C37" s="21"/>
      <c r="D37" s="21"/>
      <c r="E37" s="22"/>
      <c r="F37" s="40" t="str">
        <f t="shared" si="16"/>
        <v/>
      </c>
      <c r="G37" s="23"/>
      <c r="H37" s="24"/>
      <c r="I37" s="16" t="str">
        <f t="shared" si="12"/>
        <v/>
      </c>
      <c r="J37" s="426">
        <f t="shared" si="13"/>
        <v>0</v>
      </c>
      <c r="K37" s="832"/>
      <c r="L37" s="42" t="str">
        <f t="shared" si="14"/>
        <v/>
      </c>
      <c r="M37" s="115"/>
      <c r="N37" s="25" t="str">
        <f t="shared" si="17"/>
        <v/>
      </c>
      <c r="O37" s="17"/>
      <c r="P37" s="25" t="str">
        <f t="shared" si="18"/>
        <v/>
      </c>
      <c r="Q37" s="17"/>
      <c r="R37" s="25" t="str">
        <f t="shared" si="19"/>
        <v/>
      </c>
      <c r="S37" s="26" t="str">
        <f t="shared" si="15"/>
        <v/>
      </c>
      <c r="T37" s="182" t="str">
        <f t="shared" si="20"/>
        <v/>
      </c>
    </row>
    <row r="38" spans="1:20" x14ac:dyDescent="0.25">
      <c r="A38" s="30" t="str">
        <f t="shared" si="11"/>
        <v/>
      </c>
      <c r="B38" s="148" t="s">
        <v>158</v>
      </c>
      <c r="C38" s="21"/>
      <c r="D38" s="21"/>
      <c r="E38" s="22"/>
      <c r="F38" s="40" t="str">
        <f t="shared" si="16"/>
        <v/>
      </c>
      <c r="G38" s="23"/>
      <c r="H38" s="24"/>
      <c r="I38" s="16" t="str">
        <f t="shared" si="12"/>
        <v/>
      </c>
      <c r="J38" s="426">
        <f t="shared" si="13"/>
        <v>0</v>
      </c>
      <c r="K38" s="832"/>
      <c r="L38" s="42" t="str">
        <f t="shared" si="14"/>
        <v/>
      </c>
      <c r="M38" s="115"/>
      <c r="N38" s="25" t="str">
        <f t="shared" si="17"/>
        <v/>
      </c>
      <c r="O38" s="17"/>
      <c r="P38" s="25" t="str">
        <f t="shared" si="18"/>
        <v/>
      </c>
      <c r="Q38" s="17"/>
      <c r="R38" s="25" t="str">
        <f t="shared" si="19"/>
        <v/>
      </c>
      <c r="S38" s="26" t="str">
        <f t="shared" si="15"/>
        <v/>
      </c>
      <c r="T38" s="182" t="str">
        <f t="shared" si="20"/>
        <v/>
      </c>
    </row>
    <row r="39" spans="1:20" x14ac:dyDescent="0.25">
      <c r="A39" s="30" t="str">
        <f t="shared" si="11"/>
        <v/>
      </c>
      <c r="B39" s="148" t="s">
        <v>159</v>
      </c>
      <c r="C39" s="21"/>
      <c r="D39" s="21"/>
      <c r="E39" s="22"/>
      <c r="F39" s="40" t="str">
        <f t="shared" si="16"/>
        <v/>
      </c>
      <c r="G39" s="23"/>
      <c r="H39" s="24"/>
      <c r="I39" s="16" t="str">
        <f t="shared" si="12"/>
        <v/>
      </c>
      <c r="J39" s="426">
        <f t="shared" si="13"/>
        <v>0</v>
      </c>
      <c r="K39" s="832"/>
      <c r="L39" s="42" t="str">
        <f t="shared" si="14"/>
        <v/>
      </c>
      <c r="M39" s="115"/>
      <c r="N39" s="25" t="str">
        <f t="shared" si="17"/>
        <v/>
      </c>
      <c r="O39" s="17"/>
      <c r="P39" s="25" t="str">
        <f t="shared" si="18"/>
        <v/>
      </c>
      <c r="Q39" s="17"/>
      <c r="R39" s="25" t="str">
        <f t="shared" si="19"/>
        <v/>
      </c>
      <c r="S39" s="26" t="str">
        <f t="shared" si="15"/>
        <v/>
      </c>
      <c r="T39" s="182" t="str">
        <f t="shared" si="20"/>
        <v/>
      </c>
    </row>
    <row r="40" spans="1:20" x14ac:dyDescent="0.25">
      <c r="A40" s="30" t="str">
        <f t="shared" si="11"/>
        <v/>
      </c>
      <c r="B40" s="148" t="s">
        <v>160</v>
      </c>
      <c r="C40" s="21"/>
      <c r="D40" s="21"/>
      <c r="E40" s="22"/>
      <c r="F40" s="40" t="str">
        <f t="shared" si="16"/>
        <v/>
      </c>
      <c r="G40" s="23"/>
      <c r="H40" s="24"/>
      <c r="I40" s="16" t="str">
        <f t="shared" si="12"/>
        <v/>
      </c>
      <c r="J40" s="426">
        <f t="shared" si="13"/>
        <v>0</v>
      </c>
      <c r="K40" s="832"/>
      <c r="L40" s="42" t="str">
        <f t="shared" si="14"/>
        <v/>
      </c>
      <c r="M40" s="115"/>
      <c r="N40" s="25" t="str">
        <f t="shared" si="17"/>
        <v/>
      </c>
      <c r="O40" s="17"/>
      <c r="P40" s="25" t="str">
        <f t="shared" si="18"/>
        <v/>
      </c>
      <c r="Q40" s="17"/>
      <c r="R40" s="25" t="str">
        <f t="shared" si="19"/>
        <v/>
      </c>
      <c r="S40" s="26" t="str">
        <f t="shared" si="15"/>
        <v/>
      </c>
      <c r="T40" s="182" t="str">
        <f t="shared" si="20"/>
        <v/>
      </c>
    </row>
    <row r="41" spans="1:20" x14ac:dyDescent="0.25">
      <c r="A41" s="30" t="str">
        <f t="shared" si="11"/>
        <v/>
      </c>
      <c r="B41" s="148" t="s">
        <v>161</v>
      </c>
      <c r="C41" s="21"/>
      <c r="D41" s="21"/>
      <c r="E41" s="22"/>
      <c r="F41" s="40" t="str">
        <f t="shared" si="16"/>
        <v/>
      </c>
      <c r="G41" s="23"/>
      <c r="H41" s="24"/>
      <c r="I41" s="16" t="str">
        <f t="shared" si="12"/>
        <v/>
      </c>
      <c r="J41" s="426">
        <f t="shared" si="13"/>
        <v>0</v>
      </c>
      <c r="K41" s="832"/>
      <c r="L41" s="42" t="str">
        <f t="shared" si="14"/>
        <v/>
      </c>
      <c r="M41" s="115"/>
      <c r="N41" s="25" t="str">
        <f t="shared" si="17"/>
        <v/>
      </c>
      <c r="O41" s="17"/>
      <c r="P41" s="25" t="str">
        <f t="shared" si="18"/>
        <v/>
      </c>
      <c r="Q41" s="17"/>
      <c r="R41" s="25" t="str">
        <f t="shared" si="19"/>
        <v/>
      </c>
      <c r="S41" s="26" t="str">
        <f t="shared" si="15"/>
        <v/>
      </c>
      <c r="T41" s="182" t="str">
        <f t="shared" si="20"/>
        <v/>
      </c>
    </row>
    <row r="42" spans="1:20" x14ac:dyDescent="0.25">
      <c r="A42" s="30"/>
      <c r="B42" s="148"/>
      <c r="C42" s="21"/>
      <c r="D42" s="21"/>
      <c r="E42" s="22"/>
      <c r="F42" s="40" t="str">
        <f t="shared" si="16"/>
        <v/>
      </c>
      <c r="G42" s="23"/>
      <c r="H42" s="24"/>
      <c r="I42" s="16" t="str">
        <f t="shared" si="12"/>
        <v/>
      </c>
      <c r="J42" s="426" t="str">
        <f>IF(OR(B42="",I$2=""),"",IF(L42&gt;$I$2,0,IF(F42&lt;=0,0,(PMT($I$8,D42,H42,0,0))*(-1))))</f>
        <v/>
      </c>
      <c r="K42" s="832"/>
      <c r="L42" s="42" t="str">
        <f t="shared" si="14"/>
        <v/>
      </c>
      <c r="M42" s="115"/>
      <c r="N42" s="25" t="str">
        <f t="shared" si="17"/>
        <v/>
      </c>
      <c r="O42" s="17"/>
      <c r="P42" s="25" t="str">
        <f t="shared" si="18"/>
        <v/>
      </c>
      <c r="Q42" s="17"/>
      <c r="R42" s="25" t="str">
        <f t="shared" si="19"/>
        <v/>
      </c>
      <c r="S42" s="26" t="str">
        <f t="shared" si="15"/>
        <v/>
      </c>
      <c r="T42" s="182" t="str">
        <f t="shared" si="20"/>
        <v/>
      </c>
    </row>
    <row r="43" spans="1:20" x14ac:dyDescent="0.25">
      <c r="A43" s="30"/>
      <c r="B43" s="148"/>
      <c r="C43" s="21"/>
      <c r="D43" s="21"/>
      <c r="E43" s="22"/>
      <c r="F43" s="40" t="str">
        <f t="shared" si="16"/>
        <v/>
      </c>
      <c r="G43" s="23"/>
      <c r="H43" s="24"/>
      <c r="I43" s="16" t="str">
        <f t="shared" si="12"/>
        <v/>
      </c>
      <c r="J43" s="426" t="str">
        <f t="shared" si="13"/>
        <v/>
      </c>
      <c r="K43" s="832"/>
      <c r="L43" s="42" t="str">
        <f t="shared" si="14"/>
        <v/>
      </c>
      <c r="M43" s="115"/>
      <c r="N43" s="25" t="str">
        <f t="shared" si="17"/>
        <v/>
      </c>
      <c r="O43" s="17"/>
      <c r="P43" s="25" t="str">
        <f t="shared" si="18"/>
        <v/>
      </c>
      <c r="Q43" s="17"/>
      <c r="R43" s="25" t="str">
        <f t="shared" si="19"/>
        <v/>
      </c>
      <c r="S43" s="26" t="str">
        <f t="shared" si="15"/>
        <v/>
      </c>
      <c r="T43" s="182" t="str">
        <f t="shared" si="20"/>
        <v/>
      </c>
    </row>
    <row r="44" spans="1:20" x14ac:dyDescent="0.25">
      <c r="A44" s="30"/>
      <c r="B44" s="148"/>
      <c r="C44" s="21"/>
      <c r="D44" s="21"/>
      <c r="E44" s="22"/>
      <c r="F44" s="40" t="str">
        <f t="shared" si="16"/>
        <v/>
      </c>
      <c r="G44" s="23"/>
      <c r="H44" s="24"/>
      <c r="I44" s="16" t="str">
        <f t="shared" si="12"/>
        <v/>
      </c>
      <c r="J44" s="426" t="str">
        <f t="shared" si="13"/>
        <v/>
      </c>
      <c r="K44" s="832"/>
      <c r="L44" s="42" t="str">
        <f t="shared" si="14"/>
        <v/>
      </c>
      <c r="M44" s="115"/>
      <c r="N44" s="25" t="str">
        <f t="shared" si="17"/>
        <v/>
      </c>
      <c r="O44" s="17"/>
      <c r="P44" s="25" t="str">
        <f t="shared" si="18"/>
        <v/>
      </c>
      <c r="Q44" s="17"/>
      <c r="R44" s="25" t="str">
        <f t="shared" si="19"/>
        <v/>
      </c>
      <c r="S44" s="26" t="str">
        <f t="shared" si="15"/>
        <v/>
      </c>
      <c r="T44" s="182" t="str">
        <f t="shared" si="20"/>
        <v/>
      </c>
    </row>
    <row r="45" spans="1:20" x14ac:dyDescent="0.25">
      <c r="A45" s="30"/>
      <c r="B45" s="148"/>
      <c r="C45" s="21"/>
      <c r="D45" s="21"/>
      <c r="E45" s="22"/>
      <c r="F45" s="40" t="str">
        <f t="shared" si="16"/>
        <v/>
      </c>
      <c r="G45" s="23"/>
      <c r="H45" s="24"/>
      <c r="I45" s="16" t="str">
        <f t="shared" si="12"/>
        <v/>
      </c>
      <c r="J45" s="426" t="str">
        <f t="shared" si="13"/>
        <v/>
      </c>
      <c r="K45" s="832"/>
      <c r="L45" s="42" t="str">
        <f t="shared" si="14"/>
        <v/>
      </c>
      <c r="M45" s="115"/>
      <c r="N45" s="25" t="str">
        <f t="shared" si="17"/>
        <v/>
      </c>
      <c r="O45" s="17"/>
      <c r="P45" s="25" t="str">
        <f t="shared" si="18"/>
        <v/>
      </c>
      <c r="Q45" s="17"/>
      <c r="R45" s="25" t="str">
        <f t="shared" si="19"/>
        <v/>
      </c>
      <c r="S45" s="26" t="str">
        <f t="shared" si="15"/>
        <v/>
      </c>
      <c r="T45" s="182" t="str">
        <f t="shared" si="20"/>
        <v/>
      </c>
    </row>
    <row r="46" spans="1:20" x14ac:dyDescent="0.25">
      <c r="A46" s="30"/>
      <c r="B46" s="148"/>
      <c r="C46" s="21"/>
      <c r="D46" s="21"/>
      <c r="E46" s="22"/>
      <c r="F46" s="40" t="str">
        <f t="shared" si="16"/>
        <v/>
      </c>
      <c r="G46" s="23"/>
      <c r="H46" s="24"/>
      <c r="I46" s="16" t="str">
        <f t="shared" si="12"/>
        <v/>
      </c>
      <c r="J46" s="426" t="str">
        <f t="shared" si="13"/>
        <v/>
      </c>
      <c r="K46" s="832"/>
      <c r="L46" s="42" t="str">
        <f t="shared" si="14"/>
        <v/>
      </c>
      <c r="M46" s="115"/>
      <c r="N46" s="25" t="str">
        <f t="shared" si="17"/>
        <v/>
      </c>
      <c r="O46" s="17"/>
      <c r="P46" s="25" t="str">
        <f t="shared" si="18"/>
        <v/>
      </c>
      <c r="Q46" s="17"/>
      <c r="R46" s="25" t="str">
        <f t="shared" si="19"/>
        <v/>
      </c>
      <c r="S46" s="26" t="str">
        <f t="shared" si="15"/>
        <v/>
      </c>
      <c r="T46" s="182" t="str">
        <f t="shared" si="20"/>
        <v/>
      </c>
    </row>
    <row r="47" spans="1:20" x14ac:dyDescent="0.25">
      <c r="A47" s="30"/>
      <c r="B47" s="148"/>
      <c r="C47" s="21"/>
      <c r="D47" s="21"/>
      <c r="E47" s="22"/>
      <c r="F47" s="40" t="str">
        <f t="shared" si="16"/>
        <v/>
      </c>
      <c r="G47" s="23"/>
      <c r="H47" s="24"/>
      <c r="I47" s="16" t="str">
        <f t="shared" si="12"/>
        <v/>
      </c>
      <c r="J47" s="426" t="str">
        <f t="shared" si="13"/>
        <v/>
      </c>
      <c r="K47" s="832"/>
      <c r="L47" s="42" t="str">
        <f t="shared" si="14"/>
        <v/>
      </c>
      <c r="M47" s="115"/>
      <c r="N47" s="25" t="str">
        <f t="shared" si="17"/>
        <v/>
      </c>
      <c r="O47" s="17"/>
      <c r="P47" s="25" t="str">
        <f t="shared" si="18"/>
        <v/>
      </c>
      <c r="Q47" s="17"/>
      <c r="R47" s="25" t="str">
        <f t="shared" si="19"/>
        <v/>
      </c>
      <c r="S47" s="26" t="str">
        <f t="shared" si="15"/>
        <v/>
      </c>
      <c r="T47" s="182" t="str">
        <f t="shared" si="20"/>
        <v/>
      </c>
    </row>
    <row r="48" spans="1:20" x14ac:dyDescent="0.25">
      <c r="A48" s="30"/>
      <c r="B48" s="148"/>
      <c r="C48" s="21"/>
      <c r="D48" s="21"/>
      <c r="E48" s="22"/>
      <c r="F48" s="40" t="str">
        <f t="shared" si="16"/>
        <v/>
      </c>
      <c r="G48" s="23"/>
      <c r="H48" s="24"/>
      <c r="I48" s="16" t="str">
        <f t="shared" si="12"/>
        <v/>
      </c>
      <c r="J48" s="426" t="str">
        <f t="shared" si="13"/>
        <v/>
      </c>
      <c r="K48" s="832"/>
      <c r="L48" s="42" t="str">
        <f t="shared" si="14"/>
        <v/>
      </c>
      <c r="M48" s="115"/>
      <c r="N48" s="25" t="str">
        <f t="shared" si="17"/>
        <v/>
      </c>
      <c r="O48" s="17"/>
      <c r="P48" s="25" t="str">
        <f t="shared" si="18"/>
        <v/>
      </c>
      <c r="Q48" s="17"/>
      <c r="R48" s="25" t="str">
        <f t="shared" si="19"/>
        <v/>
      </c>
      <c r="S48" s="26" t="str">
        <f t="shared" si="15"/>
        <v/>
      </c>
      <c r="T48" s="182" t="str">
        <f t="shared" si="20"/>
        <v/>
      </c>
    </row>
    <row r="49" spans="1:16384" x14ac:dyDescent="0.25">
      <c r="A49" s="30" t="str">
        <f t="shared" si="11"/>
        <v/>
      </c>
      <c r="B49" s="148"/>
      <c r="C49" s="21"/>
      <c r="D49" s="21"/>
      <c r="E49" s="22"/>
      <c r="F49" s="40" t="str">
        <f t="shared" si="16"/>
        <v/>
      </c>
      <c r="G49" s="23"/>
      <c r="H49" s="24"/>
      <c r="I49" s="16" t="str">
        <f t="shared" si="12"/>
        <v/>
      </c>
      <c r="J49" s="426" t="str">
        <f t="shared" si="13"/>
        <v/>
      </c>
      <c r="K49" s="832"/>
      <c r="L49" s="42" t="str">
        <f t="shared" si="14"/>
        <v/>
      </c>
      <c r="M49" s="115"/>
      <c r="N49" s="25" t="str">
        <f t="shared" si="17"/>
        <v/>
      </c>
      <c r="O49" s="17"/>
      <c r="P49" s="25" t="str">
        <f t="shared" si="18"/>
        <v/>
      </c>
      <c r="Q49" s="17"/>
      <c r="R49" s="25" t="str">
        <f t="shared" si="19"/>
        <v/>
      </c>
      <c r="S49" s="26" t="str">
        <f t="shared" si="15"/>
        <v/>
      </c>
      <c r="T49" s="182" t="str">
        <f t="shared" si="20"/>
        <v/>
      </c>
    </row>
    <row r="50" spans="1:16384" x14ac:dyDescent="0.25">
      <c r="A50" s="30" t="str">
        <f t="shared" si="11"/>
        <v/>
      </c>
      <c r="B50" s="148"/>
      <c r="C50" s="21"/>
      <c r="D50" s="21"/>
      <c r="E50" s="22"/>
      <c r="F50" s="40" t="str">
        <f t="shared" si="16"/>
        <v/>
      </c>
      <c r="G50" s="23"/>
      <c r="H50" s="24"/>
      <c r="I50" s="16" t="str">
        <f t="shared" si="12"/>
        <v/>
      </c>
      <c r="J50" s="426" t="str">
        <f t="shared" si="13"/>
        <v/>
      </c>
      <c r="K50" s="832"/>
      <c r="L50" s="42" t="str">
        <f t="shared" si="14"/>
        <v/>
      </c>
      <c r="M50" s="115"/>
      <c r="N50" s="25" t="str">
        <f t="shared" si="17"/>
        <v/>
      </c>
      <c r="O50" s="17"/>
      <c r="P50" s="25" t="str">
        <f t="shared" si="18"/>
        <v/>
      </c>
      <c r="Q50" s="17"/>
      <c r="R50" s="25" t="str">
        <f t="shared" si="19"/>
        <v/>
      </c>
      <c r="S50" s="26" t="str">
        <f t="shared" si="15"/>
        <v/>
      </c>
      <c r="T50" s="182" t="str">
        <f t="shared" si="20"/>
        <v/>
      </c>
    </row>
    <row r="51" spans="1:16384" ht="15.75" thickBot="1" x14ac:dyDescent="0.3">
      <c r="A51" s="30" t="str">
        <f t="shared" si="11"/>
        <v/>
      </c>
      <c r="B51" s="167"/>
      <c r="C51" s="168"/>
      <c r="D51" s="168"/>
      <c r="E51" s="169"/>
      <c r="F51" s="170" t="str">
        <f t="shared" si="6"/>
        <v/>
      </c>
      <c r="G51" s="171"/>
      <c r="H51" s="172"/>
      <c r="I51" s="16" t="str">
        <f t="shared" ref="I51" si="21">IF(B51="","",0)</f>
        <v/>
      </c>
      <c r="J51" s="426" t="str">
        <f t="shared" si="13"/>
        <v/>
      </c>
      <c r="K51" s="835"/>
      <c r="L51" s="42" t="str">
        <f t="shared" si="14"/>
        <v/>
      </c>
      <c r="M51" s="123"/>
      <c r="N51" s="28" t="str">
        <f t="shared" si="7"/>
        <v/>
      </c>
      <c r="O51" s="29"/>
      <c r="P51" s="28" t="str">
        <f t="shared" si="8"/>
        <v/>
      </c>
      <c r="Q51" s="29"/>
      <c r="R51" s="28" t="str">
        <f t="shared" si="9"/>
        <v/>
      </c>
      <c r="S51" s="210" t="str">
        <f t="shared" si="15"/>
        <v/>
      </c>
      <c r="T51" s="183" t="str">
        <f t="shared" si="10"/>
        <v/>
      </c>
    </row>
    <row r="52" spans="1:16384" ht="16.5" thickTop="1" thickBot="1" x14ac:dyDescent="0.3">
      <c r="A52" s="30"/>
      <c r="B52" s="153" t="s">
        <v>287</v>
      </c>
      <c r="C52" s="154"/>
      <c r="D52" s="154" t="s">
        <v>107</v>
      </c>
      <c r="E52" s="155"/>
      <c r="F52" s="156" t="s">
        <v>107</v>
      </c>
      <c r="G52" s="157">
        <f>SUM(G27:G51)</f>
        <v>91</v>
      </c>
      <c r="H52" s="158">
        <f>SUM(H27:H51)</f>
        <v>18040</v>
      </c>
      <c r="I52" s="157">
        <f>SUM(I27:I51)</f>
        <v>0</v>
      </c>
      <c r="J52" s="158">
        <f>SUM(J27:J51)</f>
        <v>2038.0193733057577</v>
      </c>
      <c r="K52" s="176">
        <f>SUM(K27:K51)</f>
        <v>18040</v>
      </c>
      <c r="L52" s="42" t="str">
        <f t="shared" si="14"/>
        <v/>
      </c>
      <c r="M52" s="184">
        <f>IF($J52=0,0,(N52/$J52)*100)</f>
        <v>0</v>
      </c>
      <c r="N52" s="185">
        <f>IF($R$24&lt;&gt;"",SUM(N27:N51),0)</f>
        <v>0</v>
      </c>
      <c r="O52" s="186">
        <f>IF($J52=0,0,(P52/$J52)*100)</f>
        <v>0</v>
      </c>
      <c r="P52" s="185">
        <f>IF($R$24&lt;&gt;"",SUM(P27:P51),0)</f>
        <v>0</v>
      </c>
      <c r="Q52" s="186">
        <f>IF($J52=0,0,(R52/$J52)*100)</f>
        <v>0</v>
      </c>
      <c r="R52" s="185">
        <f>IF($R$24&lt;&gt;"",SUM(R27:R51),0)</f>
        <v>0</v>
      </c>
      <c r="S52" s="186">
        <f>IF($J52=0,0,(T52/$J52)*100)</f>
        <v>0</v>
      </c>
      <c r="T52" s="187">
        <f>IF($R$24&lt;&gt;"",SUM(T27:T51),0)</f>
        <v>0</v>
      </c>
    </row>
    <row r="53" spans="1:16384" ht="16.5" thickTop="1" thickBot="1" x14ac:dyDescent="0.3">
      <c r="A53" s="30"/>
      <c r="B53" s="31"/>
      <c r="C53" s="42"/>
      <c r="D53" s="43"/>
      <c r="E53" s="43"/>
      <c r="F53" s="41"/>
      <c r="G53" s="41"/>
      <c r="H53" s="41"/>
      <c r="I53" s="41"/>
      <c r="J53" s="41"/>
      <c r="K53" s="41"/>
      <c r="L53" s="31"/>
      <c r="M53" s="1182"/>
      <c r="N53" s="1182"/>
      <c r="O53" s="1182"/>
      <c r="P53" s="1182"/>
      <c r="Q53" s="1182"/>
      <c r="R53" s="1182"/>
      <c r="S53" s="1182"/>
      <c r="T53" s="118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c r="XDL53" s="2"/>
      <c r="XDM53" s="2"/>
      <c r="XDN53" s="2"/>
      <c r="XDO53" s="2"/>
      <c r="XDP53" s="2"/>
      <c r="XDQ53" s="2"/>
      <c r="XDR53" s="2"/>
      <c r="XDS53" s="2"/>
      <c r="XDT53" s="2"/>
      <c r="XDU53" s="2"/>
      <c r="XDV53" s="2"/>
      <c r="XDW53" s="2"/>
      <c r="XDX53" s="2"/>
      <c r="XDY53" s="2"/>
      <c r="XDZ53" s="2"/>
      <c r="XEA53" s="2"/>
      <c r="XEB53" s="2"/>
      <c r="XEC53" s="2"/>
      <c r="XED53" s="2"/>
      <c r="XEE53" s="2"/>
      <c r="XEF53" s="2"/>
      <c r="XEG53" s="2"/>
      <c r="XEH53" s="2"/>
      <c r="XEI53" s="2"/>
      <c r="XEJ53" s="2"/>
      <c r="XEK53" s="2"/>
      <c r="XEL53" s="2"/>
      <c r="XEM53" s="2"/>
      <c r="XEN53" s="2"/>
      <c r="XEO53" s="2"/>
      <c r="XEP53" s="2"/>
      <c r="XEQ53" s="2"/>
      <c r="XER53" s="2"/>
      <c r="XES53" s="2"/>
      <c r="XET53" s="2"/>
      <c r="XEU53" s="2"/>
      <c r="XEV53" s="2"/>
      <c r="XEW53" s="2"/>
      <c r="XEX53" s="2"/>
      <c r="XEY53" s="2"/>
      <c r="XEZ53" s="2"/>
      <c r="XFA53" s="2"/>
      <c r="XFB53" s="2"/>
      <c r="XFC53" s="2"/>
      <c r="XFD53" s="2"/>
    </row>
    <row r="54" spans="1:16384" ht="16.5" thickTop="1" thickBot="1" x14ac:dyDescent="0.3">
      <c r="A54" s="31"/>
      <c r="B54" s="1183" t="s">
        <v>167</v>
      </c>
      <c r="C54" s="1184"/>
      <c r="D54" s="1184"/>
      <c r="E54" s="1184"/>
      <c r="F54" s="1184"/>
      <c r="G54" s="1184"/>
      <c r="H54" s="1184"/>
      <c r="I54" s="1184"/>
      <c r="J54" s="1184"/>
      <c r="K54" s="97"/>
      <c r="L54" s="31"/>
      <c r="M54" s="1189" t="s">
        <v>123</v>
      </c>
      <c r="N54" s="1190"/>
      <c r="O54" s="1191" t="s">
        <v>104</v>
      </c>
      <c r="P54" s="1191"/>
      <c r="Q54" s="1190" t="s">
        <v>127</v>
      </c>
      <c r="R54" s="1190"/>
      <c r="S54" s="1192" t="s">
        <v>128</v>
      </c>
      <c r="T54" s="1193"/>
    </row>
    <row r="55" spans="1:16384" ht="58.5" customHeight="1" thickTop="1" thickBot="1" x14ac:dyDescent="0.3">
      <c r="A55" s="31"/>
      <c r="B55" s="101" t="s">
        <v>136</v>
      </c>
      <c r="C55" s="102" t="s">
        <v>260</v>
      </c>
      <c r="D55" s="102" t="s">
        <v>138</v>
      </c>
      <c r="E55" s="102"/>
      <c r="F55" s="102" t="s">
        <v>377</v>
      </c>
      <c r="G55" s="102" t="s">
        <v>163</v>
      </c>
      <c r="H55" s="102" t="s">
        <v>164</v>
      </c>
      <c r="I55" s="102" t="s">
        <v>378</v>
      </c>
      <c r="J55" s="103" t="s">
        <v>379</v>
      </c>
      <c r="K55" s="105" t="s">
        <v>376</v>
      </c>
      <c r="L55" s="147" t="s">
        <v>162</v>
      </c>
      <c r="M55" s="200" t="s">
        <v>130</v>
      </c>
      <c r="N55" s="201" t="s">
        <v>131</v>
      </c>
      <c r="O55" s="201" t="s">
        <v>130</v>
      </c>
      <c r="P55" s="201" t="s">
        <v>131</v>
      </c>
      <c r="Q55" s="201" t="s">
        <v>130</v>
      </c>
      <c r="R55" s="201" t="s">
        <v>131</v>
      </c>
      <c r="S55" s="201" t="s">
        <v>130</v>
      </c>
      <c r="T55" s="202" t="s">
        <v>131</v>
      </c>
    </row>
    <row r="56" spans="1:16384" ht="15.75" thickTop="1" x14ac:dyDescent="0.25">
      <c r="A56" s="30">
        <f t="shared" ref="A56:A82" si="22">IF(C56="","",MONTH(C56))</f>
        <v>12</v>
      </c>
      <c r="B56" s="188" t="s">
        <v>508</v>
      </c>
      <c r="C56" s="70">
        <v>41609</v>
      </c>
      <c r="D56" s="33">
        <v>10</v>
      </c>
      <c r="E56" s="189"/>
      <c r="F56" s="35">
        <v>9000</v>
      </c>
      <c r="G56" s="780">
        <v>50</v>
      </c>
      <c r="H56" s="36">
        <v>80</v>
      </c>
      <c r="I56" s="19">
        <f>IF(OR(B56="",H56=""),"",(H56*0.01*F56)*G56*0.01)</f>
        <v>3600</v>
      </c>
      <c r="J56" s="104">
        <f>IF(OR(B56="",I$2=""),"",IF(L56&gt;$I$2,0,IF((L56+D56)-$I$2&lt;=0,0,(PMT($I$8,D56,F56*G56*0.01,-I56,0))*(-1))))</f>
        <v>338.28116239834543</v>
      </c>
      <c r="K56" s="831">
        <v>9000</v>
      </c>
      <c r="L56" s="42">
        <f>IF(C56="","",YEAR(C56))</f>
        <v>2013</v>
      </c>
      <c r="M56" s="177"/>
      <c r="N56" s="178" t="str">
        <f t="shared" ref="N56:N59" si="23">IF(M56="","",$J56*M56/100)</f>
        <v/>
      </c>
      <c r="O56" s="179"/>
      <c r="P56" s="178" t="str">
        <f t="shared" ref="P56:P59" si="24">IF(O56="","",$J56*O56/100)</f>
        <v/>
      </c>
      <c r="Q56" s="179"/>
      <c r="R56" s="178" t="str">
        <f t="shared" ref="R56:R59" si="25">IF(Q56="","",$J56*Q56/100)</f>
        <v/>
      </c>
      <c r="S56" s="180" t="str">
        <f>IF(AND(M56="",O56="",Q56=""),"",100-M56-O56-Q56)</f>
        <v/>
      </c>
      <c r="T56" s="181" t="str">
        <f t="shared" ref="T56:T59" si="26">IF(S56="","",$J56*S56/100)</f>
        <v/>
      </c>
    </row>
    <row r="57" spans="1:16384" x14ac:dyDescent="0.25">
      <c r="A57" s="30">
        <f t="shared" si="22"/>
        <v>1</v>
      </c>
      <c r="B57" s="148" t="s">
        <v>509</v>
      </c>
      <c r="C57" s="69">
        <v>32874</v>
      </c>
      <c r="D57" s="34">
        <v>20</v>
      </c>
      <c r="E57" s="46"/>
      <c r="F57" s="23">
        <v>25000</v>
      </c>
      <c r="G57" s="780">
        <v>100</v>
      </c>
      <c r="H57" s="36">
        <v>80</v>
      </c>
      <c r="I57" s="19">
        <f t="shared" ref="I57:I82" si="27">IF(OR(B57="",H57=""),"",(H57*0.01*F57)*G57*0.01)</f>
        <v>20000</v>
      </c>
      <c r="J57" s="104">
        <f t="shared" ref="J57:J82" si="28">IF(OR(B57="",I$2=""),"",IF(L57&gt;$I$2,0,IF((L57+D57)-$I$2&lt;=0,0,(PMT($I$8,D57,F57*G57*0.01,-I57,0))*(-1))))</f>
        <v>0</v>
      </c>
      <c r="K57" s="832">
        <v>25000</v>
      </c>
      <c r="L57" s="42">
        <f t="shared" ref="L57:L82" si="29">IF(C57="","",YEAR(C57))</f>
        <v>1990</v>
      </c>
      <c r="M57" s="115"/>
      <c r="N57" s="25" t="str">
        <f t="shared" si="23"/>
        <v/>
      </c>
      <c r="O57" s="17"/>
      <c r="P57" s="25" t="str">
        <f t="shared" si="24"/>
        <v/>
      </c>
      <c r="Q57" s="17"/>
      <c r="R57" s="25" t="str">
        <f t="shared" si="25"/>
        <v/>
      </c>
      <c r="S57" s="26" t="str">
        <f t="shared" ref="S57:S82" si="30">IF(AND(M57="",O57="",Q57=""),"",100-M57-O57-Q57)</f>
        <v/>
      </c>
      <c r="T57" s="182" t="str">
        <f t="shared" si="26"/>
        <v/>
      </c>
    </row>
    <row r="58" spans="1:16384" x14ac:dyDescent="0.25">
      <c r="A58" s="30">
        <f t="shared" si="22"/>
        <v>1</v>
      </c>
      <c r="B58" s="148" t="s">
        <v>510</v>
      </c>
      <c r="C58" s="69">
        <v>32874</v>
      </c>
      <c r="D58" s="34">
        <v>20</v>
      </c>
      <c r="E58" s="46"/>
      <c r="F58" s="23">
        <v>100000</v>
      </c>
      <c r="G58" s="780">
        <v>100</v>
      </c>
      <c r="H58" s="36">
        <v>80</v>
      </c>
      <c r="I58" s="19">
        <f t="shared" si="27"/>
        <v>80000</v>
      </c>
      <c r="J58" s="104">
        <f t="shared" si="28"/>
        <v>0</v>
      </c>
      <c r="K58" s="832">
        <v>120000</v>
      </c>
      <c r="L58" s="42">
        <f t="shared" si="29"/>
        <v>1990</v>
      </c>
      <c r="M58" s="115"/>
      <c r="N58" s="25" t="str">
        <f t="shared" si="23"/>
        <v/>
      </c>
      <c r="O58" s="17"/>
      <c r="P58" s="25" t="str">
        <f t="shared" si="24"/>
        <v/>
      </c>
      <c r="Q58" s="17"/>
      <c r="R58" s="25" t="str">
        <f t="shared" si="25"/>
        <v/>
      </c>
      <c r="S58" s="26" t="str">
        <f t="shared" si="30"/>
        <v/>
      </c>
      <c r="T58" s="182" t="str">
        <f t="shared" si="26"/>
        <v/>
      </c>
    </row>
    <row r="59" spans="1:16384" x14ac:dyDescent="0.25">
      <c r="A59" s="30">
        <f t="shared" si="22"/>
        <v>5</v>
      </c>
      <c r="B59" s="148" t="s">
        <v>511</v>
      </c>
      <c r="C59" s="69">
        <v>41395</v>
      </c>
      <c r="D59" s="34">
        <v>20</v>
      </c>
      <c r="E59" s="46"/>
      <c r="F59" s="23">
        <v>20000</v>
      </c>
      <c r="G59" s="780">
        <v>80</v>
      </c>
      <c r="H59" s="36">
        <v>80</v>
      </c>
      <c r="I59" s="19">
        <f t="shared" si="27"/>
        <v>12800</v>
      </c>
      <c r="J59" s="104">
        <f t="shared" si="28"/>
        <v>1046.9905823259246</v>
      </c>
      <c r="K59" s="832">
        <v>25000</v>
      </c>
      <c r="L59" s="42">
        <f t="shared" si="29"/>
        <v>2013</v>
      </c>
      <c r="M59" s="115"/>
      <c r="N59" s="25" t="str">
        <f t="shared" si="23"/>
        <v/>
      </c>
      <c r="O59" s="17"/>
      <c r="P59" s="25" t="str">
        <f t="shared" si="24"/>
        <v/>
      </c>
      <c r="Q59" s="17"/>
      <c r="R59" s="25" t="str">
        <f t="shared" si="25"/>
        <v/>
      </c>
      <c r="S59" s="26" t="str">
        <f t="shared" si="30"/>
        <v/>
      </c>
      <c r="T59" s="182" t="str">
        <f t="shared" si="26"/>
        <v/>
      </c>
    </row>
    <row r="60" spans="1:16384" x14ac:dyDescent="0.25">
      <c r="A60" s="30">
        <f t="shared" si="22"/>
        <v>5</v>
      </c>
      <c r="B60" s="148" t="s">
        <v>512</v>
      </c>
      <c r="C60" s="69">
        <v>41395</v>
      </c>
      <c r="D60" s="34">
        <v>20</v>
      </c>
      <c r="E60" s="46"/>
      <c r="F60" s="23">
        <v>15000</v>
      </c>
      <c r="G60" s="780">
        <v>80</v>
      </c>
      <c r="H60" s="36">
        <v>80</v>
      </c>
      <c r="I60" s="19">
        <f t="shared" si="27"/>
        <v>9600</v>
      </c>
      <c r="J60" s="104">
        <f t="shared" si="28"/>
        <v>785.24293674444345</v>
      </c>
      <c r="K60" s="832">
        <v>20000</v>
      </c>
      <c r="L60" s="42">
        <f t="shared" si="29"/>
        <v>2013</v>
      </c>
      <c r="M60" s="115"/>
      <c r="N60" s="25" t="str">
        <f t="shared" ref="N60:N63" si="31">IF(M60="","",$J60*M60/100)</f>
        <v/>
      </c>
      <c r="O60" s="17"/>
      <c r="P60" s="25" t="str">
        <f t="shared" ref="P60:P63" si="32">IF(O60="","",$J60*O60/100)</f>
        <v/>
      </c>
      <c r="Q60" s="17"/>
      <c r="R60" s="25" t="str">
        <f t="shared" ref="R60:R63" si="33">IF(Q60="","",$J60*Q60/100)</f>
        <v/>
      </c>
      <c r="S60" s="26" t="str">
        <f t="shared" si="30"/>
        <v/>
      </c>
      <c r="T60" s="182" t="str">
        <f t="shared" ref="T60:T63" si="34">IF(S60="","",$J60*S60/100)</f>
        <v/>
      </c>
    </row>
    <row r="61" spans="1:16384" x14ac:dyDescent="0.25">
      <c r="A61" s="30">
        <f t="shared" si="22"/>
        <v>5</v>
      </c>
      <c r="B61" s="148" t="s">
        <v>513</v>
      </c>
      <c r="C61" s="69">
        <v>41395</v>
      </c>
      <c r="D61" s="34">
        <v>20</v>
      </c>
      <c r="E61" s="46"/>
      <c r="F61" s="23">
        <v>35000</v>
      </c>
      <c r="G61" s="780">
        <v>20</v>
      </c>
      <c r="H61" s="36">
        <v>80</v>
      </c>
      <c r="I61" s="19">
        <f t="shared" si="27"/>
        <v>5600</v>
      </c>
      <c r="J61" s="104">
        <f t="shared" si="28"/>
        <v>458.05837976759199</v>
      </c>
      <c r="K61" s="832">
        <v>50000</v>
      </c>
      <c r="L61" s="42">
        <f t="shared" si="29"/>
        <v>2013</v>
      </c>
      <c r="M61" s="115"/>
      <c r="N61" s="25" t="str">
        <f t="shared" si="31"/>
        <v/>
      </c>
      <c r="O61" s="17"/>
      <c r="P61" s="25" t="str">
        <f t="shared" si="32"/>
        <v/>
      </c>
      <c r="Q61" s="17"/>
      <c r="R61" s="25" t="str">
        <f t="shared" si="33"/>
        <v/>
      </c>
      <c r="S61" s="26" t="str">
        <f t="shared" si="30"/>
        <v/>
      </c>
      <c r="T61" s="182" t="str">
        <f t="shared" si="34"/>
        <v/>
      </c>
    </row>
    <row r="62" spans="1:16384" x14ac:dyDescent="0.25">
      <c r="A62" s="30" t="str">
        <f t="shared" si="22"/>
        <v/>
      </c>
      <c r="B62" s="148"/>
      <c r="C62" s="69"/>
      <c r="D62" s="34"/>
      <c r="E62" s="46"/>
      <c r="F62" s="23"/>
      <c r="G62" s="780"/>
      <c r="H62" s="36"/>
      <c r="I62" s="19" t="str">
        <f t="shared" si="27"/>
        <v/>
      </c>
      <c r="J62" s="104" t="str">
        <f t="shared" si="28"/>
        <v/>
      </c>
      <c r="K62" s="832"/>
      <c r="L62" s="42" t="str">
        <f t="shared" si="29"/>
        <v/>
      </c>
      <c r="M62" s="115"/>
      <c r="N62" s="25" t="str">
        <f t="shared" si="31"/>
        <v/>
      </c>
      <c r="O62" s="17"/>
      <c r="P62" s="25" t="str">
        <f t="shared" si="32"/>
        <v/>
      </c>
      <c r="Q62" s="17"/>
      <c r="R62" s="25" t="str">
        <f t="shared" si="33"/>
        <v/>
      </c>
      <c r="S62" s="26" t="str">
        <f t="shared" si="30"/>
        <v/>
      </c>
      <c r="T62" s="182" t="str">
        <f t="shared" si="34"/>
        <v/>
      </c>
    </row>
    <row r="63" spans="1:16384" x14ac:dyDescent="0.25">
      <c r="A63" s="30" t="str">
        <f t="shared" si="22"/>
        <v/>
      </c>
      <c r="B63" s="148"/>
      <c r="C63" s="69"/>
      <c r="D63" s="34"/>
      <c r="E63" s="46"/>
      <c r="F63" s="23"/>
      <c r="G63" s="780"/>
      <c r="H63" s="36"/>
      <c r="I63" s="19" t="str">
        <f t="shared" si="27"/>
        <v/>
      </c>
      <c r="J63" s="104" t="str">
        <f t="shared" si="28"/>
        <v/>
      </c>
      <c r="K63" s="832"/>
      <c r="L63" s="42" t="str">
        <f t="shared" si="29"/>
        <v/>
      </c>
      <c r="M63" s="115"/>
      <c r="N63" s="25" t="str">
        <f t="shared" si="31"/>
        <v/>
      </c>
      <c r="O63" s="17"/>
      <c r="P63" s="25" t="str">
        <f t="shared" si="32"/>
        <v/>
      </c>
      <c r="Q63" s="17"/>
      <c r="R63" s="25" t="str">
        <f t="shared" si="33"/>
        <v/>
      </c>
      <c r="S63" s="26" t="str">
        <f t="shared" si="30"/>
        <v/>
      </c>
      <c r="T63" s="182" t="str">
        <f t="shared" si="34"/>
        <v/>
      </c>
    </row>
    <row r="64" spans="1:16384" x14ac:dyDescent="0.25">
      <c r="A64" s="30" t="str">
        <f t="shared" si="22"/>
        <v/>
      </c>
      <c r="B64" s="148"/>
      <c r="C64" s="69"/>
      <c r="D64" s="34"/>
      <c r="E64" s="46"/>
      <c r="F64" s="23"/>
      <c r="G64" s="780"/>
      <c r="H64" s="36"/>
      <c r="I64" s="19" t="str">
        <f t="shared" si="27"/>
        <v/>
      </c>
      <c r="J64" s="104" t="str">
        <f t="shared" si="28"/>
        <v/>
      </c>
      <c r="K64" s="832"/>
      <c r="L64" s="42" t="str">
        <f t="shared" si="29"/>
        <v/>
      </c>
      <c r="M64" s="115"/>
      <c r="N64" s="25" t="str">
        <f t="shared" ref="N64:N81" si="35">IF(M64="","",$J64*M64/100)</f>
        <v/>
      </c>
      <c r="O64" s="17"/>
      <c r="P64" s="25" t="str">
        <f t="shared" ref="P64:P81" si="36">IF(O64="","",$J64*O64/100)</f>
        <v/>
      </c>
      <c r="Q64" s="17"/>
      <c r="R64" s="25" t="str">
        <f t="shared" ref="R64:R81" si="37">IF(Q64="","",$J64*Q64/100)</f>
        <v/>
      </c>
      <c r="S64" s="26" t="str">
        <f t="shared" si="30"/>
        <v/>
      </c>
      <c r="T64" s="182" t="str">
        <f t="shared" ref="T64:T81" si="38">IF(S64="","",$J64*S64/100)</f>
        <v/>
      </c>
    </row>
    <row r="65" spans="1:20" x14ac:dyDescent="0.25">
      <c r="A65" s="30" t="str">
        <f t="shared" si="22"/>
        <v/>
      </c>
      <c r="B65" s="148"/>
      <c r="C65" s="69"/>
      <c r="D65" s="34"/>
      <c r="E65" s="46"/>
      <c r="F65" s="23"/>
      <c r="G65" s="780"/>
      <c r="H65" s="36"/>
      <c r="I65" s="19" t="str">
        <f t="shared" si="27"/>
        <v/>
      </c>
      <c r="J65" s="104" t="str">
        <f t="shared" si="28"/>
        <v/>
      </c>
      <c r="K65" s="832"/>
      <c r="L65" s="42" t="str">
        <f t="shared" si="29"/>
        <v/>
      </c>
      <c r="M65" s="115"/>
      <c r="N65" s="25" t="str">
        <f t="shared" si="35"/>
        <v/>
      </c>
      <c r="O65" s="17"/>
      <c r="P65" s="25" t="str">
        <f t="shared" si="36"/>
        <v/>
      </c>
      <c r="Q65" s="17"/>
      <c r="R65" s="25" t="str">
        <f t="shared" si="37"/>
        <v/>
      </c>
      <c r="S65" s="26" t="str">
        <f t="shared" si="30"/>
        <v/>
      </c>
      <c r="T65" s="182" t="str">
        <f t="shared" si="38"/>
        <v/>
      </c>
    </row>
    <row r="66" spans="1:20" x14ac:dyDescent="0.25">
      <c r="A66" s="30" t="str">
        <f t="shared" si="22"/>
        <v/>
      </c>
      <c r="B66" s="148"/>
      <c r="C66" s="69"/>
      <c r="D66" s="34"/>
      <c r="E66" s="46"/>
      <c r="F66" s="23"/>
      <c r="G66" s="780"/>
      <c r="H66" s="36"/>
      <c r="I66" s="19" t="str">
        <f t="shared" si="27"/>
        <v/>
      </c>
      <c r="J66" s="104" t="str">
        <f t="shared" si="28"/>
        <v/>
      </c>
      <c r="K66" s="832"/>
      <c r="L66" s="42" t="str">
        <f t="shared" si="29"/>
        <v/>
      </c>
      <c r="M66" s="115"/>
      <c r="N66" s="25" t="str">
        <f t="shared" si="35"/>
        <v/>
      </c>
      <c r="O66" s="17"/>
      <c r="P66" s="25" t="str">
        <f t="shared" si="36"/>
        <v/>
      </c>
      <c r="Q66" s="17"/>
      <c r="R66" s="25" t="str">
        <f t="shared" si="37"/>
        <v/>
      </c>
      <c r="S66" s="26" t="str">
        <f t="shared" si="30"/>
        <v/>
      </c>
      <c r="T66" s="182" t="str">
        <f t="shared" si="38"/>
        <v/>
      </c>
    </row>
    <row r="67" spans="1:20" x14ac:dyDescent="0.25">
      <c r="A67" s="30" t="str">
        <f t="shared" si="22"/>
        <v/>
      </c>
      <c r="B67" s="148"/>
      <c r="C67" s="69"/>
      <c r="D67" s="34"/>
      <c r="E67" s="46"/>
      <c r="F67" s="23"/>
      <c r="G67" s="780"/>
      <c r="H67" s="36"/>
      <c r="I67" s="19" t="str">
        <f t="shared" si="27"/>
        <v/>
      </c>
      <c r="J67" s="104" t="str">
        <f t="shared" si="28"/>
        <v/>
      </c>
      <c r="K67" s="832"/>
      <c r="L67" s="42" t="str">
        <f t="shared" si="29"/>
        <v/>
      </c>
      <c r="M67" s="115"/>
      <c r="N67" s="25" t="str">
        <f t="shared" si="35"/>
        <v/>
      </c>
      <c r="O67" s="17"/>
      <c r="P67" s="25" t="str">
        <f t="shared" si="36"/>
        <v/>
      </c>
      <c r="Q67" s="17"/>
      <c r="R67" s="25" t="str">
        <f t="shared" si="37"/>
        <v/>
      </c>
      <c r="S67" s="26" t="str">
        <f t="shared" si="30"/>
        <v/>
      </c>
      <c r="T67" s="182" t="str">
        <f t="shared" si="38"/>
        <v/>
      </c>
    </row>
    <row r="68" spans="1:20" x14ac:dyDescent="0.25">
      <c r="A68" s="30" t="str">
        <f t="shared" si="22"/>
        <v/>
      </c>
      <c r="B68" s="148"/>
      <c r="C68" s="69"/>
      <c r="D68" s="34"/>
      <c r="E68" s="46"/>
      <c r="F68" s="23"/>
      <c r="G68" s="780"/>
      <c r="H68" s="36"/>
      <c r="I68" s="19" t="str">
        <f t="shared" si="27"/>
        <v/>
      </c>
      <c r="J68" s="104" t="str">
        <f t="shared" si="28"/>
        <v/>
      </c>
      <c r="K68" s="832"/>
      <c r="L68" s="42" t="str">
        <f t="shared" si="29"/>
        <v/>
      </c>
      <c r="M68" s="115"/>
      <c r="N68" s="25" t="str">
        <f t="shared" si="35"/>
        <v/>
      </c>
      <c r="O68" s="17"/>
      <c r="P68" s="25" t="str">
        <f t="shared" si="36"/>
        <v/>
      </c>
      <c r="Q68" s="17"/>
      <c r="R68" s="25" t="str">
        <f t="shared" si="37"/>
        <v/>
      </c>
      <c r="S68" s="26" t="str">
        <f t="shared" si="30"/>
        <v/>
      </c>
      <c r="T68" s="182" t="str">
        <f t="shared" si="38"/>
        <v/>
      </c>
    </row>
    <row r="69" spans="1:20" x14ac:dyDescent="0.25">
      <c r="A69" s="30" t="str">
        <f t="shared" si="22"/>
        <v/>
      </c>
      <c r="B69" s="148"/>
      <c r="C69" s="69"/>
      <c r="D69" s="34"/>
      <c r="E69" s="46"/>
      <c r="F69" s="23"/>
      <c r="G69" s="780"/>
      <c r="H69" s="36"/>
      <c r="I69" s="19" t="str">
        <f t="shared" si="27"/>
        <v/>
      </c>
      <c r="J69" s="104" t="str">
        <f t="shared" si="28"/>
        <v/>
      </c>
      <c r="K69" s="832"/>
      <c r="L69" s="42" t="str">
        <f t="shared" si="29"/>
        <v/>
      </c>
      <c r="M69" s="115"/>
      <c r="N69" s="25" t="str">
        <f t="shared" si="35"/>
        <v/>
      </c>
      <c r="O69" s="17"/>
      <c r="P69" s="25" t="str">
        <f t="shared" si="36"/>
        <v/>
      </c>
      <c r="Q69" s="17"/>
      <c r="R69" s="25" t="str">
        <f t="shared" si="37"/>
        <v/>
      </c>
      <c r="S69" s="26" t="str">
        <f t="shared" si="30"/>
        <v/>
      </c>
      <c r="T69" s="182" t="str">
        <f t="shared" si="38"/>
        <v/>
      </c>
    </row>
    <row r="70" spans="1:20" x14ac:dyDescent="0.25">
      <c r="A70" s="30" t="str">
        <f t="shared" si="22"/>
        <v/>
      </c>
      <c r="B70" s="148"/>
      <c r="C70" s="69"/>
      <c r="D70" s="34"/>
      <c r="E70" s="46"/>
      <c r="F70" s="23"/>
      <c r="G70" s="780"/>
      <c r="H70" s="36"/>
      <c r="I70" s="19" t="str">
        <f t="shared" si="27"/>
        <v/>
      </c>
      <c r="J70" s="104" t="str">
        <f t="shared" si="28"/>
        <v/>
      </c>
      <c r="K70" s="832"/>
      <c r="L70" s="42" t="str">
        <f t="shared" si="29"/>
        <v/>
      </c>
      <c r="M70" s="115"/>
      <c r="N70" s="25" t="str">
        <f t="shared" si="35"/>
        <v/>
      </c>
      <c r="O70" s="17"/>
      <c r="P70" s="25" t="str">
        <f t="shared" si="36"/>
        <v/>
      </c>
      <c r="Q70" s="17"/>
      <c r="R70" s="25" t="str">
        <f t="shared" si="37"/>
        <v/>
      </c>
      <c r="S70" s="26" t="str">
        <f t="shared" si="30"/>
        <v/>
      </c>
      <c r="T70" s="182" t="str">
        <f t="shared" si="38"/>
        <v/>
      </c>
    </row>
    <row r="71" spans="1:20" x14ac:dyDescent="0.25">
      <c r="A71" s="30" t="str">
        <f t="shared" si="22"/>
        <v/>
      </c>
      <c r="B71" s="148"/>
      <c r="C71" s="69"/>
      <c r="D71" s="34"/>
      <c r="E71" s="46"/>
      <c r="F71" s="23"/>
      <c r="G71" s="780"/>
      <c r="H71" s="36"/>
      <c r="I71" s="19" t="str">
        <f t="shared" si="27"/>
        <v/>
      </c>
      <c r="J71" s="104" t="str">
        <f t="shared" si="28"/>
        <v/>
      </c>
      <c r="K71" s="832"/>
      <c r="L71" s="42" t="str">
        <f t="shared" si="29"/>
        <v/>
      </c>
      <c r="M71" s="115"/>
      <c r="N71" s="25" t="str">
        <f t="shared" si="35"/>
        <v/>
      </c>
      <c r="O71" s="17"/>
      <c r="P71" s="25" t="str">
        <f t="shared" si="36"/>
        <v/>
      </c>
      <c r="Q71" s="17"/>
      <c r="R71" s="25" t="str">
        <f t="shared" si="37"/>
        <v/>
      </c>
      <c r="S71" s="26" t="str">
        <f t="shared" si="30"/>
        <v/>
      </c>
      <c r="T71" s="182" t="str">
        <f t="shared" si="38"/>
        <v/>
      </c>
    </row>
    <row r="72" spans="1:20" x14ac:dyDescent="0.25">
      <c r="A72" s="30" t="str">
        <f t="shared" si="22"/>
        <v/>
      </c>
      <c r="B72" s="148"/>
      <c r="C72" s="69"/>
      <c r="D72" s="34"/>
      <c r="E72" s="46"/>
      <c r="F72" s="23"/>
      <c r="G72" s="780"/>
      <c r="H72" s="36"/>
      <c r="I72" s="19" t="str">
        <f t="shared" si="27"/>
        <v/>
      </c>
      <c r="J72" s="104" t="str">
        <f t="shared" si="28"/>
        <v/>
      </c>
      <c r="K72" s="832"/>
      <c r="L72" s="42" t="str">
        <f t="shared" si="29"/>
        <v/>
      </c>
      <c r="M72" s="115"/>
      <c r="N72" s="25" t="str">
        <f t="shared" si="35"/>
        <v/>
      </c>
      <c r="O72" s="17"/>
      <c r="P72" s="25" t="str">
        <f t="shared" si="36"/>
        <v/>
      </c>
      <c r="Q72" s="17"/>
      <c r="R72" s="25" t="str">
        <f t="shared" si="37"/>
        <v/>
      </c>
      <c r="S72" s="26" t="str">
        <f t="shared" si="30"/>
        <v/>
      </c>
      <c r="T72" s="182" t="str">
        <f t="shared" si="38"/>
        <v/>
      </c>
    </row>
    <row r="73" spans="1:20" x14ac:dyDescent="0.25">
      <c r="A73" s="30" t="str">
        <f t="shared" si="22"/>
        <v/>
      </c>
      <c r="B73" s="148"/>
      <c r="C73" s="69"/>
      <c r="D73" s="34"/>
      <c r="E73" s="46"/>
      <c r="F73" s="23"/>
      <c r="G73" s="780"/>
      <c r="H73" s="36"/>
      <c r="I73" s="19" t="str">
        <f t="shared" si="27"/>
        <v/>
      </c>
      <c r="J73" s="104" t="str">
        <f t="shared" si="28"/>
        <v/>
      </c>
      <c r="K73" s="832"/>
      <c r="L73" s="42" t="str">
        <f t="shared" si="29"/>
        <v/>
      </c>
      <c r="M73" s="115"/>
      <c r="N73" s="25" t="str">
        <f t="shared" si="35"/>
        <v/>
      </c>
      <c r="O73" s="17"/>
      <c r="P73" s="25" t="str">
        <f t="shared" si="36"/>
        <v/>
      </c>
      <c r="Q73" s="17"/>
      <c r="R73" s="25" t="str">
        <f t="shared" si="37"/>
        <v/>
      </c>
      <c r="S73" s="26" t="str">
        <f t="shared" si="30"/>
        <v/>
      </c>
      <c r="T73" s="182" t="str">
        <f t="shared" si="38"/>
        <v/>
      </c>
    </row>
    <row r="74" spans="1:20" x14ac:dyDescent="0.25">
      <c r="A74" s="30" t="str">
        <f t="shared" si="22"/>
        <v/>
      </c>
      <c r="B74" s="148"/>
      <c r="C74" s="69"/>
      <c r="D74" s="34"/>
      <c r="E74" s="46"/>
      <c r="F74" s="23"/>
      <c r="G74" s="780"/>
      <c r="H74" s="36"/>
      <c r="I74" s="19" t="str">
        <f t="shared" si="27"/>
        <v/>
      </c>
      <c r="J74" s="104" t="str">
        <f t="shared" si="28"/>
        <v/>
      </c>
      <c r="K74" s="832"/>
      <c r="L74" s="42" t="str">
        <f t="shared" si="29"/>
        <v/>
      </c>
      <c r="M74" s="115"/>
      <c r="N74" s="25" t="str">
        <f t="shared" si="35"/>
        <v/>
      </c>
      <c r="O74" s="17"/>
      <c r="P74" s="25" t="str">
        <f t="shared" si="36"/>
        <v/>
      </c>
      <c r="Q74" s="17"/>
      <c r="R74" s="25" t="str">
        <f t="shared" si="37"/>
        <v/>
      </c>
      <c r="S74" s="26" t="str">
        <f t="shared" si="30"/>
        <v/>
      </c>
      <c r="T74" s="182" t="str">
        <f t="shared" si="38"/>
        <v/>
      </c>
    </row>
    <row r="75" spans="1:20" x14ac:dyDescent="0.25">
      <c r="A75" s="30" t="str">
        <f t="shared" si="22"/>
        <v/>
      </c>
      <c r="B75" s="148"/>
      <c r="C75" s="69"/>
      <c r="D75" s="34"/>
      <c r="E75" s="46"/>
      <c r="F75" s="23"/>
      <c r="G75" s="780"/>
      <c r="H75" s="36"/>
      <c r="I75" s="19" t="str">
        <f t="shared" si="27"/>
        <v/>
      </c>
      <c r="J75" s="104" t="str">
        <f t="shared" si="28"/>
        <v/>
      </c>
      <c r="K75" s="832"/>
      <c r="L75" s="42" t="str">
        <f t="shared" si="29"/>
        <v/>
      </c>
      <c r="M75" s="115"/>
      <c r="N75" s="25" t="str">
        <f t="shared" si="35"/>
        <v/>
      </c>
      <c r="O75" s="17"/>
      <c r="P75" s="25" t="str">
        <f t="shared" si="36"/>
        <v/>
      </c>
      <c r="Q75" s="17"/>
      <c r="R75" s="25" t="str">
        <f t="shared" si="37"/>
        <v/>
      </c>
      <c r="S75" s="26" t="str">
        <f t="shared" si="30"/>
        <v/>
      </c>
      <c r="T75" s="182" t="str">
        <f t="shared" si="38"/>
        <v/>
      </c>
    </row>
    <row r="76" spans="1:20" x14ac:dyDescent="0.25">
      <c r="A76" s="30" t="str">
        <f t="shared" si="22"/>
        <v/>
      </c>
      <c r="B76" s="148"/>
      <c r="C76" s="69"/>
      <c r="D76" s="34"/>
      <c r="E76" s="46"/>
      <c r="F76" s="23"/>
      <c r="G76" s="780"/>
      <c r="H76" s="36"/>
      <c r="I76" s="19" t="str">
        <f t="shared" si="27"/>
        <v/>
      </c>
      <c r="J76" s="104" t="str">
        <f t="shared" si="28"/>
        <v/>
      </c>
      <c r="K76" s="832"/>
      <c r="L76" s="42" t="str">
        <f t="shared" si="29"/>
        <v/>
      </c>
      <c r="M76" s="115"/>
      <c r="N76" s="25" t="str">
        <f t="shared" si="35"/>
        <v/>
      </c>
      <c r="O76" s="17"/>
      <c r="P76" s="25" t="str">
        <f t="shared" si="36"/>
        <v/>
      </c>
      <c r="Q76" s="17"/>
      <c r="R76" s="25" t="str">
        <f t="shared" si="37"/>
        <v/>
      </c>
      <c r="S76" s="26" t="str">
        <f t="shared" si="30"/>
        <v/>
      </c>
      <c r="T76" s="182" t="str">
        <f t="shared" si="38"/>
        <v/>
      </c>
    </row>
    <row r="77" spans="1:20" x14ac:dyDescent="0.25">
      <c r="A77" s="30" t="str">
        <f t="shared" si="22"/>
        <v/>
      </c>
      <c r="B77" s="148"/>
      <c r="C77" s="69"/>
      <c r="D77" s="34"/>
      <c r="E77" s="46"/>
      <c r="F77" s="23"/>
      <c r="G77" s="780"/>
      <c r="H77" s="36"/>
      <c r="I77" s="19" t="str">
        <f t="shared" si="27"/>
        <v/>
      </c>
      <c r="J77" s="104" t="str">
        <f t="shared" si="28"/>
        <v/>
      </c>
      <c r="K77" s="832"/>
      <c r="L77" s="42" t="str">
        <f t="shared" si="29"/>
        <v/>
      </c>
      <c r="M77" s="115"/>
      <c r="N77" s="25" t="str">
        <f t="shared" si="35"/>
        <v/>
      </c>
      <c r="O77" s="17"/>
      <c r="P77" s="25" t="str">
        <f t="shared" si="36"/>
        <v/>
      </c>
      <c r="Q77" s="17"/>
      <c r="R77" s="25" t="str">
        <f t="shared" si="37"/>
        <v/>
      </c>
      <c r="S77" s="26" t="str">
        <f t="shared" si="30"/>
        <v/>
      </c>
      <c r="T77" s="182" t="str">
        <f t="shared" si="38"/>
        <v/>
      </c>
    </row>
    <row r="78" spans="1:20" x14ac:dyDescent="0.25">
      <c r="A78" s="30" t="str">
        <f t="shared" si="22"/>
        <v/>
      </c>
      <c r="B78" s="148"/>
      <c r="C78" s="69"/>
      <c r="D78" s="34"/>
      <c r="E78" s="46"/>
      <c r="F78" s="23"/>
      <c r="G78" s="780"/>
      <c r="H78" s="36"/>
      <c r="I78" s="19" t="str">
        <f t="shared" si="27"/>
        <v/>
      </c>
      <c r="J78" s="104" t="str">
        <f t="shared" si="28"/>
        <v/>
      </c>
      <c r="K78" s="832"/>
      <c r="L78" s="42" t="str">
        <f t="shared" si="29"/>
        <v/>
      </c>
      <c r="M78" s="115"/>
      <c r="N78" s="25" t="str">
        <f t="shared" si="35"/>
        <v/>
      </c>
      <c r="O78" s="17"/>
      <c r="P78" s="25" t="str">
        <f t="shared" si="36"/>
        <v/>
      </c>
      <c r="Q78" s="17"/>
      <c r="R78" s="25" t="str">
        <f t="shared" si="37"/>
        <v/>
      </c>
      <c r="S78" s="26" t="str">
        <f t="shared" si="30"/>
        <v/>
      </c>
      <c r="T78" s="182" t="str">
        <f t="shared" si="38"/>
        <v/>
      </c>
    </row>
    <row r="79" spans="1:20" x14ac:dyDescent="0.25">
      <c r="A79" s="30" t="str">
        <f t="shared" si="22"/>
        <v/>
      </c>
      <c r="B79" s="148"/>
      <c r="C79" s="69"/>
      <c r="D79" s="34"/>
      <c r="E79" s="46"/>
      <c r="F79" s="23"/>
      <c r="G79" s="780"/>
      <c r="H79" s="36"/>
      <c r="I79" s="19" t="str">
        <f t="shared" si="27"/>
        <v/>
      </c>
      <c r="J79" s="104" t="str">
        <f t="shared" si="28"/>
        <v/>
      </c>
      <c r="K79" s="832"/>
      <c r="L79" s="42" t="str">
        <f t="shared" si="29"/>
        <v/>
      </c>
      <c r="M79" s="115"/>
      <c r="N79" s="25" t="str">
        <f t="shared" si="35"/>
        <v/>
      </c>
      <c r="O79" s="17"/>
      <c r="P79" s="25" t="str">
        <f t="shared" si="36"/>
        <v/>
      </c>
      <c r="Q79" s="17"/>
      <c r="R79" s="25" t="str">
        <f t="shared" si="37"/>
        <v/>
      </c>
      <c r="S79" s="26" t="str">
        <f t="shared" si="30"/>
        <v/>
      </c>
      <c r="T79" s="182" t="str">
        <f t="shared" si="38"/>
        <v/>
      </c>
    </row>
    <row r="80" spans="1:20" x14ac:dyDescent="0.25">
      <c r="A80" s="30" t="str">
        <f t="shared" si="22"/>
        <v/>
      </c>
      <c r="B80" s="148"/>
      <c r="C80" s="69"/>
      <c r="D80" s="34"/>
      <c r="E80" s="46"/>
      <c r="F80" s="23"/>
      <c r="G80" s="780"/>
      <c r="H80" s="36"/>
      <c r="I80" s="19" t="str">
        <f t="shared" si="27"/>
        <v/>
      </c>
      <c r="J80" s="104" t="str">
        <f t="shared" si="28"/>
        <v/>
      </c>
      <c r="K80" s="832"/>
      <c r="L80" s="42" t="str">
        <f t="shared" si="29"/>
        <v/>
      </c>
      <c r="M80" s="115"/>
      <c r="N80" s="25" t="str">
        <f t="shared" si="35"/>
        <v/>
      </c>
      <c r="O80" s="17"/>
      <c r="P80" s="25" t="str">
        <f t="shared" si="36"/>
        <v/>
      </c>
      <c r="Q80" s="17"/>
      <c r="R80" s="25" t="str">
        <f t="shared" si="37"/>
        <v/>
      </c>
      <c r="S80" s="26" t="str">
        <f t="shared" si="30"/>
        <v/>
      </c>
      <c r="T80" s="182" t="str">
        <f t="shared" si="38"/>
        <v/>
      </c>
    </row>
    <row r="81" spans="1:16384" x14ac:dyDescent="0.25">
      <c r="A81" s="30" t="str">
        <f t="shared" si="22"/>
        <v/>
      </c>
      <c r="B81" s="148"/>
      <c r="C81" s="69"/>
      <c r="D81" s="34"/>
      <c r="E81" s="46"/>
      <c r="F81" s="23"/>
      <c r="G81" s="780"/>
      <c r="H81" s="36"/>
      <c r="I81" s="19" t="str">
        <f t="shared" si="27"/>
        <v/>
      </c>
      <c r="J81" s="104" t="str">
        <f t="shared" si="28"/>
        <v/>
      </c>
      <c r="K81" s="832"/>
      <c r="L81" s="42" t="str">
        <f t="shared" si="29"/>
        <v/>
      </c>
      <c r="M81" s="115"/>
      <c r="N81" s="25" t="str">
        <f t="shared" si="35"/>
        <v/>
      </c>
      <c r="O81" s="17"/>
      <c r="P81" s="25" t="str">
        <f t="shared" si="36"/>
        <v/>
      </c>
      <c r="Q81" s="17"/>
      <c r="R81" s="25" t="str">
        <f t="shared" si="37"/>
        <v/>
      </c>
      <c r="S81" s="26" t="str">
        <f t="shared" si="30"/>
        <v/>
      </c>
      <c r="T81" s="182" t="str">
        <f t="shared" si="38"/>
        <v/>
      </c>
    </row>
    <row r="82" spans="1:16384" ht="15.75" thickBot="1" x14ac:dyDescent="0.3">
      <c r="A82" s="30" t="str">
        <f t="shared" si="22"/>
        <v/>
      </c>
      <c r="B82" s="149"/>
      <c r="C82" s="190"/>
      <c r="D82" s="191"/>
      <c r="E82" s="192" t="str">
        <f t="shared" ref="E82" si="39">IF(L82="","",(L82+D82)-$I$2)</f>
        <v/>
      </c>
      <c r="F82" s="27"/>
      <c r="G82" s="781"/>
      <c r="H82" s="193"/>
      <c r="I82" s="19" t="str">
        <f t="shared" si="27"/>
        <v/>
      </c>
      <c r="J82" s="104" t="str">
        <f t="shared" si="28"/>
        <v/>
      </c>
      <c r="K82" s="833"/>
      <c r="L82" s="42" t="str">
        <f t="shared" si="29"/>
        <v/>
      </c>
      <c r="M82" s="207"/>
      <c r="N82" s="208" t="str">
        <f t="shared" ref="N82:N117" si="40">IF(M82="","",$J82*M82/100)</f>
        <v/>
      </c>
      <c r="O82" s="209"/>
      <c r="P82" s="208" t="str">
        <f t="shared" ref="P82:P116" si="41">IF(O82="","",$J82*O82/100)</f>
        <v/>
      </c>
      <c r="Q82" s="209"/>
      <c r="R82" s="208" t="str">
        <f t="shared" ref="R82:R116" si="42">IF(Q82="","",$J82*Q82/100)</f>
        <v/>
      </c>
      <c r="S82" s="26" t="str">
        <f t="shared" si="30"/>
        <v/>
      </c>
      <c r="T82" s="211" t="str">
        <f t="shared" ref="T82:T116" si="43">IF(S82="","",$J82*S82/100)</f>
        <v/>
      </c>
    </row>
    <row r="83" spans="1:16384" ht="16.5" thickTop="1" thickBot="1" x14ac:dyDescent="0.3">
      <c r="A83" s="30"/>
      <c r="B83" s="194" t="s">
        <v>288</v>
      </c>
      <c r="C83" s="195"/>
      <c r="D83" s="195" t="s">
        <v>107</v>
      </c>
      <c r="E83" s="196"/>
      <c r="F83" s="197">
        <f>SUM(F56:F82)</f>
        <v>204000</v>
      </c>
      <c r="G83" s="197" t="s">
        <v>107</v>
      </c>
      <c r="H83" s="198" t="s">
        <v>107</v>
      </c>
      <c r="I83" s="197">
        <f>SUM(I56:I82)</f>
        <v>131600</v>
      </c>
      <c r="J83" s="198">
        <f>SUM(J56:J82)</f>
        <v>2628.5730612363059</v>
      </c>
      <c r="K83" s="199">
        <f>SUM(K56:K82)</f>
        <v>249000</v>
      </c>
      <c r="L83" s="42" t="s">
        <v>107</v>
      </c>
      <c r="M83" s="203">
        <f>IF($J83=0,0,(N83/$J83)*100)</f>
        <v>0</v>
      </c>
      <c r="N83" s="204">
        <f>IF($R$24&lt;&gt;"",SUM(N56:N82),0)</f>
        <v>0</v>
      </c>
      <c r="O83" s="205">
        <f>IF($J83=0,0,(P83/$J83)*100)</f>
        <v>0</v>
      </c>
      <c r="P83" s="204">
        <f>IF($R$24&lt;&gt;"",SUM(P56:P82),0)</f>
        <v>0</v>
      </c>
      <c r="Q83" s="205">
        <f>IF($J83=0,0,(R83/$J83)*100)</f>
        <v>0</v>
      </c>
      <c r="R83" s="204">
        <f>IF($R$24&lt;&gt;"",SUM(R56:R82),0)</f>
        <v>0</v>
      </c>
      <c r="S83" s="205">
        <f>IF($J83=0,0,(T83/$J83)*100)</f>
        <v>0</v>
      </c>
      <c r="T83" s="206">
        <f>IF($R$24&lt;&gt;"",SUM(T56:T82),0)</f>
        <v>0</v>
      </c>
    </row>
    <row r="84" spans="1:16384" ht="16.5" thickTop="1" thickBot="1" x14ac:dyDescent="0.3">
      <c r="A84" s="30"/>
      <c r="B84" s="31"/>
      <c r="C84" s="42"/>
      <c r="D84" s="43"/>
      <c r="E84" s="43"/>
      <c r="F84" s="41"/>
      <c r="G84" s="41"/>
      <c r="H84" s="41"/>
      <c r="I84" s="41"/>
      <c r="J84" s="41"/>
      <c r="K84" s="41"/>
      <c r="L84" s="31"/>
      <c r="M84" s="1182"/>
      <c r="N84" s="1182"/>
      <c r="O84" s="1182"/>
      <c r="P84" s="1182"/>
      <c r="Q84" s="1182"/>
      <c r="R84" s="1182"/>
      <c r="S84" s="1182"/>
      <c r="T84" s="118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c r="XBA84" s="2"/>
      <c r="XBB84" s="2"/>
      <c r="XBC84" s="2"/>
      <c r="XBD84" s="2"/>
      <c r="XBE84" s="2"/>
      <c r="XBF84" s="2"/>
      <c r="XBG84" s="2"/>
      <c r="XBH84" s="2"/>
      <c r="XBI84" s="2"/>
      <c r="XBJ84" s="2"/>
      <c r="XBK84" s="2"/>
      <c r="XBL84" s="2"/>
      <c r="XBM84" s="2"/>
      <c r="XBN84" s="2"/>
      <c r="XBO84" s="2"/>
      <c r="XBP84" s="2"/>
      <c r="XBQ84" s="2"/>
      <c r="XBR84" s="2"/>
      <c r="XBS84" s="2"/>
      <c r="XBT84" s="2"/>
      <c r="XBU84" s="2"/>
      <c r="XBV84" s="2"/>
      <c r="XBW84" s="2"/>
      <c r="XBX84" s="2"/>
      <c r="XBY84" s="2"/>
      <c r="XBZ84" s="2"/>
      <c r="XCA84" s="2"/>
      <c r="XCB84" s="2"/>
      <c r="XCC84" s="2"/>
      <c r="XCD84" s="2"/>
      <c r="XCE84" s="2"/>
      <c r="XCF84" s="2"/>
      <c r="XCG84" s="2"/>
      <c r="XCH84" s="2"/>
      <c r="XCI84" s="2"/>
      <c r="XCJ84" s="2"/>
      <c r="XCK84" s="2"/>
      <c r="XCL84" s="2"/>
      <c r="XCM84" s="2"/>
      <c r="XCN84" s="2"/>
      <c r="XCO84" s="2"/>
      <c r="XCP84" s="2"/>
      <c r="XCQ84" s="2"/>
      <c r="XCR84" s="2"/>
      <c r="XCS84" s="2"/>
      <c r="XCT84" s="2"/>
      <c r="XCU84" s="2"/>
      <c r="XCV84" s="2"/>
      <c r="XCW84" s="2"/>
      <c r="XCX84" s="2"/>
      <c r="XCY84" s="2"/>
      <c r="XCZ84" s="2"/>
      <c r="XDA84" s="2"/>
      <c r="XDB84" s="2"/>
      <c r="XDC84" s="2"/>
      <c r="XDD84" s="2"/>
      <c r="XDE84" s="2"/>
      <c r="XDF84" s="2"/>
      <c r="XDG84" s="2"/>
      <c r="XDH84" s="2"/>
      <c r="XDI84" s="2"/>
      <c r="XDJ84" s="2"/>
      <c r="XDK84" s="2"/>
      <c r="XDL84" s="2"/>
      <c r="XDM84" s="2"/>
      <c r="XDN84" s="2"/>
      <c r="XDO84" s="2"/>
      <c r="XDP84" s="2"/>
      <c r="XDQ84" s="2"/>
      <c r="XDR84" s="2"/>
      <c r="XDS84" s="2"/>
      <c r="XDT84" s="2"/>
      <c r="XDU84" s="2"/>
      <c r="XDV84" s="2"/>
      <c r="XDW84" s="2"/>
      <c r="XDX84" s="2"/>
      <c r="XDY84" s="2"/>
      <c r="XDZ84" s="2"/>
      <c r="XEA84" s="2"/>
      <c r="XEB84" s="2"/>
      <c r="XEC84" s="2"/>
      <c r="XED84" s="2"/>
      <c r="XEE84" s="2"/>
      <c r="XEF84" s="2"/>
      <c r="XEG84" s="2"/>
      <c r="XEH84" s="2"/>
      <c r="XEI84" s="2"/>
      <c r="XEJ84" s="2"/>
      <c r="XEK84" s="2"/>
      <c r="XEL84" s="2"/>
      <c r="XEM84" s="2"/>
      <c r="XEN84" s="2"/>
      <c r="XEO84" s="2"/>
      <c r="XEP84" s="2"/>
      <c r="XEQ84" s="2"/>
      <c r="XER84" s="2"/>
      <c r="XES84" s="2"/>
      <c r="XET84" s="2"/>
      <c r="XEU84" s="2"/>
      <c r="XEV84" s="2"/>
      <c r="XEW84" s="2"/>
      <c r="XEX84" s="2"/>
      <c r="XEY84" s="2"/>
      <c r="XEZ84" s="2"/>
      <c r="XFA84" s="2"/>
      <c r="XFB84" s="2"/>
      <c r="XFC84" s="2"/>
      <c r="XFD84" s="2"/>
    </row>
    <row r="85" spans="1:16384" ht="16.5" thickTop="1" thickBot="1" x14ac:dyDescent="0.3">
      <c r="A85" s="31"/>
      <c r="B85" s="1187" t="s">
        <v>168</v>
      </c>
      <c r="C85" s="1188"/>
      <c r="D85" s="1188"/>
      <c r="E85" s="1188"/>
      <c r="F85" s="1188"/>
      <c r="G85" s="1188"/>
      <c r="H85" s="1188"/>
      <c r="I85" s="1188"/>
      <c r="J85" s="1188"/>
      <c r="K85" s="143"/>
      <c r="L85" s="31"/>
      <c r="M85" s="1189" t="s">
        <v>123</v>
      </c>
      <c r="N85" s="1190"/>
      <c r="O85" s="1191" t="s">
        <v>104</v>
      </c>
      <c r="P85" s="1191"/>
      <c r="Q85" s="1190" t="s">
        <v>127</v>
      </c>
      <c r="R85" s="1190"/>
      <c r="S85" s="1192" t="s">
        <v>128</v>
      </c>
      <c r="T85" s="1193"/>
    </row>
    <row r="86" spans="1:16384" ht="62.25" customHeight="1" thickTop="1" thickBot="1" x14ac:dyDescent="0.3">
      <c r="B86" s="101" t="s">
        <v>136</v>
      </c>
      <c r="C86" s="102" t="s">
        <v>260</v>
      </c>
      <c r="D86" s="102" t="s">
        <v>138</v>
      </c>
      <c r="E86" s="212"/>
      <c r="F86" s="102" t="s">
        <v>377</v>
      </c>
      <c r="G86" s="102" t="s">
        <v>163</v>
      </c>
      <c r="H86" s="102" t="s">
        <v>164</v>
      </c>
      <c r="I86" s="102" t="s">
        <v>378</v>
      </c>
      <c r="J86" s="103" t="s">
        <v>379</v>
      </c>
      <c r="K86" s="105" t="s">
        <v>376</v>
      </c>
      <c r="L86" s="147" t="s">
        <v>162</v>
      </c>
      <c r="M86" s="120" t="s">
        <v>130</v>
      </c>
      <c r="N86" s="121" t="s">
        <v>165</v>
      </c>
      <c r="O86" s="121" t="s">
        <v>130</v>
      </c>
      <c r="P86" s="121" t="s">
        <v>165</v>
      </c>
      <c r="Q86" s="121" t="s">
        <v>130</v>
      </c>
      <c r="R86" s="121" t="s">
        <v>165</v>
      </c>
      <c r="S86" s="121" t="s">
        <v>130</v>
      </c>
      <c r="T86" s="122" t="s">
        <v>165</v>
      </c>
    </row>
    <row r="87" spans="1:16384" ht="15.75" thickTop="1" x14ac:dyDescent="0.25">
      <c r="A87" s="30">
        <f>IF(C87="","",MONTH(C87))</f>
        <v>3</v>
      </c>
      <c r="B87" s="159" t="s">
        <v>514</v>
      </c>
      <c r="C87" s="160">
        <v>41353</v>
      </c>
      <c r="D87" s="213">
        <v>10</v>
      </c>
      <c r="E87" s="214"/>
      <c r="F87" s="164">
        <v>10000</v>
      </c>
      <c r="G87" s="215">
        <v>40</v>
      </c>
      <c r="H87" s="215">
        <v>80</v>
      </c>
      <c r="I87" s="166">
        <f>IF(OR(B87="",H87=""),"",(H87*0.01*F87)*G87*0.01)</f>
        <v>3200</v>
      </c>
      <c r="J87" s="425">
        <f>IF(OR(I$2="",B87=""),"",IF(L87&gt;$I$2,0,IF((L87+D87)-$I$2&lt;=0,0,(PMT($I$8,D87,F87*G87*0.01,-I87,0))*(-1))))</f>
        <v>300.69436657630706</v>
      </c>
      <c r="K87" s="834">
        <v>8500</v>
      </c>
      <c r="L87" s="42">
        <f>IF(C87="","",YEAR(C87))</f>
        <v>2013</v>
      </c>
      <c r="M87" s="177"/>
      <c r="N87" s="178" t="str">
        <f t="shared" si="40"/>
        <v/>
      </c>
      <c r="O87" s="179"/>
      <c r="P87" s="178" t="str">
        <f t="shared" si="41"/>
        <v/>
      </c>
      <c r="Q87" s="179"/>
      <c r="R87" s="178" t="str">
        <f t="shared" si="42"/>
        <v/>
      </c>
      <c r="S87" s="180" t="str">
        <f>IF(AND(M87="",O87="",Q87=""),"",100-M87-O87-Q87)</f>
        <v/>
      </c>
      <c r="T87" s="181" t="str">
        <f t="shared" si="43"/>
        <v/>
      </c>
    </row>
    <row r="88" spans="1:16384" x14ac:dyDescent="0.25">
      <c r="A88" s="30">
        <f t="shared" ref="A88:A111" si="44">IF(C88="","",MONTH(C88))</f>
        <v>9</v>
      </c>
      <c r="B88" s="148" t="s">
        <v>515</v>
      </c>
      <c r="C88" s="69">
        <v>41527</v>
      </c>
      <c r="D88" s="34">
        <v>10</v>
      </c>
      <c r="E88" s="46"/>
      <c r="F88" s="23">
        <v>6000</v>
      </c>
      <c r="G88" s="37">
        <v>100</v>
      </c>
      <c r="H88" s="36">
        <v>80</v>
      </c>
      <c r="I88" s="16">
        <f t="shared" ref="I88:I111" si="45">IF(OR(B88="",H88=""),"",(H88*0.01*F88)*G88*0.01)</f>
        <v>4800</v>
      </c>
      <c r="J88" s="426">
        <f t="shared" ref="J88:J111" si="46">IF(OR(I$2="",B88=""),"",IF(L88&gt;$I$2,0,IF((L88+D88)-$I$2&lt;=0,0,(PMT($I$8,D88,F88*G88*0.01,-I88,0))*(-1))))</f>
        <v>451.04154986446059</v>
      </c>
      <c r="K88" s="832">
        <v>5000</v>
      </c>
      <c r="L88" s="42">
        <f t="shared" ref="L88:L111" si="47">IF(C88="","",YEAR(C88))</f>
        <v>2013</v>
      </c>
      <c r="M88" s="115"/>
      <c r="N88" s="25" t="str">
        <f t="shared" si="40"/>
        <v/>
      </c>
      <c r="O88" s="17"/>
      <c r="P88" s="25" t="str">
        <f t="shared" si="41"/>
        <v/>
      </c>
      <c r="Q88" s="17"/>
      <c r="R88" s="25" t="str">
        <f t="shared" si="42"/>
        <v/>
      </c>
      <c r="S88" s="26" t="str">
        <f t="shared" ref="S88:S111" si="48">IF(AND(M88="",O88="",Q88=""),"",100-M88-O88-Q88)</f>
        <v/>
      </c>
      <c r="T88" s="182" t="str">
        <f t="shared" si="43"/>
        <v/>
      </c>
    </row>
    <row r="89" spans="1:16384" x14ac:dyDescent="0.25">
      <c r="A89" s="30">
        <f t="shared" si="44"/>
        <v>9</v>
      </c>
      <c r="B89" s="148" t="s">
        <v>516</v>
      </c>
      <c r="C89" s="69">
        <v>41529</v>
      </c>
      <c r="D89" s="34">
        <v>10</v>
      </c>
      <c r="E89" s="46"/>
      <c r="F89" s="23">
        <v>2250</v>
      </c>
      <c r="G89" s="37">
        <v>100</v>
      </c>
      <c r="H89" s="36">
        <v>80</v>
      </c>
      <c r="I89" s="16">
        <f t="shared" si="45"/>
        <v>1800</v>
      </c>
      <c r="J89" s="426">
        <f t="shared" si="46"/>
        <v>169.14058119917271</v>
      </c>
      <c r="K89" s="832">
        <v>2000</v>
      </c>
      <c r="L89" s="42">
        <f t="shared" ref="L89:L110" si="49">IF(C89="","",YEAR(C89))</f>
        <v>2013</v>
      </c>
      <c r="M89" s="115"/>
      <c r="N89" s="25" t="str">
        <f t="shared" ref="N89:N110" si="50">IF(M89="","",$J89*M89/100)</f>
        <v/>
      </c>
      <c r="O89" s="17"/>
      <c r="P89" s="25" t="str">
        <f t="shared" ref="P89:P110" si="51">IF(O89="","",$J89*O89/100)</f>
        <v/>
      </c>
      <c r="Q89" s="17"/>
      <c r="R89" s="25" t="str">
        <f t="shared" ref="R89:R110" si="52">IF(Q89="","",$J89*Q89/100)</f>
        <v/>
      </c>
      <c r="S89" s="26" t="str">
        <f t="shared" si="48"/>
        <v/>
      </c>
      <c r="T89" s="182" t="str">
        <f t="shared" ref="T89:T110" si="53">IF(S89="","",$J89*S89/100)</f>
        <v/>
      </c>
    </row>
    <row r="90" spans="1:16384" x14ac:dyDescent="0.25">
      <c r="A90" s="30">
        <f t="shared" si="44"/>
        <v>9</v>
      </c>
      <c r="B90" s="148" t="s">
        <v>517</v>
      </c>
      <c r="C90" s="69">
        <v>41529</v>
      </c>
      <c r="D90" s="34">
        <v>10</v>
      </c>
      <c r="E90" s="46"/>
      <c r="F90" s="23">
        <v>1450</v>
      </c>
      <c r="G90" s="37">
        <v>10</v>
      </c>
      <c r="H90" s="36">
        <v>80</v>
      </c>
      <c r="I90" s="16">
        <f t="shared" si="45"/>
        <v>116</v>
      </c>
      <c r="J90" s="426">
        <f t="shared" si="46"/>
        <v>10.900170788391131</v>
      </c>
      <c r="K90" s="832">
        <v>1200</v>
      </c>
      <c r="L90" s="42">
        <f t="shared" si="49"/>
        <v>2013</v>
      </c>
      <c r="M90" s="115"/>
      <c r="N90" s="25" t="str">
        <f t="shared" si="50"/>
        <v/>
      </c>
      <c r="O90" s="17"/>
      <c r="P90" s="25" t="str">
        <f t="shared" si="51"/>
        <v/>
      </c>
      <c r="Q90" s="17"/>
      <c r="R90" s="25" t="str">
        <f t="shared" si="52"/>
        <v/>
      </c>
      <c r="S90" s="26" t="str">
        <f t="shared" si="48"/>
        <v/>
      </c>
      <c r="T90" s="182" t="str">
        <f t="shared" si="53"/>
        <v/>
      </c>
    </row>
    <row r="91" spans="1:16384" x14ac:dyDescent="0.25">
      <c r="A91" s="30">
        <f t="shared" si="44"/>
        <v>5</v>
      </c>
      <c r="B91" s="148" t="s">
        <v>518</v>
      </c>
      <c r="C91" s="69">
        <v>41770</v>
      </c>
      <c r="D91" s="34">
        <v>10</v>
      </c>
      <c r="E91" s="46"/>
      <c r="F91" s="23">
        <v>6500</v>
      </c>
      <c r="G91" s="37">
        <v>30</v>
      </c>
      <c r="H91" s="36">
        <v>80</v>
      </c>
      <c r="I91" s="16">
        <f t="shared" si="45"/>
        <v>1560</v>
      </c>
      <c r="J91" s="426">
        <f t="shared" si="46"/>
        <v>146.58850370594968</v>
      </c>
      <c r="K91" s="832">
        <v>6000</v>
      </c>
      <c r="L91" s="42">
        <f t="shared" si="49"/>
        <v>2014</v>
      </c>
      <c r="M91" s="115"/>
      <c r="N91" s="25" t="str">
        <f t="shared" si="50"/>
        <v/>
      </c>
      <c r="O91" s="17"/>
      <c r="P91" s="25" t="str">
        <f t="shared" si="51"/>
        <v/>
      </c>
      <c r="Q91" s="17"/>
      <c r="R91" s="25" t="str">
        <f t="shared" si="52"/>
        <v/>
      </c>
      <c r="S91" s="26" t="str">
        <f t="shared" si="48"/>
        <v/>
      </c>
      <c r="T91" s="182" t="str">
        <f t="shared" si="53"/>
        <v/>
      </c>
    </row>
    <row r="92" spans="1:16384" x14ac:dyDescent="0.25">
      <c r="A92" s="30" t="str">
        <f t="shared" si="44"/>
        <v/>
      </c>
      <c r="B92" s="148" t="s">
        <v>540</v>
      </c>
      <c r="C92" s="69"/>
      <c r="D92" s="34"/>
      <c r="E92" s="46"/>
      <c r="F92" s="23"/>
      <c r="G92" s="37"/>
      <c r="H92" s="36"/>
      <c r="I92" s="16" t="str">
        <f t="shared" si="45"/>
        <v/>
      </c>
      <c r="J92" s="426">
        <f t="shared" si="46"/>
        <v>0</v>
      </c>
      <c r="K92" s="832"/>
      <c r="L92" s="42" t="str">
        <f t="shared" si="49"/>
        <v/>
      </c>
      <c r="M92" s="115"/>
      <c r="N92" s="25" t="str">
        <f t="shared" si="50"/>
        <v/>
      </c>
      <c r="O92" s="17"/>
      <c r="P92" s="25" t="str">
        <f t="shared" si="51"/>
        <v/>
      </c>
      <c r="Q92" s="17"/>
      <c r="R92" s="25" t="str">
        <f t="shared" si="52"/>
        <v/>
      </c>
      <c r="S92" s="26" t="str">
        <f t="shared" si="48"/>
        <v/>
      </c>
      <c r="T92" s="182" t="str">
        <f t="shared" si="53"/>
        <v/>
      </c>
    </row>
    <row r="93" spans="1:16384" x14ac:dyDescent="0.25">
      <c r="A93" s="30">
        <f t="shared" si="44"/>
        <v>1</v>
      </c>
      <c r="B93" s="148" t="s">
        <v>541</v>
      </c>
      <c r="C93" s="69">
        <v>42380</v>
      </c>
      <c r="D93" s="34">
        <v>10</v>
      </c>
      <c r="E93" s="46"/>
      <c r="F93" s="23">
        <v>2900</v>
      </c>
      <c r="G93" s="37">
        <v>80</v>
      </c>
      <c r="H93" s="36">
        <v>20</v>
      </c>
      <c r="I93" s="16">
        <f t="shared" si="45"/>
        <v>464</v>
      </c>
      <c r="J93" s="426">
        <f t="shared" si="46"/>
        <v>280.01093045703237</v>
      </c>
      <c r="K93" s="832">
        <v>2500</v>
      </c>
      <c r="L93" s="42">
        <f t="shared" si="49"/>
        <v>2016</v>
      </c>
      <c r="M93" s="115"/>
      <c r="N93" s="25" t="str">
        <f t="shared" si="50"/>
        <v/>
      </c>
      <c r="O93" s="17"/>
      <c r="P93" s="25" t="str">
        <f t="shared" si="51"/>
        <v/>
      </c>
      <c r="Q93" s="17"/>
      <c r="R93" s="25" t="str">
        <f t="shared" si="52"/>
        <v/>
      </c>
      <c r="S93" s="26" t="str">
        <f t="shared" si="48"/>
        <v/>
      </c>
      <c r="T93" s="182" t="str">
        <f t="shared" si="53"/>
        <v/>
      </c>
    </row>
    <row r="94" spans="1:16384" x14ac:dyDescent="0.25">
      <c r="A94" s="30" t="str">
        <f t="shared" si="44"/>
        <v/>
      </c>
      <c r="B94" s="148"/>
      <c r="C94" s="69"/>
      <c r="D94" s="34"/>
      <c r="E94" s="46"/>
      <c r="F94" s="23"/>
      <c r="G94" s="37"/>
      <c r="H94" s="36"/>
      <c r="I94" s="16" t="str">
        <f t="shared" si="45"/>
        <v/>
      </c>
      <c r="J94" s="426" t="str">
        <f t="shared" si="46"/>
        <v/>
      </c>
      <c r="K94" s="832"/>
      <c r="L94" s="42" t="str">
        <f t="shared" si="49"/>
        <v/>
      </c>
      <c r="M94" s="115"/>
      <c r="N94" s="25" t="str">
        <f t="shared" si="50"/>
        <v/>
      </c>
      <c r="O94" s="17"/>
      <c r="P94" s="25" t="str">
        <f t="shared" si="51"/>
        <v/>
      </c>
      <c r="Q94" s="17"/>
      <c r="R94" s="25" t="str">
        <f t="shared" si="52"/>
        <v/>
      </c>
      <c r="S94" s="26" t="str">
        <f t="shared" si="48"/>
        <v/>
      </c>
      <c r="T94" s="182" t="str">
        <f t="shared" si="53"/>
        <v/>
      </c>
    </row>
    <row r="95" spans="1:16384" x14ac:dyDescent="0.25">
      <c r="A95" s="30" t="str">
        <f t="shared" si="44"/>
        <v/>
      </c>
      <c r="B95" s="148"/>
      <c r="C95" s="69"/>
      <c r="D95" s="34"/>
      <c r="E95" s="46"/>
      <c r="F95" s="23"/>
      <c r="G95" s="37"/>
      <c r="H95" s="36"/>
      <c r="I95" s="16" t="str">
        <f t="shared" si="45"/>
        <v/>
      </c>
      <c r="J95" s="426" t="str">
        <f t="shared" si="46"/>
        <v/>
      </c>
      <c r="K95" s="832"/>
      <c r="L95" s="42" t="str">
        <f t="shared" si="49"/>
        <v/>
      </c>
      <c r="M95" s="115"/>
      <c r="N95" s="25" t="str">
        <f t="shared" si="50"/>
        <v/>
      </c>
      <c r="O95" s="17"/>
      <c r="P95" s="25" t="str">
        <f t="shared" si="51"/>
        <v/>
      </c>
      <c r="Q95" s="17"/>
      <c r="R95" s="25" t="str">
        <f t="shared" si="52"/>
        <v/>
      </c>
      <c r="S95" s="26" t="str">
        <f t="shared" si="48"/>
        <v/>
      </c>
      <c r="T95" s="182" t="str">
        <f t="shared" si="53"/>
        <v/>
      </c>
    </row>
    <row r="96" spans="1:16384" x14ac:dyDescent="0.25">
      <c r="A96" s="30" t="str">
        <f t="shared" si="44"/>
        <v/>
      </c>
      <c r="B96" s="148"/>
      <c r="C96" s="69"/>
      <c r="D96" s="34"/>
      <c r="E96" s="46"/>
      <c r="F96" s="23"/>
      <c r="G96" s="37"/>
      <c r="H96" s="36"/>
      <c r="I96" s="16" t="str">
        <f t="shared" si="45"/>
        <v/>
      </c>
      <c r="J96" s="426" t="str">
        <f t="shared" si="46"/>
        <v/>
      </c>
      <c r="K96" s="832"/>
      <c r="L96" s="42" t="str">
        <f t="shared" si="49"/>
        <v/>
      </c>
      <c r="M96" s="115"/>
      <c r="N96" s="25" t="str">
        <f t="shared" si="50"/>
        <v/>
      </c>
      <c r="O96" s="17"/>
      <c r="P96" s="25" t="str">
        <f t="shared" si="51"/>
        <v/>
      </c>
      <c r="Q96" s="17"/>
      <c r="R96" s="25" t="str">
        <f t="shared" si="52"/>
        <v/>
      </c>
      <c r="S96" s="26" t="str">
        <f t="shared" si="48"/>
        <v/>
      </c>
      <c r="T96" s="182" t="str">
        <f t="shared" si="53"/>
        <v/>
      </c>
    </row>
    <row r="97" spans="1:20" x14ac:dyDescent="0.25">
      <c r="A97" s="30" t="str">
        <f t="shared" si="44"/>
        <v/>
      </c>
      <c r="B97" s="148"/>
      <c r="C97" s="69"/>
      <c r="D97" s="34"/>
      <c r="E97" s="46"/>
      <c r="F97" s="23"/>
      <c r="G97" s="37"/>
      <c r="H97" s="36"/>
      <c r="I97" s="16" t="str">
        <f t="shared" si="45"/>
        <v/>
      </c>
      <c r="J97" s="426" t="str">
        <f t="shared" si="46"/>
        <v/>
      </c>
      <c r="K97" s="832"/>
      <c r="L97" s="42" t="str">
        <f t="shared" si="49"/>
        <v/>
      </c>
      <c r="M97" s="115"/>
      <c r="N97" s="25" t="str">
        <f t="shared" si="50"/>
        <v/>
      </c>
      <c r="O97" s="17"/>
      <c r="P97" s="25" t="str">
        <f t="shared" si="51"/>
        <v/>
      </c>
      <c r="Q97" s="17"/>
      <c r="R97" s="25" t="str">
        <f t="shared" si="52"/>
        <v/>
      </c>
      <c r="S97" s="26" t="str">
        <f t="shared" si="48"/>
        <v/>
      </c>
      <c r="T97" s="182" t="str">
        <f t="shared" si="53"/>
        <v/>
      </c>
    </row>
    <row r="98" spans="1:20" x14ac:dyDescent="0.25">
      <c r="A98" s="30" t="str">
        <f t="shared" si="44"/>
        <v/>
      </c>
      <c r="B98" s="148"/>
      <c r="C98" s="69"/>
      <c r="D98" s="34"/>
      <c r="E98" s="46"/>
      <c r="F98" s="23"/>
      <c r="G98" s="37"/>
      <c r="H98" s="36"/>
      <c r="I98" s="16" t="str">
        <f t="shared" si="45"/>
        <v/>
      </c>
      <c r="J98" s="426" t="str">
        <f t="shared" si="46"/>
        <v/>
      </c>
      <c r="K98" s="832"/>
      <c r="L98" s="42" t="str">
        <f t="shared" si="49"/>
        <v/>
      </c>
      <c r="M98" s="115"/>
      <c r="N98" s="25" t="str">
        <f t="shared" si="50"/>
        <v/>
      </c>
      <c r="O98" s="17"/>
      <c r="P98" s="25" t="str">
        <f t="shared" si="51"/>
        <v/>
      </c>
      <c r="Q98" s="17"/>
      <c r="R98" s="25" t="str">
        <f t="shared" si="52"/>
        <v/>
      </c>
      <c r="S98" s="26" t="str">
        <f t="shared" si="48"/>
        <v/>
      </c>
      <c r="T98" s="182" t="str">
        <f t="shared" si="53"/>
        <v/>
      </c>
    </row>
    <row r="99" spans="1:20" x14ac:dyDescent="0.25">
      <c r="A99" s="30" t="str">
        <f t="shared" si="44"/>
        <v/>
      </c>
      <c r="B99" s="148"/>
      <c r="C99" s="69"/>
      <c r="D99" s="34"/>
      <c r="E99" s="46"/>
      <c r="F99" s="23"/>
      <c r="G99" s="37"/>
      <c r="H99" s="36"/>
      <c r="I99" s="16" t="str">
        <f t="shared" si="45"/>
        <v/>
      </c>
      <c r="J99" s="426" t="str">
        <f t="shared" si="46"/>
        <v/>
      </c>
      <c r="K99" s="832"/>
      <c r="L99" s="42" t="str">
        <f t="shared" si="49"/>
        <v/>
      </c>
      <c r="M99" s="115"/>
      <c r="N99" s="25" t="str">
        <f t="shared" si="50"/>
        <v/>
      </c>
      <c r="O99" s="17"/>
      <c r="P99" s="25" t="str">
        <f t="shared" si="51"/>
        <v/>
      </c>
      <c r="Q99" s="17"/>
      <c r="R99" s="25" t="str">
        <f t="shared" si="52"/>
        <v/>
      </c>
      <c r="S99" s="26" t="str">
        <f t="shared" si="48"/>
        <v/>
      </c>
      <c r="T99" s="182" t="str">
        <f t="shared" si="53"/>
        <v/>
      </c>
    </row>
    <row r="100" spans="1:20" x14ac:dyDescent="0.25">
      <c r="A100" s="30" t="str">
        <f t="shared" si="44"/>
        <v/>
      </c>
      <c r="B100" s="148"/>
      <c r="C100" s="69"/>
      <c r="D100" s="34"/>
      <c r="E100" s="46"/>
      <c r="F100" s="23"/>
      <c r="G100" s="37"/>
      <c r="H100" s="36"/>
      <c r="I100" s="16" t="str">
        <f t="shared" si="45"/>
        <v/>
      </c>
      <c r="J100" s="426" t="str">
        <f t="shared" si="46"/>
        <v/>
      </c>
      <c r="K100" s="832"/>
      <c r="L100" s="42" t="str">
        <f t="shared" si="49"/>
        <v/>
      </c>
      <c r="M100" s="115"/>
      <c r="N100" s="25" t="str">
        <f t="shared" si="50"/>
        <v/>
      </c>
      <c r="O100" s="17"/>
      <c r="P100" s="25" t="str">
        <f t="shared" si="51"/>
        <v/>
      </c>
      <c r="Q100" s="17"/>
      <c r="R100" s="25" t="str">
        <f t="shared" si="52"/>
        <v/>
      </c>
      <c r="S100" s="26" t="str">
        <f t="shared" si="48"/>
        <v/>
      </c>
      <c r="T100" s="182" t="str">
        <f t="shared" si="53"/>
        <v/>
      </c>
    </row>
    <row r="101" spans="1:20" x14ac:dyDescent="0.25">
      <c r="A101" s="30" t="str">
        <f t="shared" si="44"/>
        <v/>
      </c>
      <c r="B101" s="148"/>
      <c r="C101" s="69"/>
      <c r="D101" s="34"/>
      <c r="E101" s="46"/>
      <c r="F101" s="23"/>
      <c r="G101" s="37"/>
      <c r="H101" s="36"/>
      <c r="I101" s="16" t="str">
        <f t="shared" si="45"/>
        <v/>
      </c>
      <c r="J101" s="426" t="str">
        <f t="shared" si="46"/>
        <v/>
      </c>
      <c r="K101" s="832"/>
      <c r="L101" s="42" t="str">
        <f t="shared" si="49"/>
        <v/>
      </c>
      <c r="M101" s="115"/>
      <c r="N101" s="25" t="str">
        <f t="shared" si="50"/>
        <v/>
      </c>
      <c r="O101" s="17"/>
      <c r="P101" s="25" t="str">
        <f t="shared" si="51"/>
        <v/>
      </c>
      <c r="Q101" s="17"/>
      <c r="R101" s="25" t="str">
        <f t="shared" si="52"/>
        <v/>
      </c>
      <c r="S101" s="26" t="str">
        <f t="shared" si="48"/>
        <v/>
      </c>
      <c r="T101" s="182" t="str">
        <f t="shared" si="53"/>
        <v/>
      </c>
    </row>
    <row r="102" spans="1:20" x14ac:dyDescent="0.25">
      <c r="A102" s="30" t="str">
        <f t="shared" si="44"/>
        <v/>
      </c>
      <c r="B102" s="148"/>
      <c r="C102" s="69"/>
      <c r="D102" s="34"/>
      <c r="E102" s="46"/>
      <c r="F102" s="23"/>
      <c r="G102" s="37"/>
      <c r="H102" s="36"/>
      <c r="I102" s="16" t="str">
        <f t="shared" si="45"/>
        <v/>
      </c>
      <c r="J102" s="426" t="str">
        <f t="shared" si="46"/>
        <v/>
      </c>
      <c r="K102" s="832"/>
      <c r="L102" s="42" t="str">
        <f t="shared" si="49"/>
        <v/>
      </c>
      <c r="M102" s="115"/>
      <c r="N102" s="25" t="str">
        <f t="shared" si="50"/>
        <v/>
      </c>
      <c r="O102" s="17"/>
      <c r="P102" s="25" t="str">
        <f t="shared" si="51"/>
        <v/>
      </c>
      <c r="Q102" s="17"/>
      <c r="R102" s="25" t="str">
        <f t="shared" si="52"/>
        <v/>
      </c>
      <c r="S102" s="26" t="str">
        <f t="shared" si="48"/>
        <v/>
      </c>
      <c r="T102" s="182" t="str">
        <f t="shared" si="53"/>
        <v/>
      </c>
    </row>
    <row r="103" spans="1:20" x14ac:dyDescent="0.25">
      <c r="A103" s="30" t="str">
        <f t="shared" si="44"/>
        <v/>
      </c>
      <c r="B103" s="148"/>
      <c r="C103" s="69"/>
      <c r="D103" s="34"/>
      <c r="E103" s="46"/>
      <c r="F103" s="23"/>
      <c r="G103" s="37"/>
      <c r="H103" s="36"/>
      <c r="I103" s="16" t="str">
        <f t="shared" si="45"/>
        <v/>
      </c>
      <c r="J103" s="426" t="str">
        <f t="shared" si="46"/>
        <v/>
      </c>
      <c r="K103" s="832"/>
      <c r="L103" s="42" t="str">
        <f t="shared" si="49"/>
        <v/>
      </c>
      <c r="M103" s="115"/>
      <c r="N103" s="25" t="str">
        <f t="shared" si="50"/>
        <v/>
      </c>
      <c r="O103" s="17"/>
      <c r="P103" s="25" t="str">
        <f t="shared" si="51"/>
        <v/>
      </c>
      <c r="Q103" s="17"/>
      <c r="R103" s="25" t="str">
        <f t="shared" si="52"/>
        <v/>
      </c>
      <c r="S103" s="26" t="str">
        <f t="shared" si="48"/>
        <v/>
      </c>
      <c r="T103" s="182" t="str">
        <f t="shared" si="53"/>
        <v/>
      </c>
    </row>
    <row r="104" spans="1:20" x14ac:dyDescent="0.25">
      <c r="A104" s="30" t="str">
        <f t="shared" si="44"/>
        <v/>
      </c>
      <c r="B104" s="148"/>
      <c r="C104" s="69"/>
      <c r="D104" s="34"/>
      <c r="E104" s="46"/>
      <c r="F104" s="23"/>
      <c r="G104" s="37"/>
      <c r="H104" s="36"/>
      <c r="I104" s="16" t="str">
        <f t="shared" si="45"/>
        <v/>
      </c>
      <c r="J104" s="426" t="str">
        <f t="shared" si="46"/>
        <v/>
      </c>
      <c r="K104" s="832"/>
      <c r="L104" s="42" t="str">
        <f t="shared" si="49"/>
        <v/>
      </c>
      <c r="M104" s="115"/>
      <c r="N104" s="25" t="str">
        <f t="shared" si="50"/>
        <v/>
      </c>
      <c r="O104" s="17"/>
      <c r="P104" s="25" t="str">
        <f t="shared" si="51"/>
        <v/>
      </c>
      <c r="Q104" s="17"/>
      <c r="R104" s="25" t="str">
        <f t="shared" si="52"/>
        <v/>
      </c>
      <c r="S104" s="26" t="str">
        <f t="shared" si="48"/>
        <v/>
      </c>
      <c r="T104" s="182" t="str">
        <f t="shared" si="53"/>
        <v/>
      </c>
    </row>
    <row r="105" spans="1:20" x14ac:dyDescent="0.25">
      <c r="A105" s="30" t="str">
        <f t="shared" si="44"/>
        <v/>
      </c>
      <c r="B105" s="148"/>
      <c r="C105" s="69"/>
      <c r="D105" s="34"/>
      <c r="E105" s="46"/>
      <c r="F105" s="23"/>
      <c r="G105" s="37"/>
      <c r="H105" s="36"/>
      <c r="I105" s="16" t="str">
        <f t="shared" si="45"/>
        <v/>
      </c>
      <c r="J105" s="426" t="str">
        <f t="shared" si="46"/>
        <v/>
      </c>
      <c r="K105" s="832"/>
      <c r="L105" s="42" t="str">
        <f t="shared" si="49"/>
        <v/>
      </c>
      <c r="M105" s="115"/>
      <c r="N105" s="25" t="str">
        <f t="shared" si="50"/>
        <v/>
      </c>
      <c r="O105" s="17"/>
      <c r="P105" s="25" t="str">
        <f t="shared" si="51"/>
        <v/>
      </c>
      <c r="Q105" s="17"/>
      <c r="R105" s="25" t="str">
        <f t="shared" si="52"/>
        <v/>
      </c>
      <c r="S105" s="26" t="str">
        <f t="shared" si="48"/>
        <v/>
      </c>
      <c r="T105" s="182" t="str">
        <f t="shared" si="53"/>
        <v/>
      </c>
    </row>
    <row r="106" spans="1:20" x14ac:dyDescent="0.25">
      <c r="A106" s="30" t="str">
        <f t="shared" si="44"/>
        <v/>
      </c>
      <c r="B106" s="148"/>
      <c r="C106" s="69"/>
      <c r="D106" s="34"/>
      <c r="E106" s="46"/>
      <c r="F106" s="23"/>
      <c r="G106" s="37"/>
      <c r="H106" s="36"/>
      <c r="I106" s="16" t="str">
        <f t="shared" si="45"/>
        <v/>
      </c>
      <c r="J106" s="426" t="str">
        <f t="shared" si="46"/>
        <v/>
      </c>
      <c r="K106" s="832"/>
      <c r="L106" s="42" t="str">
        <f t="shared" si="49"/>
        <v/>
      </c>
      <c r="M106" s="115"/>
      <c r="N106" s="25" t="str">
        <f t="shared" si="50"/>
        <v/>
      </c>
      <c r="O106" s="17"/>
      <c r="P106" s="25" t="str">
        <f t="shared" si="51"/>
        <v/>
      </c>
      <c r="Q106" s="17"/>
      <c r="R106" s="25" t="str">
        <f t="shared" si="52"/>
        <v/>
      </c>
      <c r="S106" s="26" t="str">
        <f t="shared" si="48"/>
        <v/>
      </c>
      <c r="T106" s="182" t="str">
        <f t="shared" si="53"/>
        <v/>
      </c>
    </row>
    <row r="107" spans="1:20" x14ac:dyDescent="0.25">
      <c r="A107" s="30" t="str">
        <f t="shared" si="44"/>
        <v/>
      </c>
      <c r="B107" s="148"/>
      <c r="C107" s="69"/>
      <c r="D107" s="34"/>
      <c r="E107" s="46"/>
      <c r="F107" s="23"/>
      <c r="G107" s="37"/>
      <c r="H107" s="36"/>
      <c r="I107" s="16" t="str">
        <f t="shared" si="45"/>
        <v/>
      </c>
      <c r="J107" s="426" t="str">
        <f t="shared" si="46"/>
        <v/>
      </c>
      <c r="K107" s="832"/>
      <c r="L107" s="42" t="str">
        <f t="shared" si="49"/>
        <v/>
      </c>
      <c r="M107" s="115"/>
      <c r="N107" s="25" t="str">
        <f t="shared" si="50"/>
        <v/>
      </c>
      <c r="O107" s="17"/>
      <c r="P107" s="25" t="str">
        <f t="shared" si="51"/>
        <v/>
      </c>
      <c r="Q107" s="17"/>
      <c r="R107" s="25" t="str">
        <f t="shared" si="52"/>
        <v/>
      </c>
      <c r="S107" s="26" t="str">
        <f t="shared" si="48"/>
        <v/>
      </c>
      <c r="T107" s="182" t="str">
        <f t="shared" si="53"/>
        <v/>
      </c>
    </row>
    <row r="108" spans="1:20" x14ac:dyDescent="0.25">
      <c r="A108" s="30" t="str">
        <f t="shared" si="44"/>
        <v/>
      </c>
      <c r="B108" s="148"/>
      <c r="C108" s="69"/>
      <c r="D108" s="34"/>
      <c r="E108" s="46"/>
      <c r="F108" s="23"/>
      <c r="G108" s="37"/>
      <c r="H108" s="36"/>
      <c r="I108" s="16" t="str">
        <f t="shared" si="45"/>
        <v/>
      </c>
      <c r="J108" s="426" t="str">
        <f t="shared" si="46"/>
        <v/>
      </c>
      <c r="K108" s="832"/>
      <c r="L108" s="42" t="str">
        <f t="shared" si="49"/>
        <v/>
      </c>
      <c r="M108" s="115"/>
      <c r="N108" s="25" t="str">
        <f t="shared" si="50"/>
        <v/>
      </c>
      <c r="O108" s="17"/>
      <c r="P108" s="25" t="str">
        <f t="shared" si="51"/>
        <v/>
      </c>
      <c r="Q108" s="17"/>
      <c r="R108" s="25" t="str">
        <f t="shared" si="52"/>
        <v/>
      </c>
      <c r="S108" s="26" t="str">
        <f t="shared" si="48"/>
        <v/>
      </c>
      <c r="T108" s="182" t="str">
        <f t="shared" si="53"/>
        <v/>
      </c>
    </row>
    <row r="109" spans="1:20" x14ac:dyDescent="0.25">
      <c r="A109" s="30" t="str">
        <f t="shared" si="44"/>
        <v/>
      </c>
      <c r="B109" s="148"/>
      <c r="C109" s="69"/>
      <c r="D109" s="34"/>
      <c r="E109" s="46"/>
      <c r="F109" s="23"/>
      <c r="G109" s="37"/>
      <c r="H109" s="36"/>
      <c r="I109" s="16" t="str">
        <f t="shared" si="45"/>
        <v/>
      </c>
      <c r="J109" s="426" t="str">
        <f t="shared" si="46"/>
        <v/>
      </c>
      <c r="K109" s="832"/>
      <c r="L109" s="42" t="str">
        <f t="shared" si="49"/>
        <v/>
      </c>
      <c r="M109" s="115"/>
      <c r="N109" s="25" t="str">
        <f t="shared" si="50"/>
        <v/>
      </c>
      <c r="O109" s="17"/>
      <c r="P109" s="25" t="str">
        <f t="shared" si="51"/>
        <v/>
      </c>
      <c r="Q109" s="17"/>
      <c r="R109" s="25" t="str">
        <f t="shared" si="52"/>
        <v/>
      </c>
      <c r="S109" s="26" t="str">
        <f t="shared" si="48"/>
        <v/>
      </c>
      <c r="T109" s="182" t="str">
        <f t="shared" si="53"/>
        <v/>
      </c>
    </row>
    <row r="110" spans="1:20" x14ac:dyDescent="0.25">
      <c r="A110" s="30" t="str">
        <f t="shared" si="44"/>
        <v/>
      </c>
      <c r="B110" s="148"/>
      <c r="C110" s="69"/>
      <c r="D110" s="34"/>
      <c r="E110" s="46"/>
      <c r="F110" s="23"/>
      <c r="G110" s="37"/>
      <c r="H110" s="36"/>
      <c r="I110" s="16" t="str">
        <f t="shared" si="45"/>
        <v/>
      </c>
      <c r="J110" s="426" t="str">
        <f t="shared" si="46"/>
        <v/>
      </c>
      <c r="K110" s="832"/>
      <c r="L110" s="42" t="str">
        <f t="shared" si="49"/>
        <v/>
      </c>
      <c r="M110" s="115"/>
      <c r="N110" s="25" t="str">
        <f t="shared" si="50"/>
        <v/>
      </c>
      <c r="O110" s="17"/>
      <c r="P110" s="25" t="str">
        <f t="shared" si="51"/>
        <v/>
      </c>
      <c r="Q110" s="17"/>
      <c r="R110" s="25" t="str">
        <f t="shared" si="52"/>
        <v/>
      </c>
      <c r="S110" s="26" t="str">
        <f t="shared" si="48"/>
        <v/>
      </c>
      <c r="T110" s="182" t="str">
        <f t="shared" si="53"/>
        <v/>
      </c>
    </row>
    <row r="111" spans="1:20" ht="15.75" thickBot="1" x14ac:dyDescent="0.3">
      <c r="A111" s="30" t="str">
        <f t="shared" si="44"/>
        <v/>
      </c>
      <c r="B111" s="149"/>
      <c r="C111" s="190"/>
      <c r="D111" s="191"/>
      <c r="E111" s="192" t="str">
        <f t="shared" ref="E111" si="54">IF(L111="","",(L111+D111)-$I$2)</f>
        <v/>
      </c>
      <c r="F111" s="27"/>
      <c r="G111" s="193"/>
      <c r="H111" s="193"/>
      <c r="I111" s="173" t="str">
        <f t="shared" si="45"/>
        <v/>
      </c>
      <c r="J111" s="1107" t="str">
        <f t="shared" si="46"/>
        <v/>
      </c>
      <c r="K111" s="833"/>
      <c r="L111" s="42" t="str">
        <f t="shared" si="47"/>
        <v/>
      </c>
      <c r="M111" s="123"/>
      <c r="N111" s="28" t="str">
        <f t="shared" si="40"/>
        <v/>
      </c>
      <c r="O111" s="29"/>
      <c r="P111" s="28" t="str">
        <f t="shared" si="41"/>
        <v/>
      </c>
      <c r="Q111" s="29"/>
      <c r="R111" s="28" t="str">
        <f t="shared" si="42"/>
        <v/>
      </c>
      <c r="S111" s="26" t="str">
        <f t="shared" si="48"/>
        <v/>
      </c>
      <c r="T111" s="183" t="str">
        <f t="shared" si="43"/>
        <v/>
      </c>
    </row>
    <row r="112" spans="1:20" ht="16.5" thickTop="1" thickBot="1" x14ac:dyDescent="0.3">
      <c r="A112" s="30"/>
      <c r="B112" s="194" t="s">
        <v>289</v>
      </c>
      <c r="C112" s="195"/>
      <c r="D112" s="195" t="s">
        <v>107</v>
      </c>
      <c r="E112" s="196"/>
      <c r="F112" s="197">
        <f>SUM(F87:F111)</f>
        <v>29100</v>
      </c>
      <c r="G112" s="197" t="s">
        <v>107</v>
      </c>
      <c r="H112" s="198" t="s">
        <v>107</v>
      </c>
      <c r="I112" s="197">
        <f>SUM(I87:I111)</f>
        <v>11940</v>
      </c>
      <c r="J112" s="198">
        <f>SUM(J87:J111)</f>
        <v>1358.3761025913136</v>
      </c>
      <c r="K112" s="199">
        <f>SUM(K87:K111)</f>
        <v>25200</v>
      </c>
      <c r="L112" s="42" t="s">
        <v>107</v>
      </c>
      <c r="M112" s="184">
        <f>IF($J112=0,0,(N112/$J112)*100)</f>
        <v>0</v>
      </c>
      <c r="N112" s="185">
        <f>IF($R$24&lt;&gt;"",SUM(N87:N111),0)</f>
        <v>0</v>
      </c>
      <c r="O112" s="186">
        <f>IF($J112=0,0,(P112/$J112)*100)</f>
        <v>0</v>
      </c>
      <c r="P112" s="185">
        <f>IF($R$24&lt;&gt;"",SUM(P87:P111),0)</f>
        <v>0</v>
      </c>
      <c r="Q112" s="186">
        <f>IF($J112=0,0,(R112/$J112)*100)</f>
        <v>0</v>
      </c>
      <c r="R112" s="185">
        <f>IF($R$24&lt;&gt;"",SUM(R87:R111),0)</f>
        <v>0</v>
      </c>
      <c r="S112" s="186">
        <f>IF($J112=0,0,(T112/$J112)*100)</f>
        <v>0</v>
      </c>
      <c r="T112" s="187">
        <f>IF($R$24&lt;&gt;"",SUM(T87:T111),0)</f>
        <v>0</v>
      </c>
    </row>
    <row r="113" spans="1:16384" ht="16.5" thickTop="1" thickBot="1" x14ac:dyDescent="0.3">
      <c r="A113" s="30"/>
      <c r="B113" s="31"/>
      <c r="C113" s="42"/>
      <c r="D113" s="43"/>
      <c r="E113" s="43"/>
      <c r="F113" s="41"/>
      <c r="G113" s="41"/>
      <c r="H113" s="41"/>
      <c r="I113" s="41"/>
      <c r="J113" s="41"/>
      <c r="K113" s="41"/>
      <c r="L113" s="31"/>
      <c r="M113" s="1182"/>
      <c r="N113" s="1182"/>
      <c r="O113" s="1182"/>
      <c r="P113" s="1182"/>
      <c r="Q113" s="1182"/>
      <c r="R113" s="1182"/>
      <c r="S113" s="1182"/>
      <c r="T113" s="118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c r="XFC113" s="2"/>
      <c r="XFD113" s="2"/>
    </row>
    <row r="114" spans="1:16384" ht="16.5" thickTop="1" thickBot="1" x14ac:dyDescent="0.3">
      <c r="A114" s="31"/>
      <c r="B114" s="1183" t="s">
        <v>169</v>
      </c>
      <c r="C114" s="1184"/>
      <c r="D114" s="1184"/>
      <c r="E114" s="1184"/>
      <c r="F114" s="1184"/>
      <c r="G114" s="1184"/>
      <c r="H114" s="1184"/>
      <c r="I114" s="1184"/>
      <c r="J114" s="1184"/>
      <c r="K114" s="97"/>
      <c r="L114" s="216"/>
      <c r="M114" s="1185" t="s">
        <v>123</v>
      </c>
      <c r="N114" s="1179"/>
      <c r="O114" s="1186" t="s">
        <v>104</v>
      </c>
      <c r="P114" s="1186"/>
      <c r="Q114" s="1179" t="s">
        <v>127</v>
      </c>
      <c r="R114" s="1179"/>
      <c r="S114" s="1180" t="s">
        <v>128</v>
      </c>
      <c r="T114" s="1181"/>
    </row>
    <row r="115" spans="1:16384" ht="61.5" customHeight="1" thickTop="1" thickBot="1" x14ac:dyDescent="0.3">
      <c r="B115" s="101" t="s">
        <v>136</v>
      </c>
      <c r="C115" s="102" t="s">
        <v>260</v>
      </c>
      <c r="D115" s="102" t="s">
        <v>138</v>
      </c>
      <c r="E115" s="212"/>
      <c r="F115" s="102" t="s">
        <v>377</v>
      </c>
      <c r="G115" s="102" t="s">
        <v>163</v>
      </c>
      <c r="H115" s="102" t="s">
        <v>164</v>
      </c>
      <c r="I115" s="102" t="s">
        <v>378</v>
      </c>
      <c r="J115" s="103" t="s">
        <v>379</v>
      </c>
      <c r="K115" s="105" t="s">
        <v>376</v>
      </c>
      <c r="L115" s="217" t="s">
        <v>162</v>
      </c>
      <c r="M115" s="120" t="s">
        <v>130</v>
      </c>
      <c r="N115" s="121" t="s">
        <v>131</v>
      </c>
      <c r="O115" s="121" t="s">
        <v>130</v>
      </c>
      <c r="P115" s="121" t="s">
        <v>131</v>
      </c>
      <c r="Q115" s="121" t="s">
        <v>130</v>
      </c>
      <c r="R115" s="121" t="s">
        <v>131</v>
      </c>
      <c r="S115" s="121" t="s">
        <v>130</v>
      </c>
      <c r="T115" s="122" t="s">
        <v>131</v>
      </c>
    </row>
    <row r="116" spans="1:16384" ht="15.75" thickTop="1" x14ac:dyDescent="0.25">
      <c r="A116" s="30">
        <f t="shared" ref="A116:A140" si="55">IF(C116="","",MONTH(C116))</f>
        <v>3</v>
      </c>
      <c r="B116" s="159" t="s">
        <v>519</v>
      </c>
      <c r="C116" s="160">
        <v>41353</v>
      </c>
      <c r="D116" s="213">
        <v>20</v>
      </c>
      <c r="E116" s="46"/>
      <c r="F116" s="164">
        <v>46000</v>
      </c>
      <c r="G116" s="215">
        <v>60</v>
      </c>
      <c r="H116" s="215">
        <v>80</v>
      </c>
      <c r="I116" s="166">
        <f>IF(OR(B116="",H116=""),"",(H116*0.01*F116)*G116*0.01)</f>
        <v>22080</v>
      </c>
      <c r="J116" s="425">
        <f>IF(OR(I$2="",B116=""),"",IF(L116&gt;$I$2,0,IF((L116+D116)-$I$2&lt;=0,0,(PMT($I$8,D116,F116*G116*0.01,-I116,0))*(-1))))</f>
        <v>1806.0587545122198</v>
      </c>
      <c r="K116" s="834">
        <v>40000</v>
      </c>
      <c r="L116" s="836">
        <f>IF(C116="","",YEAR(C116))</f>
        <v>2013</v>
      </c>
      <c r="M116" s="177"/>
      <c r="N116" s="178" t="str">
        <f t="shared" si="40"/>
        <v/>
      </c>
      <c r="O116" s="179"/>
      <c r="P116" s="178" t="str">
        <f t="shared" si="41"/>
        <v/>
      </c>
      <c r="Q116" s="179"/>
      <c r="R116" s="178" t="str">
        <f t="shared" si="42"/>
        <v/>
      </c>
      <c r="S116" s="180" t="str">
        <f>IF(AND(M116="",O116="",Q116=""),"",100-M116-O116-Q116)</f>
        <v/>
      </c>
      <c r="T116" s="181" t="str">
        <f t="shared" si="43"/>
        <v/>
      </c>
    </row>
    <row r="117" spans="1:16384" x14ac:dyDescent="0.25">
      <c r="A117" s="30">
        <f t="shared" si="55"/>
        <v>1</v>
      </c>
      <c r="B117" s="148" t="s">
        <v>520</v>
      </c>
      <c r="C117" s="70">
        <v>32874</v>
      </c>
      <c r="D117" s="34">
        <v>20</v>
      </c>
      <c r="E117" s="46"/>
      <c r="F117" s="23">
        <v>3000</v>
      </c>
      <c r="G117" s="36">
        <v>100</v>
      </c>
      <c r="H117" s="36">
        <v>80</v>
      </c>
      <c r="I117" s="16">
        <f t="shared" ref="I117:I140" si="56">IF(OR(B117="",H117=""),"",(H117*0.01*F117)*G117*0.01)</f>
        <v>2400</v>
      </c>
      <c r="J117" s="426">
        <f t="shared" ref="J117:J140" si="57">IF(OR(I$2="",B117=""),"",IF(L117&gt;$I$2,0,IF((L117+D117)-$I$2&lt;=0,0,(PMT($I$8,D117,F117*G117*0.01,-I117,0))*(-1))))</f>
        <v>0</v>
      </c>
      <c r="K117" s="832">
        <v>1500</v>
      </c>
      <c r="L117" s="836">
        <f t="shared" ref="L117:L124" si="58">IF(C117="","",YEAR(C117))</f>
        <v>1990</v>
      </c>
      <c r="M117" s="115"/>
      <c r="N117" s="25" t="str">
        <f t="shared" si="40"/>
        <v/>
      </c>
      <c r="O117" s="17"/>
      <c r="P117" s="25" t="str">
        <f t="shared" ref="P117:P147" si="59">IF(O117="","",$J117*O117/100)</f>
        <v/>
      </c>
      <c r="Q117" s="17"/>
      <c r="R117" s="25" t="str">
        <f t="shared" ref="R117:R147" si="60">IF(Q117="","",$J117*Q117/100)</f>
        <v/>
      </c>
      <c r="S117" s="26" t="str">
        <f t="shared" ref="S117:S140" si="61">IF(AND(M117="",O117="",Q117=""),"",100-M117-O117-Q117)</f>
        <v/>
      </c>
      <c r="T117" s="182" t="str">
        <f t="shared" ref="T117:T147" si="62">IF(S117="","",$J117*S117/100)</f>
        <v/>
      </c>
    </row>
    <row r="118" spans="1:16384" x14ac:dyDescent="0.25">
      <c r="A118" s="30">
        <f t="shared" si="55"/>
        <v>1</v>
      </c>
      <c r="B118" s="148" t="s">
        <v>521</v>
      </c>
      <c r="C118" s="70">
        <v>41275</v>
      </c>
      <c r="D118" s="34">
        <v>20</v>
      </c>
      <c r="E118" s="46"/>
      <c r="F118" s="23">
        <v>1500</v>
      </c>
      <c r="G118" s="36">
        <v>50</v>
      </c>
      <c r="H118" s="36">
        <v>80</v>
      </c>
      <c r="I118" s="16">
        <f t="shared" si="56"/>
        <v>600</v>
      </c>
      <c r="J118" s="426">
        <f t="shared" si="57"/>
        <v>49.077683546527716</v>
      </c>
      <c r="K118" s="832">
        <v>1200</v>
      </c>
      <c r="L118" s="836">
        <f t="shared" si="58"/>
        <v>2013</v>
      </c>
      <c r="M118" s="115"/>
      <c r="N118" s="25" t="str">
        <f t="shared" ref="N118:N147" si="63">IF(M118="","",$J118*M118/100)</f>
        <v/>
      </c>
      <c r="O118" s="17"/>
      <c r="P118" s="25" t="str">
        <f t="shared" si="59"/>
        <v/>
      </c>
      <c r="Q118" s="17"/>
      <c r="R118" s="25" t="str">
        <f t="shared" si="60"/>
        <v/>
      </c>
      <c r="S118" s="26" t="str">
        <f t="shared" si="61"/>
        <v/>
      </c>
      <c r="T118" s="182" t="str">
        <f t="shared" si="62"/>
        <v/>
      </c>
    </row>
    <row r="119" spans="1:16384" x14ac:dyDescent="0.25">
      <c r="A119" s="30">
        <f t="shared" si="55"/>
        <v>10</v>
      </c>
      <c r="B119" s="148" t="s">
        <v>522</v>
      </c>
      <c r="C119" s="70">
        <v>41922</v>
      </c>
      <c r="D119" s="34">
        <v>20</v>
      </c>
      <c r="E119" s="46"/>
      <c r="F119" s="23">
        <v>600</v>
      </c>
      <c r="G119" s="36">
        <v>100</v>
      </c>
      <c r="H119" s="36">
        <v>80</v>
      </c>
      <c r="I119" s="16">
        <f t="shared" si="56"/>
        <v>480</v>
      </c>
      <c r="J119" s="426">
        <f t="shared" si="57"/>
        <v>39.262146837222176</v>
      </c>
      <c r="K119" s="832">
        <v>500</v>
      </c>
      <c r="L119" s="836">
        <f t="shared" si="58"/>
        <v>2014</v>
      </c>
      <c r="M119" s="115"/>
      <c r="N119" s="25" t="str">
        <f t="shared" si="63"/>
        <v/>
      </c>
      <c r="O119" s="17"/>
      <c r="P119" s="25" t="str">
        <f t="shared" si="59"/>
        <v/>
      </c>
      <c r="Q119" s="17"/>
      <c r="R119" s="25" t="str">
        <f t="shared" si="60"/>
        <v/>
      </c>
      <c r="S119" s="26" t="str">
        <f t="shared" si="61"/>
        <v/>
      </c>
      <c r="T119" s="182" t="str">
        <f t="shared" si="62"/>
        <v/>
      </c>
    </row>
    <row r="120" spans="1:16384" x14ac:dyDescent="0.25">
      <c r="A120" s="30" t="str">
        <f t="shared" si="55"/>
        <v/>
      </c>
      <c r="B120" s="148"/>
      <c r="C120" s="70"/>
      <c r="D120" s="34"/>
      <c r="E120" s="46"/>
      <c r="F120" s="23"/>
      <c r="G120" s="36"/>
      <c r="H120" s="36"/>
      <c r="I120" s="16" t="str">
        <f t="shared" si="56"/>
        <v/>
      </c>
      <c r="J120" s="426" t="str">
        <f t="shared" si="57"/>
        <v/>
      </c>
      <c r="K120" s="832"/>
      <c r="L120" s="836" t="str">
        <f t="shared" si="58"/>
        <v/>
      </c>
      <c r="M120" s="115"/>
      <c r="N120" s="25" t="str">
        <f t="shared" si="63"/>
        <v/>
      </c>
      <c r="O120" s="17"/>
      <c r="P120" s="25" t="str">
        <f>IF(O120="","",$J120*O120/100)</f>
        <v/>
      </c>
      <c r="Q120" s="17"/>
      <c r="R120" s="25" t="str">
        <f t="shared" si="60"/>
        <v/>
      </c>
      <c r="S120" s="26" t="str">
        <f t="shared" si="61"/>
        <v/>
      </c>
      <c r="T120" s="182" t="str">
        <f t="shared" si="62"/>
        <v/>
      </c>
    </row>
    <row r="121" spans="1:16384" x14ac:dyDescent="0.25">
      <c r="A121" s="30" t="str">
        <f t="shared" si="55"/>
        <v/>
      </c>
      <c r="B121" s="148"/>
      <c r="C121" s="69"/>
      <c r="D121" s="34"/>
      <c r="E121" s="46"/>
      <c r="F121" s="23"/>
      <c r="G121" s="37"/>
      <c r="H121" s="36"/>
      <c r="I121" s="16" t="str">
        <f t="shared" si="56"/>
        <v/>
      </c>
      <c r="J121" s="426" t="str">
        <f t="shared" si="57"/>
        <v/>
      </c>
      <c r="K121" s="832"/>
      <c r="L121" s="836" t="str">
        <f t="shared" si="58"/>
        <v/>
      </c>
      <c r="M121" s="115"/>
      <c r="N121" s="25" t="str">
        <f t="shared" si="63"/>
        <v/>
      </c>
      <c r="O121" s="17"/>
      <c r="P121" s="25" t="str">
        <f t="shared" si="59"/>
        <v/>
      </c>
      <c r="Q121" s="17"/>
      <c r="R121" s="25" t="str">
        <f t="shared" si="60"/>
        <v/>
      </c>
      <c r="S121" s="26" t="str">
        <f t="shared" si="61"/>
        <v/>
      </c>
      <c r="T121" s="182" t="str">
        <f t="shared" si="62"/>
        <v/>
      </c>
    </row>
    <row r="122" spans="1:16384" x14ac:dyDescent="0.25">
      <c r="A122" s="30" t="str">
        <f t="shared" si="55"/>
        <v/>
      </c>
      <c r="B122" s="148"/>
      <c r="C122" s="69"/>
      <c r="D122" s="34"/>
      <c r="E122" s="46"/>
      <c r="F122" s="23"/>
      <c r="G122" s="37"/>
      <c r="H122" s="36"/>
      <c r="I122" s="16" t="str">
        <f t="shared" si="56"/>
        <v/>
      </c>
      <c r="J122" s="426" t="str">
        <f t="shared" si="57"/>
        <v/>
      </c>
      <c r="K122" s="832"/>
      <c r="L122" s="836" t="str">
        <f t="shared" si="58"/>
        <v/>
      </c>
      <c r="M122" s="115"/>
      <c r="N122" s="25" t="str">
        <f t="shared" si="63"/>
        <v/>
      </c>
      <c r="O122" s="17"/>
      <c r="P122" s="25" t="str">
        <f t="shared" si="59"/>
        <v/>
      </c>
      <c r="Q122" s="17"/>
      <c r="R122" s="25" t="str">
        <f t="shared" si="60"/>
        <v/>
      </c>
      <c r="S122" s="26" t="str">
        <f t="shared" si="61"/>
        <v/>
      </c>
      <c r="T122" s="182" t="str">
        <f t="shared" si="62"/>
        <v/>
      </c>
    </row>
    <row r="123" spans="1:16384" x14ac:dyDescent="0.25">
      <c r="A123" s="30" t="str">
        <f t="shared" si="55"/>
        <v/>
      </c>
      <c r="B123" s="148"/>
      <c r="C123" s="69"/>
      <c r="D123" s="34"/>
      <c r="E123" s="46"/>
      <c r="F123" s="23"/>
      <c r="G123" s="37"/>
      <c r="H123" s="36"/>
      <c r="I123" s="16" t="str">
        <f t="shared" si="56"/>
        <v/>
      </c>
      <c r="J123" s="426" t="str">
        <f t="shared" si="57"/>
        <v/>
      </c>
      <c r="K123" s="832"/>
      <c r="L123" s="836" t="str">
        <f t="shared" si="58"/>
        <v/>
      </c>
      <c r="M123" s="115"/>
      <c r="N123" s="25" t="str">
        <f t="shared" si="63"/>
        <v/>
      </c>
      <c r="O123" s="17"/>
      <c r="P123" s="25" t="str">
        <f t="shared" si="59"/>
        <v/>
      </c>
      <c r="Q123" s="17"/>
      <c r="R123" s="25" t="str">
        <f t="shared" si="60"/>
        <v/>
      </c>
      <c r="S123" s="26" t="str">
        <f t="shared" si="61"/>
        <v/>
      </c>
      <c r="T123" s="182" t="str">
        <f t="shared" si="62"/>
        <v/>
      </c>
    </row>
    <row r="124" spans="1:16384" x14ac:dyDescent="0.25">
      <c r="A124" s="30" t="str">
        <f t="shared" si="55"/>
        <v/>
      </c>
      <c r="B124" s="148"/>
      <c r="C124" s="69"/>
      <c r="D124" s="34"/>
      <c r="E124" s="46"/>
      <c r="F124" s="23"/>
      <c r="G124" s="37"/>
      <c r="H124" s="36"/>
      <c r="I124" s="16" t="str">
        <f t="shared" si="56"/>
        <v/>
      </c>
      <c r="J124" s="426" t="str">
        <f t="shared" si="57"/>
        <v/>
      </c>
      <c r="K124" s="832"/>
      <c r="L124" s="836" t="str">
        <f t="shared" si="58"/>
        <v/>
      </c>
      <c r="M124" s="115"/>
      <c r="N124" s="25" t="str">
        <f t="shared" si="63"/>
        <v/>
      </c>
      <c r="O124" s="17"/>
      <c r="P124" s="25" t="str">
        <f t="shared" si="59"/>
        <v/>
      </c>
      <c r="Q124" s="17"/>
      <c r="R124" s="25" t="str">
        <f t="shared" si="60"/>
        <v/>
      </c>
      <c r="S124" s="26" t="str">
        <f t="shared" si="61"/>
        <v/>
      </c>
      <c r="T124" s="182" t="str">
        <f t="shared" si="62"/>
        <v/>
      </c>
    </row>
    <row r="125" spans="1:16384" x14ac:dyDescent="0.25">
      <c r="A125" s="30" t="str">
        <f t="shared" si="55"/>
        <v/>
      </c>
      <c r="B125" s="148"/>
      <c r="C125" s="69"/>
      <c r="D125" s="34"/>
      <c r="E125" s="46"/>
      <c r="F125" s="23"/>
      <c r="G125" s="37"/>
      <c r="H125" s="36"/>
      <c r="I125" s="16" t="str">
        <f t="shared" si="56"/>
        <v/>
      </c>
      <c r="J125" s="426" t="str">
        <f t="shared" si="57"/>
        <v/>
      </c>
      <c r="K125" s="832"/>
      <c r="L125" s="836" t="str">
        <f t="shared" ref="L125:L140" si="64">IF(C125="","",YEAR(C125))</f>
        <v/>
      </c>
      <c r="M125" s="115"/>
      <c r="N125" s="25" t="str">
        <f t="shared" ref="N125:N140" si="65">IF(M125="","",$J125*M125/100)</f>
        <v/>
      </c>
      <c r="O125" s="17"/>
      <c r="P125" s="25" t="str">
        <f t="shared" ref="P125:P140" si="66">IF(O125="","",$J125*O125/100)</f>
        <v/>
      </c>
      <c r="Q125" s="17"/>
      <c r="R125" s="25" t="str">
        <f t="shared" ref="R125:R140" si="67">IF(Q125="","",$J125*Q125/100)</f>
        <v/>
      </c>
      <c r="S125" s="26" t="str">
        <f t="shared" si="61"/>
        <v/>
      </c>
      <c r="T125" s="182" t="str">
        <f t="shared" ref="T125:T140" si="68">IF(S125="","",$J125*S125/100)</f>
        <v/>
      </c>
    </row>
    <row r="126" spans="1:16384" x14ac:dyDescent="0.25">
      <c r="A126" s="30" t="str">
        <f t="shared" si="55"/>
        <v/>
      </c>
      <c r="B126" s="148"/>
      <c r="C126" s="69"/>
      <c r="D126" s="34"/>
      <c r="E126" s="46"/>
      <c r="F126" s="23"/>
      <c r="G126" s="37"/>
      <c r="H126" s="36"/>
      <c r="I126" s="16" t="str">
        <f t="shared" si="56"/>
        <v/>
      </c>
      <c r="J126" s="426" t="str">
        <f t="shared" si="57"/>
        <v/>
      </c>
      <c r="K126" s="832"/>
      <c r="L126" s="836" t="str">
        <f t="shared" si="64"/>
        <v/>
      </c>
      <c r="M126" s="115"/>
      <c r="N126" s="25" t="str">
        <f t="shared" si="65"/>
        <v/>
      </c>
      <c r="O126" s="17"/>
      <c r="P126" s="25" t="str">
        <f t="shared" si="66"/>
        <v/>
      </c>
      <c r="Q126" s="17"/>
      <c r="R126" s="25" t="str">
        <f t="shared" si="67"/>
        <v/>
      </c>
      <c r="S126" s="26" t="str">
        <f t="shared" si="61"/>
        <v/>
      </c>
      <c r="T126" s="182" t="str">
        <f t="shared" si="68"/>
        <v/>
      </c>
    </row>
    <row r="127" spans="1:16384" x14ac:dyDescent="0.25">
      <c r="A127" s="30" t="str">
        <f t="shared" si="55"/>
        <v/>
      </c>
      <c r="B127" s="148"/>
      <c r="C127" s="69"/>
      <c r="D127" s="34"/>
      <c r="E127" s="46"/>
      <c r="F127" s="23"/>
      <c r="G127" s="37"/>
      <c r="H127" s="36"/>
      <c r="I127" s="16" t="str">
        <f t="shared" si="56"/>
        <v/>
      </c>
      <c r="J127" s="426" t="str">
        <f t="shared" si="57"/>
        <v/>
      </c>
      <c r="K127" s="832"/>
      <c r="L127" s="836" t="str">
        <f t="shared" si="64"/>
        <v/>
      </c>
      <c r="M127" s="115"/>
      <c r="N127" s="25" t="str">
        <f t="shared" si="65"/>
        <v/>
      </c>
      <c r="O127" s="17"/>
      <c r="P127" s="25" t="str">
        <f t="shared" si="66"/>
        <v/>
      </c>
      <c r="Q127" s="17"/>
      <c r="R127" s="25" t="str">
        <f t="shared" si="67"/>
        <v/>
      </c>
      <c r="S127" s="26" t="str">
        <f t="shared" si="61"/>
        <v/>
      </c>
      <c r="T127" s="182" t="str">
        <f t="shared" si="68"/>
        <v/>
      </c>
    </row>
    <row r="128" spans="1:16384" x14ac:dyDescent="0.25">
      <c r="A128" s="30" t="str">
        <f t="shared" si="55"/>
        <v/>
      </c>
      <c r="B128" s="148"/>
      <c r="C128" s="69"/>
      <c r="D128" s="34"/>
      <c r="E128" s="46"/>
      <c r="F128" s="23"/>
      <c r="G128" s="37"/>
      <c r="H128" s="36"/>
      <c r="I128" s="16" t="str">
        <f t="shared" si="56"/>
        <v/>
      </c>
      <c r="J128" s="426" t="str">
        <f t="shared" si="57"/>
        <v/>
      </c>
      <c r="K128" s="832"/>
      <c r="L128" s="836" t="str">
        <f t="shared" si="64"/>
        <v/>
      </c>
      <c r="M128" s="115"/>
      <c r="N128" s="25" t="str">
        <f t="shared" si="65"/>
        <v/>
      </c>
      <c r="O128" s="17"/>
      <c r="P128" s="25" t="str">
        <f t="shared" si="66"/>
        <v/>
      </c>
      <c r="Q128" s="17"/>
      <c r="R128" s="25" t="str">
        <f t="shared" si="67"/>
        <v/>
      </c>
      <c r="S128" s="26" t="str">
        <f t="shared" si="61"/>
        <v/>
      </c>
      <c r="T128" s="182" t="str">
        <f t="shared" si="68"/>
        <v/>
      </c>
    </row>
    <row r="129" spans="1:16384" x14ac:dyDescent="0.25">
      <c r="A129" s="30" t="str">
        <f t="shared" si="55"/>
        <v/>
      </c>
      <c r="B129" s="148"/>
      <c r="C129" s="69"/>
      <c r="D129" s="34"/>
      <c r="E129" s="46"/>
      <c r="F129" s="23"/>
      <c r="G129" s="37"/>
      <c r="H129" s="36"/>
      <c r="I129" s="16" t="str">
        <f t="shared" si="56"/>
        <v/>
      </c>
      <c r="J129" s="426" t="str">
        <f t="shared" si="57"/>
        <v/>
      </c>
      <c r="K129" s="832"/>
      <c r="L129" s="836" t="str">
        <f t="shared" si="64"/>
        <v/>
      </c>
      <c r="M129" s="115"/>
      <c r="N129" s="25" t="str">
        <f t="shared" si="65"/>
        <v/>
      </c>
      <c r="O129" s="17"/>
      <c r="P129" s="25" t="str">
        <f t="shared" si="66"/>
        <v/>
      </c>
      <c r="Q129" s="17"/>
      <c r="R129" s="25" t="str">
        <f t="shared" si="67"/>
        <v/>
      </c>
      <c r="S129" s="26" t="str">
        <f t="shared" si="61"/>
        <v/>
      </c>
      <c r="T129" s="182" t="str">
        <f t="shared" si="68"/>
        <v/>
      </c>
    </row>
    <row r="130" spans="1:16384" x14ac:dyDescent="0.25">
      <c r="A130" s="30" t="str">
        <f t="shared" si="55"/>
        <v/>
      </c>
      <c r="B130" s="148"/>
      <c r="C130" s="69"/>
      <c r="D130" s="34"/>
      <c r="E130" s="46"/>
      <c r="F130" s="23"/>
      <c r="G130" s="37"/>
      <c r="H130" s="36"/>
      <c r="I130" s="16" t="str">
        <f t="shared" si="56"/>
        <v/>
      </c>
      <c r="J130" s="426" t="str">
        <f t="shared" si="57"/>
        <v/>
      </c>
      <c r="K130" s="832"/>
      <c r="L130" s="836" t="str">
        <f t="shared" si="64"/>
        <v/>
      </c>
      <c r="M130" s="115"/>
      <c r="N130" s="25" t="str">
        <f t="shared" si="65"/>
        <v/>
      </c>
      <c r="O130" s="17"/>
      <c r="P130" s="25" t="str">
        <f t="shared" si="66"/>
        <v/>
      </c>
      <c r="Q130" s="17"/>
      <c r="R130" s="25" t="str">
        <f t="shared" si="67"/>
        <v/>
      </c>
      <c r="S130" s="26" t="str">
        <f t="shared" si="61"/>
        <v/>
      </c>
      <c r="T130" s="182" t="str">
        <f t="shared" si="68"/>
        <v/>
      </c>
    </row>
    <row r="131" spans="1:16384" x14ac:dyDescent="0.25">
      <c r="A131" s="30" t="str">
        <f t="shared" si="55"/>
        <v/>
      </c>
      <c r="B131" s="148"/>
      <c r="C131" s="69"/>
      <c r="D131" s="34"/>
      <c r="E131" s="46"/>
      <c r="F131" s="23"/>
      <c r="G131" s="37"/>
      <c r="H131" s="36"/>
      <c r="I131" s="16" t="str">
        <f t="shared" si="56"/>
        <v/>
      </c>
      <c r="J131" s="426" t="str">
        <f t="shared" si="57"/>
        <v/>
      </c>
      <c r="K131" s="832"/>
      <c r="L131" s="836" t="str">
        <f t="shared" si="64"/>
        <v/>
      </c>
      <c r="M131" s="115"/>
      <c r="N131" s="25" t="str">
        <f t="shared" si="65"/>
        <v/>
      </c>
      <c r="O131" s="17"/>
      <c r="P131" s="25" t="str">
        <f t="shared" si="66"/>
        <v/>
      </c>
      <c r="Q131" s="17"/>
      <c r="R131" s="25" t="str">
        <f t="shared" si="67"/>
        <v/>
      </c>
      <c r="S131" s="26" t="str">
        <f t="shared" si="61"/>
        <v/>
      </c>
      <c r="T131" s="182" t="str">
        <f t="shared" si="68"/>
        <v/>
      </c>
    </row>
    <row r="132" spans="1:16384" x14ac:dyDescent="0.25">
      <c r="A132" s="30" t="str">
        <f t="shared" si="55"/>
        <v/>
      </c>
      <c r="B132" s="148"/>
      <c r="C132" s="69"/>
      <c r="D132" s="34"/>
      <c r="E132" s="46"/>
      <c r="F132" s="23"/>
      <c r="G132" s="37"/>
      <c r="H132" s="36"/>
      <c r="I132" s="16" t="str">
        <f t="shared" si="56"/>
        <v/>
      </c>
      <c r="J132" s="426" t="str">
        <f t="shared" si="57"/>
        <v/>
      </c>
      <c r="K132" s="832"/>
      <c r="L132" s="836" t="str">
        <f t="shared" si="64"/>
        <v/>
      </c>
      <c r="M132" s="115"/>
      <c r="N132" s="25" t="str">
        <f t="shared" si="65"/>
        <v/>
      </c>
      <c r="O132" s="17"/>
      <c r="P132" s="25" t="str">
        <f t="shared" si="66"/>
        <v/>
      </c>
      <c r="Q132" s="17"/>
      <c r="R132" s="25" t="str">
        <f t="shared" si="67"/>
        <v/>
      </c>
      <c r="S132" s="26" t="str">
        <f t="shared" si="61"/>
        <v/>
      </c>
      <c r="T132" s="182" t="str">
        <f t="shared" si="68"/>
        <v/>
      </c>
    </row>
    <row r="133" spans="1:16384" x14ac:dyDescent="0.25">
      <c r="A133" s="30" t="str">
        <f t="shared" si="55"/>
        <v/>
      </c>
      <c r="B133" s="148"/>
      <c r="C133" s="69"/>
      <c r="D133" s="34"/>
      <c r="E133" s="46"/>
      <c r="F133" s="23"/>
      <c r="G133" s="37"/>
      <c r="H133" s="36"/>
      <c r="I133" s="16" t="str">
        <f t="shared" si="56"/>
        <v/>
      </c>
      <c r="J133" s="426" t="str">
        <f t="shared" si="57"/>
        <v/>
      </c>
      <c r="K133" s="832"/>
      <c r="L133" s="836" t="str">
        <f t="shared" si="64"/>
        <v/>
      </c>
      <c r="M133" s="115"/>
      <c r="N133" s="25" t="str">
        <f t="shared" si="65"/>
        <v/>
      </c>
      <c r="O133" s="17"/>
      <c r="P133" s="25" t="str">
        <f t="shared" si="66"/>
        <v/>
      </c>
      <c r="Q133" s="17"/>
      <c r="R133" s="25" t="str">
        <f t="shared" si="67"/>
        <v/>
      </c>
      <c r="S133" s="26" t="str">
        <f t="shared" si="61"/>
        <v/>
      </c>
      <c r="T133" s="182" t="str">
        <f t="shared" si="68"/>
        <v/>
      </c>
    </row>
    <row r="134" spans="1:16384" x14ac:dyDescent="0.25">
      <c r="A134" s="30" t="str">
        <f t="shared" si="55"/>
        <v/>
      </c>
      <c r="B134" s="148"/>
      <c r="C134" s="69"/>
      <c r="D134" s="34"/>
      <c r="E134" s="46"/>
      <c r="F134" s="23"/>
      <c r="G134" s="37"/>
      <c r="H134" s="36"/>
      <c r="I134" s="16" t="str">
        <f t="shared" si="56"/>
        <v/>
      </c>
      <c r="J134" s="426" t="str">
        <f t="shared" si="57"/>
        <v/>
      </c>
      <c r="K134" s="832"/>
      <c r="L134" s="836" t="str">
        <f t="shared" si="64"/>
        <v/>
      </c>
      <c r="M134" s="115"/>
      <c r="N134" s="25" t="str">
        <f t="shared" si="65"/>
        <v/>
      </c>
      <c r="O134" s="17"/>
      <c r="P134" s="25" t="str">
        <f t="shared" si="66"/>
        <v/>
      </c>
      <c r="Q134" s="17"/>
      <c r="R134" s="25" t="str">
        <f t="shared" si="67"/>
        <v/>
      </c>
      <c r="S134" s="26" t="str">
        <f t="shared" si="61"/>
        <v/>
      </c>
      <c r="T134" s="182" t="str">
        <f t="shared" si="68"/>
        <v/>
      </c>
    </row>
    <row r="135" spans="1:16384" x14ac:dyDescent="0.25">
      <c r="A135" s="30" t="str">
        <f t="shared" si="55"/>
        <v/>
      </c>
      <c r="B135" s="148"/>
      <c r="C135" s="69"/>
      <c r="D135" s="34"/>
      <c r="E135" s="46"/>
      <c r="F135" s="23"/>
      <c r="G135" s="37"/>
      <c r="H135" s="36"/>
      <c r="I135" s="16" t="str">
        <f t="shared" si="56"/>
        <v/>
      </c>
      <c r="J135" s="426" t="str">
        <f t="shared" si="57"/>
        <v/>
      </c>
      <c r="K135" s="832"/>
      <c r="L135" s="836" t="str">
        <f t="shared" si="64"/>
        <v/>
      </c>
      <c r="M135" s="115"/>
      <c r="N135" s="25" t="str">
        <f t="shared" si="65"/>
        <v/>
      </c>
      <c r="O135" s="17"/>
      <c r="P135" s="25" t="str">
        <f t="shared" si="66"/>
        <v/>
      </c>
      <c r="Q135" s="17"/>
      <c r="R135" s="25" t="str">
        <f t="shared" si="67"/>
        <v/>
      </c>
      <c r="S135" s="26" t="str">
        <f t="shared" si="61"/>
        <v/>
      </c>
      <c r="T135" s="182" t="str">
        <f t="shared" si="68"/>
        <v/>
      </c>
    </row>
    <row r="136" spans="1:16384" x14ac:dyDescent="0.25">
      <c r="A136" s="30" t="str">
        <f t="shared" si="55"/>
        <v/>
      </c>
      <c r="B136" s="148"/>
      <c r="C136" s="69"/>
      <c r="D136" s="34"/>
      <c r="E136" s="46"/>
      <c r="F136" s="23"/>
      <c r="G136" s="37"/>
      <c r="H136" s="36"/>
      <c r="I136" s="16" t="str">
        <f t="shared" si="56"/>
        <v/>
      </c>
      <c r="J136" s="426" t="str">
        <f t="shared" si="57"/>
        <v/>
      </c>
      <c r="K136" s="832"/>
      <c r="L136" s="836" t="str">
        <f t="shared" si="64"/>
        <v/>
      </c>
      <c r="M136" s="115"/>
      <c r="N136" s="25" t="str">
        <f t="shared" si="65"/>
        <v/>
      </c>
      <c r="O136" s="17"/>
      <c r="P136" s="25" t="str">
        <f t="shared" si="66"/>
        <v/>
      </c>
      <c r="Q136" s="17"/>
      <c r="R136" s="25" t="str">
        <f t="shared" si="67"/>
        <v/>
      </c>
      <c r="S136" s="26" t="str">
        <f t="shared" si="61"/>
        <v/>
      </c>
      <c r="T136" s="182" t="str">
        <f t="shared" si="68"/>
        <v/>
      </c>
    </row>
    <row r="137" spans="1:16384" x14ac:dyDescent="0.25">
      <c r="A137" s="30" t="str">
        <f t="shared" si="55"/>
        <v/>
      </c>
      <c r="B137" s="148"/>
      <c r="C137" s="69"/>
      <c r="D137" s="34"/>
      <c r="E137" s="46"/>
      <c r="F137" s="23"/>
      <c r="G137" s="37"/>
      <c r="H137" s="36"/>
      <c r="I137" s="16" t="str">
        <f t="shared" si="56"/>
        <v/>
      </c>
      <c r="J137" s="426" t="str">
        <f t="shared" si="57"/>
        <v/>
      </c>
      <c r="K137" s="832"/>
      <c r="L137" s="836" t="str">
        <f t="shared" si="64"/>
        <v/>
      </c>
      <c r="M137" s="115"/>
      <c r="N137" s="25" t="str">
        <f t="shared" si="65"/>
        <v/>
      </c>
      <c r="O137" s="17"/>
      <c r="P137" s="25" t="str">
        <f t="shared" si="66"/>
        <v/>
      </c>
      <c r="Q137" s="17"/>
      <c r="R137" s="25" t="str">
        <f t="shared" si="67"/>
        <v/>
      </c>
      <c r="S137" s="26" t="str">
        <f t="shared" si="61"/>
        <v/>
      </c>
      <c r="T137" s="182" t="str">
        <f t="shared" si="68"/>
        <v/>
      </c>
    </row>
    <row r="138" spans="1:16384" x14ac:dyDescent="0.25">
      <c r="A138" s="30" t="str">
        <f t="shared" si="55"/>
        <v/>
      </c>
      <c r="B138" s="148"/>
      <c r="C138" s="69"/>
      <c r="D138" s="34"/>
      <c r="E138" s="46"/>
      <c r="F138" s="23"/>
      <c r="G138" s="37"/>
      <c r="H138" s="36"/>
      <c r="I138" s="16" t="str">
        <f t="shared" si="56"/>
        <v/>
      </c>
      <c r="J138" s="426" t="str">
        <f t="shared" si="57"/>
        <v/>
      </c>
      <c r="K138" s="832"/>
      <c r="L138" s="836" t="str">
        <f t="shared" si="64"/>
        <v/>
      </c>
      <c r="M138" s="115"/>
      <c r="N138" s="25" t="str">
        <f t="shared" si="65"/>
        <v/>
      </c>
      <c r="O138" s="17"/>
      <c r="P138" s="25" t="str">
        <f t="shared" si="66"/>
        <v/>
      </c>
      <c r="Q138" s="17"/>
      <c r="R138" s="25" t="str">
        <f t="shared" si="67"/>
        <v/>
      </c>
      <c r="S138" s="26" t="str">
        <f t="shared" si="61"/>
        <v/>
      </c>
      <c r="T138" s="182" t="str">
        <f t="shared" si="68"/>
        <v/>
      </c>
    </row>
    <row r="139" spans="1:16384" x14ac:dyDescent="0.25">
      <c r="A139" s="30" t="str">
        <f t="shared" si="55"/>
        <v/>
      </c>
      <c r="B139" s="148"/>
      <c r="C139" s="69"/>
      <c r="D139" s="34"/>
      <c r="E139" s="46"/>
      <c r="F139" s="23"/>
      <c r="G139" s="37"/>
      <c r="H139" s="36"/>
      <c r="I139" s="16" t="str">
        <f t="shared" si="56"/>
        <v/>
      </c>
      <c r="J139" s="426" t="str">
        <f t="shared" si="57"/>
        <v/>
      </c>
      <c r="K139" s="832"/>
      <c r="L139" s="836" t="str">
        <f t="shared" si="64"/>
        <v/>
      </c>
      <c r="M139" s="115"/>
      <c r="N139" s="25" t="str">
        <f t="shared" si="65"/>
        <v/>
      </c>
      <c r="O139" s="17"/>
      <c r="P139" s="25" t="str">
        <f t="shared" si="66"/>
        <v/>
      </c>
      <c r="Q139" s="17"/>
      <c r="R139" s="25" t="str">
        <f t="shared" si="67"/>
        <v/>
      </c>
      <c r="S139" s="26" t="str">
        <f t="shared" si="61"/>
        <v/>
      </c>
      <c r="T139" s="182" t="str">
        <f t="shared" si="68"/>
        <v/>
      </c>
    </row>
    <row r="140" spans="1:16384" ht="15.75" thickBot="1" x14ac:dyDescent="0.3">
      <c r="A140" s="30" t="str">
        <f t="shared" si="55"/>
        <v/>
      </c>
      <c r="B140" s="148"/>
      <c r="C140" s="69"/>
      <c r="D140" s="34"/>
      <c r="E140" s="46"/>
      <c r="F140" s="23"/>
      <c r="G140" s="37"/>
      <c r="H140" s="36"/>
      <c r="I140" s="173" t="str">
        <f t="shared" si="56"/>
        <v/>
      </c>
      <c r="J140" s="1107" t="str">
        <f t="shared" si="57"/>
        <v/>
      </c>
      <c r="K140" s="832"/>
      <c r="L140" s="836" t="str">
        <f t="shared" si="64"/>
        <v/>
      </c>
      <c r="M140" s="115"/>
      <c r="N140" s="25" t="str">
        <f t="shared" si="65"/>
        <v/>
      </c>
      <c r="O140" s="17"/>
      <c r="P140" s="25" t="str">
        <f t="shared" si="66"/>
        <v/>
      </c>
      <c r="Q140" s="17"/>
      <c r="R140" s="25" t="str">
        <f t="shared" si="67"/>
        <v/>
      </c>
      <c r="S140" s="26" t="str">
        <f t="shared" si="61"/>
        <v/>
      </c>
      <c r="T140" s="182" t="str">
        <f t="shared" si="68"/>
        <v/>
      </c>
    </row>
    <row r="141" spans="1:16384" ht="16.5" thickTop="1" thickBot="1" x14ac:dyDescent="0.3">
      <c r="A141" s="30"/>
      <c r="B141" s="194" t="s">
        <v>290</v>
      </c>
      <c r="C141" s="197"/>
      <c r="D141" s="195" t="s">
        <v>107</v>
      </c>
      <c r="E141" s="196"/>
      <c r="F141" s="197">
        <f>SUM(F116:F140)</f>
        <v>51100</v>
      </c>
      <c r="G141" s="197" t="s">
        <v>107</v>
      </c>
      <c r="H141" s="198" t="s">
        <v>107</v>
      </c>
      <c r="I141" s="197">
        <f>SUM(I116:I140)</f>
        <v>25560</v>
      </c>
      <c r="J141" s="198">
        <f>SUM(J116:J140)</f>
        <v>1894.3985848959696</v>
      </c>
      <c r="K141" s="199">
        <f>SUM(K116:K140)</f>
        <v>43200</v>
      </c>
      <c r="L141" s="42" t="s">
        <v>107</v>
      </c>
      <c r="M141" s="184">
        <f>IF($J141=0,0,(N141/$J141)*100)</f>
        <v>0</v>
      </c>
      <c r="N141" s="185">
        <f>IF($R$24&lt;&gt;"",SUM(N116:N140),0)</f>
        <v>0</v>
      </c>
      <c r="O141" s="186">
        <f>IF($J141=0,0,(P141/$J141)*100)</f>
        <v>0</v>
      </c>
      <c r="P141" s="185">
        <f>IF($R$24&lt;&gt;"",SUM(P116:P140),0)</f>
        <v>0</v>
      </c>
      <c r="Q141" s="186">
        <f>IF($J141=0,0,(R141/$J141)*100)</f>
        <v>0</v>
      </c>
      <c r="R141" s="185">
        <f>IF($R$24&lt;&gt;"",SUM(R116:R140),0)</f>
        <v>0</v>
      </c>
      <c r="S141" s="186">
        <f>IF($J141=0,0,(T141/$J141)*100)</f>
        <v>0</v>
      </c>
      <c r="T141" s="187">
        <f>IF($R$24&lt;&gt;"",SUM(T116:T140),0)</f>
        <v>0</v>
      </c>
    </row>
    <row r="142" spans="1:16384" ht="16.5" thickTop="1" thickBot="1" x14ac:dyDescent="0.3">
      <c r="A142" s="30"/>
      <c r="B142" s="31"/>
      <c r="C142" s="42"/>
      <c r="D142" s="43"/>
      <c r="E142" s="43"/>
      <c r="F142" s="41"/>
      <c r="G142" s="41"/>
      <c r="H142" s="41"/>
      <c r="I142" s="41"/>
      <c r="J142" s="41"/>
      <c r="K142" s="41"/>
      <c r="L142" s="31"/>
      <c r="M142" s="1182"/>
      <c r="N142" s="1182"/>
      <c r="O142" s="1182"/>
      <c r="P142" s="1182"/>
      <c r="Q142" s="1182"/>
      <c r="R142" s="1182"/>
      <c r="S142" s="1182"/>
      <c r="T142" s="118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c r="EKM142" s="2"/>
      <c r="EKN142" s="2"/>
      <c r="EKO142" s="2"/>
      <c r="EKP142" s="2"/>
      <c r="EKQ142" s="2"/>
      <c r="EKR142" s="2"/>
      <c r="EKS142" s="2"/>
      <c r="EKT142" s="2"/>
      <c r="EKU142" s="2"/>
      <c r="EKV142" s="2"/>
      <c r="EKW142" s="2"/>
      <c r="EKX142" s="2"/>
      <c r="EKY142" s="2"/>
      <c r="EKZ142" s="2"/>
      <c r="ELA142" s="2"/>
      <c r="ELB142" s="2"/>
      <c r="ELC142" s="2"/>
      <c r="ELD142" s="2"/>
      <c r="ELE142" s="2"/>
      <c r="ELF142" s="2"/>
      <c r="ELG142" s="2"/>
      <c r="ELH142" s="2"/>
      <c r="ELI142" s="2"/>
      <c r="ELJ142" s="2"/>
      <c r="ELK142" s="2"/>
      <c r="ELL142" s="2"/>
      <c r="ELM142" s="2"/>
      <c r="ELN142" s="2"/>
      <c r="ELO142" s="2"/>
      <c r="ELP142" s="2"/>
      <c r="ELQ142" s="2"/>
      <c r="ELR142" s="2"/>
      <c r="ELS142" s="2"/>
      <c r="ELT142" s="2"/>
      <c r="ELU142" s="2"/>
      <c r="ELV142" s="2"/>
      <c r="ELW142" s="2"/>
      <c r="ELX142" s="2"/>
      <c r="ELY142" s="2"/>
      <c r="ELZ142" s="2"/>
      <c r="EMA142" s="2"/>
      <c r="EMB142" s="2"/>
      <c r="EMC142" s="2"/>
      <c r="EMD142" s="2"/>
      <c r="EME142" s="2"/>
      <c r="EMF142" s="2"/>
      <c r="EMG142" s="2"/>
      <c r="EMH142" s="2"/>
      <c r="EMI142" s="2"/>
      <c r="EMJ142" s="2"/>
      <c r="EMK142" s="2"/>
      <c r="EML142" s="2"/>
      <c r="EMM142" s="2"/>
      <c r="EMN142" s="2"/>
      <c r="EMO142" s="2"/>
      <c r="EMP142" s="2"/>
      <c r="EMQ142" s="2"/>
      <c r="EMR142" s="2"/>
      <c r="EMS142" s="2"/>
      <c r="EMT142" s="2"/>
      <c r="EMU142" s="2"/>
      <c r="EMV142" s="2"/>
      <c r="EMW142" s="2"/>
      <c r="EMX142" s="2"/>
      <c r="EMY142" s="2"/>
      <c r="EMZ142" s="2"/>
      <c r="ENA142" s="2"/>
      <c r="ENB142" s="2"/>
      <c r="ENC142" s="2"/>
      <c r="END142" s="2"/>
      <c r="ENE142" s="2"/>
      <c r="ENF142" s="2"/>
      <c r="ENG142" s="2"/>
      <c r="ENH142" s="2"/>
      <c r="ENI142" s="2"/>
      <c r="ENJ142" s="2"/>
      <c r="ENK142" s="2"/>
      <c r="ENL142" s="2"/>
      <c r="ENM142" s="2"/>
      <c r="ENN142" s="2"/>
      <c r="ENO142" s="2"/>
      <c r="ENP142" s="2"/>
      <c r="ENQ142" s="2"/>
      <c r="ENR142" s="2"/>
      <c r="ENS142" s="2"/>
      <c r="ENT142" s="2"/>
      <c r="ENU142" s="2"/>
      <c r="ENV142" s="2"/>
      <c r="ENW142" s="2"/>
      <c r="ENX142" s="2"/>
      <c r="ENY142" s="2"/>
      <c r="ENZ142" s="2"/>
      <c r="EOA142" s="2"/>
      <c r="EOB142" s="2"/>
      <c r="EOC142" s="2"/>
      <c r="EOD142" s="2"/>
      <c r="EOE142" s="2"/>
      <c r="EOF142" s="2"/>
      <c r="EOG142" s="2"/>
      <c r="EOH142" s="2"/>
      <c r="EOI142" s="2"/>
      <c r="EOJ142" s="2"/>
      <c r="EOK142" s="2"/>
      <c r="EOL142" s="2"/>
      <c r="EOM142" s="2"/>
      <c r="EON142" s="2"/>
      <c r="EOO142" s="2"/>
      <c r="EOP142" s="2"/>
      <c r="EOQ142" s="2"/>
      <c r="EOR142" s="2"/>
      <c r="EOS142" s="2"/>
      <c r="EOT142" s="2"/>
      <c r="EOU142" s="2"/>
      <c r="EOV142" s="2"/>
      <c r="EOW142" s="2"/>
      <c r="EOX142" s="2"/>
      <c r="EOY142" s="2"/>
      <c r="EOZ142" s="2"/>
      <c r="EPA142" s="2"/>
      <c r="EPB142" s="2"/>
      <c r="EPC142" s="2"/>
      <c r="EPD142" s="2"/>
      <c r="EPE142" s="2"/>
      <c r="EPF142" s="2"/>
      <c r="EPG142" s="2"/>
      <c r="EPH142" s="2"/>
      <c r="EPI142" s="2"/>
      <c r="EPJ142" s="2"/>
      <c r="EPK142" s="2"/>
      <c r="EPL142" s="2"/>
      <c r="EPM142" s="2"/>
      <c r="EPN142" s="2"/>
      <c r="EPO142" s="2"/>
      <c r="EPP142" s="2"/>
      <c r="EPQ142" s="2"/>
      <c r="EPR142" s="2"/>
      <c r="EPS142" s="2"/>
      <c r="EPT142" s="2"/>
      <c r="EPU142" s="2"/>
      <c r="EPV142" s="2"/>
      <c r="EPW142" s="2"/>
      <c r="EPX142" s="2"/>
      <c r="EPY142" s="2"/>
      <c r="EPZ142" s="2"/>
      <c r="EQA142" s="2"/>
      <c r="EQB142" s="2"/>
      <c r="EQC142" s="2"/>
      <c r="EQD142" s="2"/>
      <c r="EQE142" s="2"/>
      <c r="EQF142" s="2"/>
      <c r="EQG142" s="2"/>
      <c r="EQH142" s="2"/>
      <c r="EQI142" s="2"/>
      <c r="EQJ142" s="2"/>
      <c r="EQK142" s="2"/>
      <c r="EQL142" s="2"/>
      <c r="EQM142" s="2"/>
      <c r="EQN142" s="2"/>
      <c r="EQO142" s="2"/>
      <c r="EQP142" s="2"/>
      <c r="EQQ142" s="2"/>
      <c r="EQR142" s="2"/>
      <c r="EQS142" s="2"/>
      <c r="EQT142" s="2"/>
      <c r="EQU142" s="2"/>
      <c r="EQV142" s="2"/>
      <c r="EQW142" s="2"/>
      <c r="EQX142" s="2"/>
      <c r="EQY142" s="2"/>
      <c r="EQZ142" s="2"/>
      <c r="ERA142" s="2"/>
      <c r="ERB142" s="2"/>
      <c r="ERC142" s="2"/>
      <c r="ERD142" s="2"/>
      <c r="ERE142" s="2"/>
      <c r="ERF142" s="2"/>
      <c r="ERG142" s="2"/>
      <c r="ERH142" s="2"/>
      <c r="ERI142" s="2"/>
      <c r="ERJ142" s="2"/>
      <c r="ERK142" s="2"/>
      <c r="ERL142" s="2"/>
      <c r="ERM142" s="2"/>
      <c r="ERN142" s="2"/>
      <c r="ERO142" s="2"/>
      <c r="ERP142" s="2"/>
      <c r="ERQ142" s="2"/>
      <c r="ERR142" s="2"/>
      <c r="ERS142" s="2"/>
      <c r="ERT142" s="2"/>
      <c r="ERU142" s="2"/>
      <c r="ERV142" s="2"/>
      <c r="ERW142" s="2"/>
      <c r="ERX142" s="2"/>
      <c r="ERY142" s="2"/>
      <c r="ERZ142" s="2"/>
      <c r="ESA142" s="2"/>
      <c r="ESB142" s="2"/>
      <c r="ESC142" s="2"/>
      <c r="ESD142" s="2"/>
      <c r="ESE142" s="2"/>
      <c r="ESF142" s="2"/>
      <c r="ESG142" s="2"/>
      <c r="ESH142" s="2"/>
      <c r="ESI142" s="2"/>
      <c r="ESJ142" s="2"/>
      <c r="ESK142" s="2"/>
      <c r="ESL142" s="2"/>
      <c r="ESM142" s="2"/>
      <c r="ESN142" s="2"/>
      <c r="ESO142" s="2"/>
      <c r="ESP142" s="2"/>
      <c r="ESQ142" s="2"/>
      <c r="ESR142" s="2"/>
      <c r="ESS142" s="2"/>
      <c r="EST142" s="2"/>
      <c r="ESU142" s="2"/>
      <c r="ESV142" s="2"/>
      <c r="ESW142" s="2"/>
      <c r="ESX142" s="2"/>
      <c r="ESY142" s="2"/>
      <c r="ESZ142" s="2"/>
      <c r="ETA142" s="2"/>
      <c r="ETB142" s="2"/>
      <c r="ETC142" s="2"/>
      <c r="ETD142" s="2"/>
      <c r="ETE142" s="2"/>
      <c r="ETF142" s="2"/>
      <c r="ETG142" s="2"/>
      <c r="ETH142" s="2"/>
      <c r="ETI142" s="2"/>
      <c r="ETJ142" s="2"/>
      <c r="ETK142" s="2"/>
      <c r="ETL142" s="2"/>
      <c r="ETM142" s="2"/>
      <c r="ETN142" s="2"/>
      <c r="ETO142" s="2"/>
      <c r="ETP142" s="2"/>
      <c r="ETQ142" s="2"/>
      <c r="ETR142" s="2"/>
      <c r="ETS142" s="2"/>
      <c r="ETT142" s="2"/>
      <c r="ETU142" s="2"/>
      <c r="ETV142" s="2"/>
      <c r="ETW142" s="2"/>
      <c r="ETX142" s="2"/>
      <c r="ETY142" s="2"/>
      <c r="ETZ142" s="2"/>
      <c r="EUA142" s="2"/>
      <c r="EUB142" s="2"/>
      <c r="EUC142" s="2"/>
      <c r="EUD142" s="2"/>
      <c r="EUE142" s="2"/>
      <c r="EUF142" s="2"/>
      <c r="EUG142" s="2"/>
      <c r="EUH142" s="2"/>
      <c r="EUI142" s="2"/>
      <c r="EUJ142" s="2"/>
      <c r="EUK142" s="2"/>
      <c r="EUL142" s="2"/>
      <c r="EUM142" s="2"/>
      <c r="EUN142" s="2"/>
      <c r="EUO142" s="2"/>
      <c r="EUP142" s="2"/>
      <c r="EUQ142" s="2"/>
      <c r="EUR142" s="2"/>
      <c r="EUS142" s="2"/>
      <c r="EUT142" s="2"/>
      <c r="EUU142" s="2"/>
      <c r="EUV142" s="2"/>
      <c r="EUW142" s="2"/>
      <c r="EUX142" s="2"/>
      <c r="EUY142" s="2"/>
      <c r="EUZ142" s="2"/>
      <c r="EVA142" s="2"/>
      <c r="EVB142" s="2"/>
      <c r="EVC142" s="2"/>
      <c r="EVD142" s="2"/>
      <c r="EVE142" s="2"/>
      <c r="EVF142" s="2"/>
      <c r="EVG142" s="2"/>
      <c r="EVH142" s="2"/>
      <c r="EVI142" s="2"/>
      <c r="EVJ142" s="2"/>
      <c r="EVK142" s="2"/>
      <c r="EVL142" s="2"/>
      <c r="EVM142" s="2"/>
      <c r="EVN142" s="2"/>
      <c r="EVO142" s="2"/>
      <c r="EVP142" s="2"/>
      <c r="EVQ142" s="2"/>
      <c r="EVR142" s="2"/>
      <c r="EVS142" s="2"/>
      <c r="EVT142" s="2"/>
      <c r="EVU142" s="2"/>
      <c r="EVV142" s="2"/>
      <c r="EVW142" s="2"/>
      <c r="EVX142" s="2"/>
      <c r="EVY142" s="2"/>
      <c r="EVZ142" s="2"/>
      <c r="EWA142" s="2"/>
      <c r="EWB142" s="2"/>
      <c r="EWC142" s="2"/>
      <c r="EWD142" s="2"/>
      <c r="EWE142" s="2"/>
      <c r="EWF142" s="2"/>
      <c r="EWG142" s="2"/>
      <c r="EWH142" s="2"/>
      <c r="EWI142" s="2"/>
      <c r="EWJ142" s="2"/>
      <c r="EWK142" s="2"/>
      <c r="EWL142" s="2"/>
      <c r="EWM142" s="2"/>
      <c r="EWN142" s="2"/>
      <c r="EWO142" s="2"/>
      <c r="EWP142" s="2"/>
      <c r="EWQ142" s="2"/>
      <c r="EWR142" s="2"/>
      <c r="EWS142" s="2"/>
      <c r="EWT142" s="2"/>
      <c r="EWU142" s="2"/>
      <c r="EWV142" s="2"/>
      <c r="EWW142" s="2"/>
      <c r="EWX142" s="2"/>
      <c r="EWY142" s="2"/>
      <c r="EWZ142" s="2"/>
      <c r="EXA142" s="2"/>
      <c r="EXB142" s="2"/>
      <c r="EXC142" s="2"/>
      <c r="EXD142" s="2"/>
      <c r="EXE142" s="2"/>
      <c r="EXF142" s="2"/>
      <c r="EXG142" s="2"/>
      <c r="EXH142" s="2"/>
      <c r="EXI142" s="2"/>
      <c r="EXJ142" s="2"/>
      <c r="EXK142" s="2"/>
      <c r="EXL142" s="2"/>
      <c r="EXM142" s="2"/>
      <c r="EXN142" s="2"/>
      <c r="EXO142" s="2"/>
      <c r="EXP142" s="2"/>
      <c r="EXQ142" s="2"/>
      <c r="EXR142" s="2"/>
      <c r="EXS142" s="2"/>
      <c r="EXT142" s="2"/>
      <c r="EXU142" s="2"/>
      <c r="EXV142" s="2"/>
      <c r="EXW142" s="2"/>
      <c r="EXX142" s="2"/>
      <c r="EXY142" s="2"/>
      <c r="EXZ142" s="2"/>
      <c r="EYA142" s="2"/>
      <c r="EYB142" s="2"/>
      <c r="EYC142" s="2"/>
      <c r="EYD142" s="2"/>
      <c r="EYE142" s="2"/>
      <c r="EYF142" s="2"/>
      <c r="EYG142" s="2"/>
      <c r="EYH142" s="2"/>
      <c r="EYI142" s="2"/>
      <c r="EYJ142" s="2"/>
      <c r="EYK142" s="2"/>
      <c r="EYL142" s="2"/>
      <c r="EYM142" s="2"/>
      <c r="EYN142" s="2"/>
      <c r="EYO142" s="2"/>
      <c r="EYP142" s="2"/>
      <c r="EYQ142" s="2"/>
      <c r="EYR142" s="2"/>
      <c r="EYS142" s="2"/>
      <c r="EYT142" s="2"/>
      <c r="EYU142" s="2"/>
      <c r="EYV142" s="2"/>
      <c r="EYW142" s="2"/>
      <c r="EYX142" s="2"/>
      <c r="EYY142" s="2"/>
      <c r="EYZ142" s="2"/>
      <c r="EZA142" s="2"/>
      <c r="EZB142" s="2"/>
      <c r="EZC142" s="2"/>
      <c r="EZD142" s="2"/>
      <c r="EZE142" s="2"/>
      <c r="EZF142" s="2"/>
      <c r="EZG142" s="2"/>
      <c r="EZH142" s="2"/>
      <c r="EZI142" s="2"/>
      <c r="EZJ142" s="2"/>
      <c r="EZK142" s="2"/>
      <c r="EZL142" s="2"/>
      <c r="EZM142" s="2"/>
      <c r="EZN142" s="2"/>
      <c r="EZO142" s="2"/>
      <c r="EZP142" s="2"/>
      <c r="EZQ142" s="2"/>
      <c r="EZR142" s="2"/>
      <c r="EZS142" s="2"/>
      <c r="EZT142" s="2"/>
      <c r="EZU142" s="2"/>
      <c r="EZV142" s="2"/>
      <c r="EZW142" s="2"/>
      <c r="EZX142" s="2"/>
      <c r="EZY142" s="2"/>
      <c r="EZZ142" s="2"/>
      <c r="FAA142" s="2"/>
      <c r="FAB142" s="2"/>
      <c r="FAC142" s="2"/>
      <c r="FAD142" s="2"/>
      <c r="FAE142" s="2"/>
      <c r="FAF142" s="2"/>
      <c r="FAG142" s="2"/>
      <c r="FAH142" s="2"/>
      <c r="FAI142" s="2"/>
      <c r="FAJ142" s="2"/>
      <c r="FAK142" s="2"/>
      <c r="FAL142" s="2"/>
      <c r="FAM142" s="2"/>
      <c r="FAN142" s="2"/>
      <c r="FAO142" s="2"/>
      <c r="FAP142" s="2"/>
      <c r="FAQ142" s="2"/>
      <c r="FAR142" s="2"/>
      <c r="FAS142" s="2"/>
      <c r="FAT142" s="2"/>
      <c r="FAU142" s="2"/>
      <c r="FAV142" s="2"/>
      <c r="FAW142" s="2"/>
      <c r="FAX142" s="2"/>
      <c r="FAY142" s="2"/>
      <c r="FAZ142" s="2"/>
      <c r="FBA142" s="2"/>
      <c r="FBB142" s="2"/>
      <c r="FBC142" s="2"/>
      <c r="FBD142" s="2"/>
      <c r="FBE142" s="2"/>
      <c r="FBF142" s="2"/>
      <c r="FBG142" s="2"/>
      <c r="FBH142" s="2"/>
      <c r="FBI142" s="2"/>
      <c r="FBJ142" s="2"/>
      <c r="FBK142" s="2"/>
      <c r="FBL142" s="2"/>
      <c r="FBM142" s="2"/>
      <c r="FBN142" s="2"/>
      <c r="FBO142" s="2"/>
      <c r="FBP142" s="2"/>
      <c r="FBQ142" s="2"/>
      <c r="FBR142" s="2"/>
      <c r="FBS142" s="2"/>
      <c r="FBT142" s="2"/>
      <c r="FBU142" s="2"/>
      <c r="FBV142" s="2"/>
      <c r="FBW142" s="2"/>
      <c r="FBX142" s="2"/>
      <c r="FBY142" s="2"/>
      <c r="FBZ142" s="2"/>
      <c r="FCA142" s="2"/>
      <c r="FCB142" s="2"/>
      <c r="FCC142" s="2"/>
      <c r="FCD142" s="2"/>
      <c r="FCE142" s="2"/>
      <c r="FCF142" s="2"/>
      <c r="FCG142" s="2"/>
      <c r="FCH142" s="2"/>
      <c r="FCI142" s="2"/>
      <c r="FCJ142" s="2"/>
      <c r="FCK142" s="2"/>
      <c r="FCL142" s="2"/>
      <c r="FCM142" s="2"/>
      <c r="FCN142" s="2"/>
      <c r="FCO142" s="2"/>
      <c r="FCP142" s="2"/>
      <c r="FCQ142" s="2"/>
      <c r="FCR142" s="2"/>
      <c r="FCS142" s="2"/>
      <c r="FCT142" s="2"/>
      <c r="FCU142" s="2"/>
      <c r="FCV142" s="2"/>
      <c r="FCW142" s="2"/>
      <c r="FCX142" s="2"/>
      <c r="FCY142" s="2"/>
      <c r="FCZ142" s="2"/>
      <c r="FDA142" s="2"/>
      <c r="FDB142" s="2"/>
      <c r="FDC142" s="2"/>
      <c r="FDD142" s="2"/>
      <c r="FDE142" s="2"/>
      <c r="FDF142" s="2"/>
      <c r="FDG142" s="2"/>
      <c r="FDH142" s="2"/>
      <c r="FDI142" s="2"/>
      <c r="FDJ142" s="2"/>
      <c r="FDK142" s="2"/>
      <c r="FDL142" s="2"/>
      <c r="FDM142" s="2"/>
      <c r="FDN142" s="2"/>
      <c r="FDO142" s="2"/>
      <c r="FDP142" s="2"/>
      <c r="FDQ142" s="2"/>
      <c r="FDR142" s="2"/>
      <c r="FDS142" s="2"/>
      <c r="FDT142" s="2"/>
      <c r="FDU142" s="2"/>
      <c r="FDV142" s="2"/>
      <c r="FDW142" s="2"/>
      <c r="FDX142" s="2"/>
      <c r="FDY142" s="2"/>
      <c r="FDZ142" s="2"/>
      <c r="FEA142" s="2"/>
      <c r="FEB142" s="2"/>
      <c r="FEC142" s="2"/>
      <c r="FED142" s="2"/>
      <c r="FEE142" s="2"/>
      <c r="FEF142" s="2"/>
      <c r="FEG142" s="2"/>
      <c r="FEH142" s="2"/>
      <c r="FEI142" s="2"/>
      <c r="FEJ142" s="2"/>
      <c r="FEK142" s="2"/>
      <c r="FEL142" s="2"/>
      <c r="FEM142" s="2"/>
      <c r="FEN142" s="2"/>
      <c r="FEO142" s="2"/>
      <c r="FEP142" s="2"/>
      <c r="FEQ142" s="2"/>
      <c r="FER142" s="2"/>
      <c r="FES142" s="2"/>
      <c r="FET142" s="2"/>
      <c r="FEU142" s="2"/>
      <c r="FEV142" s="2"/>
      <c r="FEW142" s="2"/>
      <c r="FEX142" s="2"/>
      <c r="FEY142" s="2"/>
      <c r="FEZ142" s="2"/>
      <c r="FFA142" s="2"/>
      <c r="FFB142" s="2"/>
      <c r="FFC142" s="2"/>
      <c r="FFD142" s="2"/>
      <c r="FFE142" s="2"/>
      <c r="FFF142" s="2"/>
      <c r="FFG142" s="2"/>
      <c r="FFH142" s="2"/>
      <c r="FFI142" s="2"/>
      <c r="FFJ142" s="2"/>
      <c r="FFK142" s="2"/>
      <c r="FFL142" s="2"/>
      <c r="FFM142" s="2"/>
      <c r="FFN142" s="2"/>
      <c r="FFO142" s="2"/>
      <c r="FFP142" s="2"/>
      <c r="FFQ142" s="2"/>
      <c r="FFR142" s="2"/>
      <c r="FFS142" s="2"/>
      <c r="FFT142" s="2"/>
      <c r="FFU142" s="2"/>
      <c r="FFV142" s="2"/>
      <c r="FFW142" s="2"/>
      <c r="FFX142" s="2"/>
      <c r="FFY142" s="2"/>
      <c r="FFZ142" s="2"/>
      <c r="FGA142" s="2"/>
      <c r="FGB142" s="2"/>
      <c r="FGC142" s="2"/>
      <c r="FGD142" s="2"/>
      <c r="FGE142" s="2"/>
      <c r="FGF142" s="2"/>
      <c r="FGG142" s="2"/>
      <c r="FGH142" s="2"/>
      <c r="FGI142" s="2"/>
      <c r="FGJ142" s="2"/>
      <c r="FGK142" s="2"/>
      <c r="FGL142" s="2"/>
      <c r="FGM142" s="2"/>
      <c r="FGN142" s="2"/>
      <c r="FGO142" s="2"/>
      <c r="FGP142" s="2"/>
      <c r="FGQ142" s="2"/>
      <c r="FGR142" s="2"/>
      <c r="FGS142" s="2"/>
      <c r="FGT142" s="2"/>
      <c r="FGU142" s="2"/>
      <c r="FGV142" s="2"/>
      <c r="FGW142" s="2"/>
      <c r="FGX142" s="2"/>
      <c r="FGY142" s="2"/>
      <c r="FGZ142" s="2"/>
      <c r="FHA142" s="2"/>
      <c r="FHB142" s="2"/>
      <c r="FHC142" s="2"/>
      <c r="FHD142" s="2"/>
      <c r="FHE142" s="2"/>
      <c r="FHF142" s="2"/>
      <c r="FHG142" s="2"/>
      <c r="FHH142" s="2"/>
      <c r="FHI142" s="2"/>
      <c r="FHJ142" s="2"/>
      <c r="FHK142" s="2"/>
      <c r="FHL142" s="2"/>
      <c r="FHM142" s="2"/>
      <c r="FHN142" s="2"/>
      <c r="FHO142" s="2"/>
      <c r="FHP142" s="2"/>
      <c r="FHQ142" s="2"/>
      <c r="FHR142" s="2"/>
      <c r="FHS142" s="2"/>
      <c r="FHT142" s="2"/>
      <c r="FHU142" s="2"/>
      <c r="FHV142" s="2"/>
      <c r="FHW142" s="2"/>
      <c r="FHX142" s="2"/>
      <c r="FHY142" s="2"/>
      <c r="FHZ142" s="2"/>
      <c r="FIA142" s="2"/>
      <c r="FIB142" s="2"/>
      <c r="FIC142" s="2"/>
      <c r="FID142" s="2"/>
      <c r="FIE142" s="2"/>
      <c r="FIF142" s="2"/>
      <c r="FIG142" s="2"/>
      <c r="FIH142" s="2"/>
      <c r="FII142" s="2"/>
      <c r="FIJ142" s="2"/>
      <c r="FIK142" s="2"/>
      <c r="FIL142" s="2"/>
      <c r="FIM142" s="2"/>
      <c r="FIN142" s="2"/>
      <c r="FIO142" s="2"/>
      <c r="FIP142" s="2"/>
      <c r="FIQ142" s="2"/>
      <c r="FIR142" s="2"/>
      <c r="FIS142" s="2"/>
      <c r="FIT142" s="2"/>
      <c r="FIU142" s="2"/>
      <c r="FIV142" s="2"/>
      <c r="FIW142" s="2"/>
      <c r="FIX142" s="2"/>
      <c r="FIY142" s="2"/>
      <c r="FIZ142" s="2"/>
      <c r="FJA142" s="2"/>
      <c r="FJB142" s="2"/>
      <c r="FJC142" s="2"/>
      <c r="FJD142" s="2"/>
      <c r="FJE142" s="2"/>
      <c r="FJF142" s="2"/>
      <c r="FJG142" s="2"/>
      <c r="FJH142" s="2"/>
      <c r="FJI142" s="2"/>
      <c r="FJJ142" s="2"/>
      <c r="FJK142" s="2"/>
      <c r="FJL142" s="2"/>
      <c r="FJM142" s="2"/>
      <c r="FJN142" s="2"/>
      <c r="FJO142" s="2"/>
      <c r="FJP142" s="2"/>
      <c r="FJQ142" s="2"/>
      <c r="FJR142" s="2"/>
      <c r="FJS142" s="2"/>
      <c r="FJT142" s="2"/>
      <c r="FJU142" s="2"/>
      <c r="FJV142" s="2"/>
      <c r="FJW142" s="2"/>
      <c r="FJX142" s="2"/>
      <c r="FJY142" s="2"/>
      <c r="FJZ142" s="2"/>
      <c r="FKA142" s="2"/>
      <c r="FKB142" s="2"/>
      <c r="FKC142" s="2"/>
      <c r="FKD142" s="2"/>
      <c r="FKE142" s="2"/>
      <c r="FKF142" s="2"/>
      <c r="FKG142" s="2"/>
      <c r="FKH142" s="2"/>
      <c r="FKI142" s="2"/>
      <c r="FKJ142" s="2"/>
      <c r="FKK142" s="2"/>
      <c r="FKL142" s="2"/>
      <c r="FKM142" s="2"/>
      <c r="FKN142" s="2"/>
      <c r="FKO142" s="2"/>
      <c r="FKP142" s="2"/>
      <c r="FKQ142" s="2"/>
      <c r="FKR142" s="2"/>
      <c r="FKS142" s="2"/>
      <c r="FKT142" s="2"/>
      <c r="FKU142" s="2"/>
      <c r="FKV142" s="2"/>
      <c r="FKW142" s="2"/>
      <c r="FKX142" s="2"/>
      <c r="FKY142" s="2"/>
      <c r="FKZ142" s="2"/>
      <c r="FLA142" s="2"/>
      <c r="FLB142" s="2"/>
      <c r="FLC142" s="2"/>
      <c r="FLD142" s="2"/>
      <c r="FLE142" s="2"/>
      <c r="FLF142" s="2"/>
      <c r="FLG142" s="2"/>
      <c r="FLH142" s="2"/>
      <c r="FLI142" s="2"/>
      <c r="FLJ142" s="2"/>
      <c r="FLK142" s="2"/>
      <c r="FLL142" s="2"/>
      <c r="FLM142" s="2"/>
      <c r="FLN142" s="2"/>
      <c r="FLO142" s="2"/>
      <c r="FLP142" s="2"/>
      <c r="FLQ142" s="2"/>
      <c r="FLR142" s="2"/>
      <c r="FLS142" s="2"/>
      <c r="FLT142" s="2"/>
      <c r="FLU142" s="2"/>
      <c r="FLV142" s="2"/>
      <c r="FLW142" s="2"/>
      <c r="FLX142" s="2"/>
      <c r="FLY142" s="2"/>
      <c r="FLZ142" s="2"/>
      <c r="FMA142" s="2"/>
      <c r="FMB142" s="2"/>
      <c r="FMC142" s="2"/>
      <c r="FMD142" s="2"/>
      <c r="FME142" s="2"/>
      <c r="FMF142" s="2"/>
      <c r="FMG142" s="2"/>
      <c r="FMH142" s="2"/>
      <c r="FMI142" s="2"/>
      <c r="FMJ142" s="2"/>
      <c r="FMK142" s="2"/>
      <c r="FML142" s="2"/>
      <c r="FMM142" s="2"/>
      <c r="FMN142" s="2"/>
      <c r="FMO142" s="2"/>
      <c r="FMP142" s="2"/>
      <c r="FMQ142" s="2"/>
      <c r="FMR142" s="2"/>
      <c r="FMS142" s="2"/>
      <c r="FMT142" s="2"/>
      <c r="FMU142" s="2"/>
      <c r="FMV142" s="2"/>
      <c r="FMW142" s="2"/>
      <c r="FMX142" s="2"/>
      <c r="FMY142" s="2"/>
      <c r="FMZ142" s="2"/>
      <c r="FNA142" s="2"/>
      <c r="FNB142" s="2"/>
      <c r="FNC142" s="2"/>
      <c r="FND142" s="2"/>
      <c r="FNE142" s="2"/>
      <c r="FNF142" s="2"/>
      <c r="FNG142" s="2"/>
      <c r="FNH142" s="2"/>
      <c r="FNI142" s="2"/>
      <c r="FNJ142" s="2"/>
      <c r="FNK142" s="2"/>
      <c r="FNL142" s="2"/>
      <c r="FNM142" s="2"/>
      <c r="FNN142" s="2"/>
      <c r="FNO142" s="2"/>
      <c r="FNP142" s="2"/>
      <c r="FNQ142" s="2"/>
      <c r="FNR142" s="2"/>
      <c r="FNS142" s="2"/>
      <c r="FNT142" s="2"/>
      <c r="FNU142" s="2"/>
      <c r="FNV142" s="2"/>
      <c r="FNW142" s="2"/>
      <c r="FNX142" s="2"/>
      <c r="FNY142" s="2"/>
      <c r="FNZ142" s="2"/>
      <c r="FOA142" s="2"/>
      <c r="FOB142" s="2"/>
      <c r="FOC142" s="2"/>
      <c r="FOD142" s="2"/>
      <c r="FOE142" s="2"/>
      <c r="FOF142" s="2"/>
      <c r="FOG142" s="2"/>
      <c r="FOH142" s="2"/>
      <c r="FOI142" s="2"/>
      <c r="FOJ142" s="2"/>
      <c r="FOK142" s="2"/>
      <c r="FOL142" s="2"/>
      <c r="FOM142" s="2"/>
      <c r="FON142" s="2"/>
      <c r="FOO142" s="2"/>
      <c r="FOP142" s="2"/>
      <c r="FOQ142" s="2"/>
      <c r="FOR142" s="2"/>
      <c r="FOS142" s="2"/>
      <c r="FOT142" s="2"/>
      <c r="FOU142" s="2"/>
      <c r="FOV142" s="2"/>
      <c r="FOW142" s="2"/>
      <c r="FOX142" s="2"/>
      <c r="FOY142" s="2"/>
      <c r="FOZ142" s="2"/>
      <c r="FPA142" s="2"/>
      <c r="FPB142" s="2"/>
      <c r="FPC142" s="2"/>
      <c r="FPD142" s="2"/>
      <c r="FPE142" s="2"/>
      <c r="FPF142" s="2"/>
      <c r="FPG142" s="2"/>
      <c r="FPH142" s="2"/>
      <c r="FPI142" s="2"/>
      <c r="FPJ142" s="2"/>
      <c r="FPK142" s="2"/>
      <c r="FPL142" s="2"/>
      <c r="FPM142" s="2"/>
      <c r="FPN142" s="2"/>
      <c r="FPO142" s="2"/>
      <c r="FPP142" s="2"/>
      <c r="FPQ142" s="2"/>
      <c r="FPR142" s="2"/>
      <c r="FPS142" s="2"/>
      <c r="FPT142" s="2"/>
      <c r="FPU142" s="2"/>
      <c r="FPV142" s="2"/>
      <c r="FPW142" s="2"/>
      <c r="FPX142" s="2"/>
      <c r="FPY142" s="2"/>
      <c r="FPZ142" s="2"/>
      <c r="FQA142" s="2"/>
      <c r="FQB142" s="2"/>
      <c r="FQC142" s="2"/>
      <c r="FQD142" s="2"/>
      <c r="FQE142" s="2"/>
      <c r="FQF142" s="2"/>
      <c r="FQG142" s="2"/>
      <c r="FQH142" s="2"/>
      <c r="FQI142" s="2"/>
      <c r="FQJ142" s="2"/>
      <c r="FQK142" s="2"/>
      <c r="FQL142" s="2"/>
      <c r="FQM142" s="2"/>
      <c r="FQN142" s="2"/>
      <c r="FQO142" s="2"/>
      <c r="FQP142" s="2"/>
      <c r="FQQ142" s="2"/>
      <c r="FQR142" s="2"/>
      <c r="FQS142" s="2"/>
      <c r="FQT142" s="2"/>
      <c r="FQU142" s="2"/>
      <c r="FQV142" s="2"/>
      <c r="FQW142" s="2"/>
      <c r="FQX142" s="2"/>
      <c r="FQY142" s="2"/>
      <c r="FQZ142" s="2"/>
      <c r="FRA142" s="2"/>
      <c r="FRB142" s="2"/>
      <c r="FRC142" s="2"/>
      <c r="FRD142" s="2"/>
      <c r="FRE142" s="2"/>
      <c r="FRF142" s="2"/>
      <c r="FRG142" s="2"/>
      <c r="FRH142" s="2"/>
      <c r="FRI142" s="2"/>
      <c r="FRJ142" s="2"/>
      <c r="FRK142" s="2"/>
      <c r="FRL142" s="2"/>
      <c r="FRM142" s="2"/>
      <c r="FRN142" s="2"/>
      <c r="FRO142" s="2"/>
      <c r="FRP142" s="2"/>
      <c r="FRQ142" s="2"/>
      <c r="FRR142" s="2"/>
      <c r="FRS142" s="2"/>
      <c r="FRT142" s="2"/>
      <c r="FRU142" s="2"/>
      <c r="FRV142" s="2"/>
      <c r="FRW142" s="2"/>
      <c r="FRX142" s="2"/>
      <c r="FRY142" s="2"/>
      <c r="FRZ142" s="2"/>
      <c r="FSA142" s="2"/>
      <c r="FSB142" s="2"/>
      <c r="FSC142" s="2"/>
      <c r="FSD142" s="2"/>
      <c r="FSE142" s="2"/>
      <c r="FSF142" s="2"/>
      <c r="FSG142" s="2"/>
      <c r="FSH142" s="2"/>
      <c r="FSI142" s="2"/>
      <c r="FSJ142" s="2"/>
      <c r="FSK142" s="2"/>
      <c r="FSL142" s="2"/>
      <c r="FSM142" s="2"/>
      <c r="FSN142" s="2"/>
      <c r="FSO142" s="2"/>
      <c r="FSP142" s="2"/>
      <c r="FSQ142" s="2"/>
      <c r="FSR142" s="2"/>
      <c r="FSS142" s="2"/>
      <c r="FST142" s="2"/>
      <c r="FSU142" s="2"/>
      <c r="FSV142" s="2"/>
      <c r="FSW142" s="2"/>
      <c r="FSX142" s="2"/>
      <c r="FSY142" s="2"/>
      <c r="FSZ142" s="2"/>
      <c r="FTA142" s="2"/>
      <c r="FTB142" s="2"/>
      <c r="FTC142" s="2"/>
      <c r="FTD142" s="2"/>
      <c r="FTE142" s="2"/>
      <c r="FTF142" s="2"/>
      <c r="FTG142" s="2"/>
      <c r="FTH142" s="2"/>
      <c r="FTI142" s="2"/>
      <c r="FTJ142" s="2"/>
      <c r="FTK142" s="2"/>
      <c r="FTL142" s="2"/>
      <c r="FTM142" s="2"/>
      <c r="FTN142" s="2"/>
      <c r="FTO142" s="2"/>
      <c r="FTP142" s="2"/>
      <c r="FTQ142" s="2"/>
      <c r="FTR142" s="2"/>
      <c r="FTS142" s="2"/>
      <c r="FTT142" s="2"/>
      <c r="FTU142" s="2"/>
      <c r="FTV142" s="2"/>
      <c r="FTW142" s="2"/>
      <c r="FTX142" s="2"/>
      <c r="FTY142" s="2"/>
      <c r="FTZ142" s="2"/>
      <c r="FUA142" s="2"/>
      <c r="FUB142" s="2"/>
      <c r="FUC142" s="2"/>
      <c r="FUD142" s="2"/>
      <c r="FUE142" s="2"/>
      <c r="FUF142" s="2"/>
      <c r="FUG142" s="2"/>
      <c r="FUH142" s="2"/>
      <c r="FUI142" s="2"/>
      <c r="FUJ142" s="2"/>
      <c r="FUK142" s="2"/>
      <c r="FUL142" s="2"/>
      <c r="FUM142" s="2"/>
      <c r="FUN142" s="2"/>
      <c r="FUO142" s="2"/>
      <c r="FUP142" s="2"/>
      <c r="FUQ142" s="2"/>
      <c r="FUR142" s="2"/>
      <c r="FUS142" s="2"/>
      <c r="FUT142" s="2"/>
      <c r="FUU142" s="2"/>
      <c r="FUV142" s="2"/>
      <c r="FUW142" s="2"/>
      <c r="FUX142" s="2"/>
      <c r="FUY142" s="2"/>
      <c r="FUZ142" s="2"/>
      <c r="FVA142" s="2"/>
      <c r="FVB142" s="2"/>
      <c r="FVC142" s="2"/>
      <c r="FVD142" s="2"/>
      <c r="FVE142" s="2"/>
      <c r="FVF142" s="2"/>
      <c r="FVG142" s="2"/>
      <c r="FVH142" s="2"/>
      <c r="FVI142" s="2"/>
      <c r="FVJ142" s="2"/>
      <c r="FVK142" s="2"/>
      <c r="FVL142" s="2"/>
      <c r="FVM142" s="2"/>
      <c r="FVN142" s="2"/>
      <c r="FVO142" s="2"/>
      <c r="FVP142" s="2"/>
      <c r="FVQ142" s="2"/>
      <c r="FVR142" s="2"/>
      <c r="FVS142" s="2"/>
      <c r="FVT142" s="2"/>
      <c r="FVU142" s="2"/>
      <c r="FVV142" s="2"/>
      <c r="FVW142" s="2"/>
      <c r="FVX142" s="2"/>
      <c r="FVY142" s="2"/>
      <c r="FVZ142" s="2"/>
      <c r="FWA142" s="2"/>
      <c r="FWB142" s="2"/>
      <c r="FWC142" s="2"/>
      <c r="FWD142" s="2"/>
      <c r="FWE142" s="2"/>
      <c r="FWF142" s="2"/>
      <c r="FWG142" s="2"/>
      <c r="FWH142" s="2"/>
      <c r="FWI142" s="2"/>
      <c r="FWJ142" s="2"/>
      <c r="FWK142" s="2"/>
      <c r="FWL142" s="2"/>
      <c r="FWM142" s="2"/>
      <c r="FWN142" s="2"/>
      <c r="FWO142" s="2"/>
      <c r="FWP142" s="2"/>
      <c r="FWQ142" s="2"/>
      <c r="FWR142" s="2"/>
      <c r="FWS142" s="2"/>
      <c r="FWT142" s="2"/>
      <c r="FWU142" s="2"/>
      <c r="FWV142" s="2"/>
      <c r="FWW142" s="2"/>
      <c r="FWX142" s="2"/>
      <c r="FWY142" s="2"/>
      <c r="FWZ142" s="2"/>
      <c r="FXA142" s="2"/>
      <c r="FXB142" s="2"/>
      <c r="FXC142" s="2"/>
      <c r="FXD142" s="2"/>
      <c r="FXE142" s="2"/>
      <c r="FXF142" s="2"/>
      <c r="FXG142" s="2"/>
      <c r="FXH142" s="2"/>
      <c r="FXI142" s="2"/>
      <c r="FXJ142" s="2"/>
      <c r="FXK142" s="2"/>
      <c r="FXL142" s="2"/>
      <c r="FXM142" s="2"/>
      <c r="FXN142" s="2"/>
      <c r="FXO142" s="2"/>
      <c r="FXP142" s="2"/>
      <c r="FXQ142" s="2"/>
      <c r="FXR142" s="2"/>
      <c r="FXS142" s="2"/>
      <c r="FXT142" s="2"/>
      <c r="FXU142" s="2"/>
      <c r="FXV142" s="2"/>
      <c r="FXW142" s="2"/>
      <c r="FXX142" s="2"/>
      <c r="FXY142" s="2"/>
      <c r="FXZ142" s="2"/>
      <c r="FYA142" s="2"/>
      <c r="FYB142" s="2"/>
      <c r="FYC142" s="2"/>
      <c r="FYD142" s="2"/>
      <c r="FYE142" s="2"/>
      <c r="FYF142" s="2"/>
      <c r="FYG142" s="2"/>
      <c r="FYH142" s="2"/>
      <c r="FYI142" s="2"/>
      <c r="FYJ142" s="2"/>
      <c r="FYK142" s="2"/>
      <c r="FYL142" s="2"/>
      <c r="FYM142" s="2"/>
      <c r="FYN142" s="2"/>
      <c r="FYO142" s="2"/>
      <c r="FYP142" s="2"/>
      <c r="FYQ142" s="2"/>
      <c r="FYR142" s="2"/>
      <c r="FYS142" s="2"/>
      <c r="FYT142" s="2"/>
      <c r="FYU142" s="2"/>
      <c r="FYV142" s="2"/>
      <c r="FYW142" s="2"/>
      <c r="FYX142" s="2"/>
      <c r="FYY142" s="2"/>
      <c r="FYZ142" s="2"/>
      <c r="FZA142" s="2"/>
      <c r="FZB142" s="2"/>
      <c r="FZC142" s="2"/>
      <c r="FZD142" s="2"/>
      <c r="FZE142" s="2"/>
      <c r="FZF142" s="2"/>
      <c r="FZG142" s="2"/>
      <c r="FZH142" s="2"/>
      <c r="FZI142" s="2"/>
      <c r="FZJ142" s="2"/>
      <c r="FZK142" s="2"/>
      <c r="FZL142" s="2"/>
      <c r="FZM142" s="2"/>
      <c r="FZN142" s="2"/>
      <c r="FZO142" s="2"/>
      <c r="FZP142" s="2"/>
      <c r="FZQ142" s="2"/>
      <c r="FZR142" s="2"/>
      <c r="FZS142" s="2"/>
      <c r="FZT142" s="2"/>
      <c r="FZU142" s="2"/>
      <c r="FZV142" s="2"/>
      <c r="FZW142" s="2"/>
      <c r="FZX142" s="2"/>
      <c r="FZY142" s="2"/>
      <c r="FZZ142" s="2"/>
      <c r="GAA142" s="2"/>
      <c r="GAB142" s="2"/>
      <c r="GAC142" s="2"/>
      <c r="GAD142" s="2"/>
      <c r="GAE142" s="2"/>
      <c r="GAF142" s="2"/>
      <c r="GAG142" s="2"/>
      <c r="GAH142" s="2"/>
      <c r="GAI142" s="2"/>
      <c r="GAJ142" s="2"/>
      <c r="GAK142" s="2"/>
      <c r="GAL142" s="2"/>
      <c r="GAM142" s="2"/>
      <c r="GAN142" s="2"/>
      <c r="GAO142" s="2"/>
      <c r="GAP142" s="2"/>
      <c r="GAQ142" s="2"/>
      <c r="GAR142" s="2"/>
      <c r="GAS142" s="2"/>
      <c r="GAT142" s="2"/>
      <c r="GAU142" s="2"/>
      <c r="GAV142" s="2"/>
      <c r="GAW142" s="2"/>
      <c r="GAX142" s="2"/>
      <c r="GAY142" s="2"/>
      <c r="GAZ142" s="2"/>
      <c r="GBA142" s="2"/>
      <c r="GBB142" s="2"/>
      <c r="GBC142" s="2"/>
      <c r="GBD142" s="2"/>
      <c r="GBE142" s="2"/>
      <c r="GBF142" s="2"/>
      <c r="GBG142" s="2"/>
      <c r="GBH142" s="2"/>
      <c r="GBI142" s="2"/>
      <c r="GBJ142" s="2"/>
      <c r="GBK142" s="2"/>
      <c r="GBL142" s="2"/>
      <c r="GBM142" s="2"/>
      <c r="GBN142" s="2"/>
      <c r="GBO142" s="2"/>
      <c r="GBP142" s="2"/>
      <c r="GBQ142" s="2"/>
      <c r="GBR142" s="2"/>
      <c r="GBS142" s="2"/>
      <c r="GBT142" s="2"/>
      <c r="GBU142" s="2"/>
      <c r="GBV142" s="2"/>
      <c r="GBW142" s="2"/>
      <c r="GBX142" s="2"/>
      <c r="GBY142" s="2"/>
      <c r="GBZ142" s="2"/>
      <c r="GCA142" s="2"/>
      <c r="GCB142" s="2"/>
      <c r="GCC142" s="2"/>
      <c r="GCD142" s="2"/>
      <c r="GCE142" s="2"/>
      <c r="GCF142" s="2"/>
      <c r="GCG142" s="2"/>
      <c r="GCH142" s="2"/>
      <c r="GCI142" s="2"/>
      <c r="GCJ142" s="2"/>
      <c r="GCK142" s="2"/>
      <c r="GCL142" s="2"/>
      <c r="GCM142" s="2"/>
      <c r="GCN142" s="2"/>
      <c r="GCO142" s="2"/>
      <c r="GCP142" s="2"/>
      <c r="GCQ142" s="2"/>
      <c r="GCR142" s="2"/>
      <c r="GCS142" s="2"/>
      <c r="GCT142" s="2"/>
      <c r="GCU142" s="2"/>
      <c r="GCV142" s="2"/>
      <c r="GCW142" s="2"/>
      <c r="GCX142" s="2"/>
      <c r="GCY142" s="2"/>
      <c r="GCZ142" s="2"/>
      <c r="GDA142" s="2"/>
      <c r="GDB142" s="2"/>
      <c r="GDC142" s="2"/>
      <c r="GDD142" s="2"/>
      <c r="GDE142" s="2"/>
      <c r="GDF142" s="2"/>
      <c r="GDG142" s="2"/>
      <c r="GDH142" s="2"/>
      <c r="GDI142" s="2"/>
      <c r="GDJ142" s="2"/>
      <c r="GDK142" s="2"/>
      <c r="GDL142" s="2"/>
      <c r="GDM142" s="2"/>
      <c r="GDN142" s="2"/>
      <c r="GDO142" s="2"/>
      <c r="GDP142" s="2"/>
      <c r="GDQ142" s="2"/>
      <c r="GDR142" s="2"/>
      <c r="GDS142" s="2"/>
      <c r="GDT142" s="2"/>
      <c r="GDU142" s="2"/>
      <c r="GDV142" s="2"/>
      <c r="GDW142" s="2"/>
      <c r="GDX142" s="2"/>
      <c r="GDY142" s="2"/>
      <c r="GDZ142" s="2"/>
      <c r="GEA142" s="2"/>
      <c r="GEB142" s="2"/>
      <c r="GEC142" s="2"/>
      <c r="GED142" s="2"/>
      <c r="GEE142" s="2"/>
      <c r="GEF142" s="2"/>
      <c r="GEG142" s="2"/>
      <c r="GEH142" s="2"/>
      <c r="GEI142" s="2"/>
      <c r="GEJ142" s="2"/>
      <c r="GEK142" s="2"/>
      <c r="GEL142" s="2"/>
      <c r="GEM142" s="2"/>
      <c r="GEN142" s="2"/>
      <c r="GEO142" s="2"/>
      <c r="GEP142" s="2"/>
      <c r="GEQ142" s="2"/>
      <c r="GER142" s="2"/>
      <c r="GES142" s="2"/>
      <c r="GET142" s="2"/>
      <c r="GEU142" s="2"/>
      <c r="GEV142" s="2"/>
      <c r="GEW142" s="2"/>
      <c r="GEX142" s="2"/>
      <c r="GEY142" s="2"/>
      <c r="GEZ142" s="2"/>
      <c r="GFA142" s="2"/>
      <c r="GFB142" s="2"/>
      <c r="GFC142" s="2"/>
      <c r="GFD142" s="2"/>
      <c r="GFE142" s="2"/>
      <c r="GFF142" s="2"/>
      <c r="GFG142" s="2"/>
      <c r="GFH142" s="2"/>
      <c r="GFI142" s="2"/>
      <c r="GFJ142" s="2"/>
      <c r="GFK142" s="2"/>
      <c r="GFL142" s="2"/>
      <c r="GFM142" s="2"/>
      <c r="GFN142" s="2"/>
      <c r="GFO142" s="2"/>
      <c r="GFP142" s="2"/>
      <c r="GFQ142" s="2"/>
      <c r="GFR142" s="2"/>
      <c r="GFS142" s="2"/>
      <c r="GFT142" s="2"/>
      <c r="GFU142" s="2"/>
      <c r="GFV142" s="2"/>
      <c r="GFW142" s="2"/>
      <c r="GFX142" s="2"/>
      <c r="GFY142" s="2"/>
      <c r="GFZ142" s="2"/>
      <c r="GGA142" s="2"/>
      <c r="GGB142" s="2"/>
      <c r="GGC142" s="2"/>
      <c r="GGD142" s="2"/>
      <c r="GGE142" s="2"/>
      <c r="GGF142" s="2"/>
      <c r="GGG142" s="2"/>
      <c r="GGH142" s="2"/>
      <c r="GGI142" s="2"/>
      <c r="GGJ142" s="2"/>
      <c r="GGK142" s="2"/>
      <c r="GGL142" s="2"/>
      <c r="GGM142" s="2"/>
      <c r="GGN142" s="2"/>
      <c r="GGO142" s="2"/>
      <c r="GGP142" s="2"/>
      <c r="GGQ142" s="2"/>
      <c r="GGR142" s="2"/>
      <c r="GGS142" s="2"/>
      <c r="GGT142" s="2"/>
      <c r="GGU142" s="2"/>
      <c r="GGV142" s="2"/>
      <c r="GGW142" s="2"/>
      <c r="GGX142" s="2"/>
      <c r="GGY142" s="2"/>
      <c r="GGZ142" s="2"/>
      <c r="GHA142" s="2"/>
      <c r="GHB142" s="2"/>
      <c r="GHC142" s="2"/>
      <c r="GHD142" s="2"/>
      <c r="GHE142" s="2"/>
      <c r="GHF142" s="2"/>
      <c r="GHG142" s="2"/>
      <c r="GHH142" s="2"/>
      <c r="GHI142" s="2"/>
      <c r="GHJ142" s="2"/>
      <c r="GHK142" s="2"/>
      <c r="GHL142" s="2"/>
      <c r="GHM142" s="2"/>
      <c r="GHN142" s="2"/>
      <c r="GHO142" s="2"/>
      <c r="GHP142" s="2"/>
      <c r="GHQ142" s="2"/>
      <c r="GHR142" s="2"/>
      <c r="GHS142" s="2"/>
      <c r="GHT142" s="2"/>
      <c r="GHU142" s="2"/>
      <c r="GHV142" s="2"/>
      <c r="GHW142" s="2"/>
      <c r="GHX142" s="2"/>
      <c r="GHY142" s="2"/>
      <c r="GHZ142" s="2"/>
      <c r="GIA142" s="2"/>
      <c r="GIB142" s="2"/>
      <c r="GIC142" s="2"/>
      <c r="GID142" s="2"/>
      <c r="GIE142" s="2"/>
      <c r="GIF142" s="2"/>
      <c r="GIG142" s="2"/>
      <c r="GIH142" s="2"/>
      <c r="GII142" s="2"/>
      <c r="GIJ142" s="2"/>
      <c r="GIK142" s="2"/>
      <c r="GIL142" s="2"/>
      <c r="GIM142" s="2"/>
      <c r="GIN142" s="2"/>
      <c r="GIO142" s="2"/>
      <c r="GIP142" s="2"/>
      <c r="GIQ142" s="2"/>
      <c r="GIR142" s="2"/>
      <c r="GIS142" s="2"/>
      <c r="GIT142" s="2"/>
      <c r="GIU142" s="2"/>
      <c r="GIV142" s="2"/>
      <c r="GIW142" s="2"/>
      <c r="GIX142" s="2"/>
      <c r="GIY142" s="2"/>
      <c r="GIZ142" s="2"/>
      <c r="GJA142" s="2"/>
      <c r="GJB142" s="2"/>
      <c r="GJC142" s="2"/>
      <c r="GJD142" s="2"/>
      <c r="GJE142" s="2"/>
      <c r="GJF142" s="2"/>
      <c r="GJG142" s="2"/>
      <c r="GJH142" s="2"/>
      <c r="GJI142" s="2"/>
      <c r="GJJ142" s="2"/>
      <c r="GJK142" s="2"/>
      <c r="GJL142" s="2"/>
      <c r="GJM142" s="2"/>
      <c r="GJN142" s="2"/>
      <c r="GJO142" s="2"/>
      <c r="GJP142" s="2"/>
      <c r="GJQ142" s="2"/>
      <c r="GJR142" s="2"/>
      <c r="GJS142" s="2"/>
      <c r="GJT142" s="2"/>
      <c r="GJU142" s="2"/>
      <c r="GJV142" s="2"/>
      <c r="GJW142" s="2"/>
      <c r="GJX142" s="2"/>
      <c r="GJY142" s="2"/>
      <c r="GJZ142" s="2"/>
      <c r="GKA142" s="2"/>
      <c r="GKB142" s="2"/>
      <c r="GKC142" s="2"/>
      <c r="GKD142" s="2"/>
      <c r="GKE142" s="2"/>
      <c r="GKF142" s="2"/>
      <c r="GKG142" s="2"/>
      <c r="GKH142" s="2"/>
      <c r="GKI142" s="2"/>
      <c r="GKJ142" s="2"/>
      <c r="GKK142" s="2"/>
      <c r="GKL142" s="2"/>
      <c r="GKM142" s="2"/>
      <c r="GKN142" s="2"/>
      <c r="GKO142" s="2"/>
      <c r="GKP142" s="2"/>
      <c r="GKQ142" s="2"/>
      <c r="GKR142" s="2"/>
      <c r="GKS142" s="2"/>
      <c r="GKT142" s="2"/>
      <c r="GKU142" s="2"/>
      <c r="GKV142" s="2"/>
      <c r="GKW142" s="2"/>
      <c r="GKX142" s="2"/>
      <c r="GKY142" s="2"/>
      <c r="GKZ142" s="2"/>
      <c r="GLA142" s="2"/>
      <c r="GLB142" s="2"/>
      <c r="GLC142" s="2"/>
      <c r="GLD142" s="2"/>
      <c r="GLE142" s="2"/>
      <c r="GLF142" s="2"/>
      <c r="GLG142" s="2"/>
      <c r="GLH142" s="2"/>
      <c r="GLI142" s="2"/>
      <c r="GLJ142" s="2"/>
      <c r="GLK142" s="2"/>
      <c r="GLL142" s="2"/>
      <c r="GLM142" s="2"/>
      <c r="GLN142" s="2"/>
      <c r="GLO142" s="2"/>
      <c r="GLP142" s="2"/>
      <c r="GLQ142" s="2"/>
      <c r="GLR142" s="2"/>
      <c r="GLS142" s="2"/>
      <c r="GLT142" s="2"/>
      <c r="GLU142" s="2"/>
      <c r="GLV142" s="2"/>
      <c r="GLW142" s="2"/>
      <c r="GLX142" s="2"/>
      <c r="GLY142" s="2"/>
      <c r="GLZ142" s="2"/>
      <c r="GMA142" s="2"/>
      <c r="GMB142" s="2"/>
      <c r="GMC142" s="2"/>
      <c r="GMD142" s="2"/>
      <c r="GME142" s="2"/>
      <c r="GMF142" s="2"/>
      <c r="GMG142" s="2"/>
      <c r="GMH142" s="2"/>
      <c r="GMI142" s="2"/>
      <c r="GMJ142" s="2"/>
      <c r="GMK142" s="2"/>
      <c r="GML142" s="2"/>
      <c r="GMM142" s="2"/>
      <c r="GMN142" s="2"/>
      <c r="GMO142" s="2"/>
      <c r="GMP142" s="2"/>
      <c r="GMQ142" s="2"/>
      <c r="GMR142" s="2"/>
      <c r="GMS142" s="2"/>
      <c r="GMT142" s="2"/>
      <c r="GMU142" s="2"/>
      <c r="GMV142" s="2"/>
      <c r="GMW142" s="2"/>
      <c r="GMX142" s="2"/>
      <c r="GMY142" s="2"/>
      <c r="GMZ142" s="2"/>
      <c r="GNA142" s="2"/>
      <c r="GNB142" s="2"/>
      <c r="GNC142" s="2"/>
      <c r="GND142" s="2"/>
      <c r="GNE142" s="2"/>
      <c r="GNF142" s="2"/>
      <c r="GNG142" s="2"/>
      <c r="GNH142" s="2"/>
      <c r="GNI142" s="2"/>
      <c r="GNJ142" s="2"/>
      <c r="GNK142" s="2"/>
      <c r="GNL142" s="2"/>
      <c r="GNM142" s="2"/>
      <c r="GNN142" s="2"/>
      <c r="GNO142" s="2"/>
      <c r="GNP142" s="2"/>
      <c r="GNQ142" s="2"/>
      <c r="GNR142" s="2"/>
      <c r="GNS142" s="2"/>
      <c r="GNT142" s="2"/>
      <c r="GNU142" s="2"/>
      <c r="GNV142" s="2"/>
      <c r="GNW142" s="2"/>
      <c r="GNX142" s="2"/>
      <c r="GNY142" s="2"/>
      <c r="GNZ142" s="2"/>
      <c r="GOA142" s="2"/>
      <c r="GOB142" s="2"/>
      <c r="GOC142" s="2"/>
      <c r="GOD142" s="2"/>
      <c r="GOE142" s="2"/>
      <c r="GOF142" s="2"/>
      <c r="GOG142" s="2"/>
      <c r="GOH142" s="2"/>
      <c r="GOI142" s="2"/>
      <c r="GOJ142" s="2"/>
      <c r="GOK142" s="2"/>
      <c r="GOL142" s="2"/>
      <c r="GOM142" s="2"/>
      <c r="GON142" s="2"/>
      <c r="GOO142" s="2"/>
      <c r="GOP142" s="2"/>
      <c r="GOQ142" s="2"/>
      <c r="GOR142" s="2"/>
      <c r="GOS142" s="2"/>
      <c r="GOT142" s="2"/>
      <c r="GOU142" s="2"/>
      <c r="GOV142" s="2"/>
      <c r="GOW142" s="2"/>
      <c r="GOX142" s="2"/>
      <c r="GOY142" s="2"/>
      <c r="GOZ142" s="2"/>
      <c r="GPA142" s="2"/>
      <c r="GPB142" s="2"/>
      <c r="GPC142" s="2"/>
      <c r="GPD142" s="2"/>
      <c r="GPE142" s="2"/>
      <c r="GPF142" s="2"/>
      <c r="GPG142" s="2"/>
      <c r="GPH142" s="2"/>
      <c r="GPI142" s="2"/>
      <c r="GPJ142" s="2"/>
      <c r="GPK142" s="2"/>
      <c r="GPL142" s="2"/>
      <c r="GPM142" s="2"/>
      <c r="GPN142" s="2"/>
      <c r="GPO142" s="2"/>
      <c r="GPP142" s="2"/>
      <c r="GPQ142" s="2"/>
      <c r="GPR142" s="2"/>
      <c r="GPS142" s="2"/>
      <c r="GPT142" s="2"/>
      <c r="GPU142" s="2"/>
      <c r="GPV142" s="2"/>
      <c r="GPW142" s="2"/>
      <c r="GPX142" s="2"/>
      <c r="GPY142" s="2"/>
      <c r="GPZ142" s="2"/>
      <c r="GQA142" s="2"/>
      <c r="GQB142" s="2"/>
      <c r="GQC142" s="2"/>
      <c r="GQD142" s="2"/>
      <c r="GQE142" s="2"/>
      <c r="GQF142" s="2"/>
      <c r="GQG142" s="2"/>
      <c r="GQH142" s="2"/>
      <c r="GQI142" s="2"/>
      <c r="GQJ142" s="2"/>
      <c r="GQK142" s="2"/>
      <c r="GQL142" s="2"/>
      <c r="GQM142" s="2"/>
      <c r="GQN142" s="2"/>
      <c r="GQO142" s="2"/>
      <c r="GQP142" s="2"/>
      <c r="GQQ142" s="2"/>
      <c r="GQR142" s="2"/>
      <c r="GQS142" s="2"/>
      <c r="GQT142" s="2"/>
      <c r="GQU142" s="2"/>
      <c r="GQV142" s="2"/>
      <c r="GQW142" s="2"/>
      <c r="GQX142" s="2"/>
      <c r="GQY142" s="2"/>
      <c r="GQZ142" s="2"/>
      <c r="GRA142" s="2"/>
      <c r="GRB142" s="2"/>
      <c r="GRC142" s="2"/>
      <c r="GRD142" s="2"/>
      <c r="GRE142" s="2"/>
      <c r="GRF142" s="2"/>
      <c r="GRG142" s="2"/>
      <c r="GRH142" s="2"/>
      <c r="GRI142" s="2"/>
      <c r="GRJ142" s="2"/>
      <c r="GRK142" s="2"/>
      <c r="GRL142" s="2"/>
      <c r="GRM142" s="2"/>
      <c r="GRN142" s="2"/>
      <c r="GRO142" s="2"/>
      <c r="GRP142" s="2"/>
      <c r="GRQ142" s="2"/>
      <c r="GRR142" s="2"/>
      <c r="GRS142" s="2"/>
      <c r="GRT142" s="2"/>
      <c r="GRU142" s="2"/>
      <c r="GRV142" s="2"/>
      <c r="GRW142" s="2"/>
      <c r="GRX142" s="2"/>
      <c r="GRY142" s="2"/>
      <c r="GRZ142" s="2"/>
      <c r="GSA142" s="2"/>
      <c r="GSB142" s="2"/>
      <c r="GSC142" s="2"/>
      <c r="GSD142" s="2"/>
      <c r="GSE142" s="2"/>
      <c r="GSF142" s="2"/>
      <c r="GSG142" s="2"/>
      <c r="GSH142" s="2"/>
      <c r="GSI142" s="2"/>
      <c r="GSJ142" s="2"/>
      <c r="GSK142" s="2"/>
      <c r="GSL142" s="2"/>
      <c r="GSM142" s="2"/>
      <c r="GSN142" s="2"/>
      <c r="GSO142" s="2"/>
      <c r="GSP142" s="2"/>
      <c r="GSQ142" s="2"/>
      <c r="GSR142" s="2"/>
      <c r="GSS142" s="2"/>
      <c r="GST142" s="2"/>
      <c r="GSU142" s="2"/>
      <c r="GSV142" s="2"/>
      <c r="GSW142" s="2"/>
      <c r="GSX142" s="2"/>
      <c r="GSY142" s="2"/>
      <c r="GSZ142" s="2"/>
      <c r="GTA142" s="2"/>
      <c r="GTB142" s="2"/>
      <c r="GTC142" s="2"/>
      <c r="GTD142" s="2"/>
      <c r="GTE142" s="2"/>
      <c r="GTF142" s="2"/>
      <c r="GTG142" s="2"/>
      <c r="GTH142" s="2"/>
      <c r="GTI142" s="2"/>
      <c r="GTJ142" s="2"/>
      <c r="GTK142" s="2"/>
      <c r="GTL142" s="2"/>
      <c r="GTM142" s="2"/>
      <c r="GTN142" s="2"/>
      <c r="GTO142" s="2"/>
      <c r="GTP142" s="2"/>
      <c r="GTQ142" s="2"/>
      <c r="GTR142" s="2"/>
      <c r="GTS142" s="2"/>
      <c r="GTT142" s="2"/>
      <c r="GTU142" s="2"/>
      <c r="GTV142" s="2"/>
      <c r="GTW142" s="2"/>
      <c r="GTX142" s="2"/>
      <c r="GTY142" s="2"/>
      <c r="GTZ142" s="2"/>
      <c r="GUA142" s="2"/>
      <c r="GUB142" s="2"/>
      <c r="GUC142" s="2"/>
      <c r="GUD142" s="2"/>
      <c r="GUE142" s="2"/>
      <c r="GUF142" s="2"/>
      <c r="GUG142" s="2"/>
      <c r="GUH142" s="2"/>
      <c r="GUI142" s="2"/>
      <c r="GUJ142" s="2"/>
      <c r="GUK142" s="2"/>
      <c r="GUL142" s="2"/>
      <c r="GUM142" s="2"/>
      <c r="GUN142" s="2"/>
      <c r="GUO142" s="2"/>
      <c r="GUP142" s="2"/>
      <c r="GUQ142" s="2"/>
      <c r="GUR142" s="2"/>
      <c r="GUS142" s="2"/>
      <c r="GUT142" s="2"/>
      <c r="GUU142" s="2"/>
      <c r="GUV142" s="2"/>
      <c r="GUW142" s="2"/>
      <c r="GUX142" s="2"/>
      <c r="GUY142" s="2"/>
      <c r="GUZ142" s="2"/>
      <c r="GVA142" s="2"/>
      <c r="GVB142" s="2"/>
      <c r="GVC142" s="2"/>
      <c r="GVD142" s="2"/>
      <c r="GVE142" s="2"/>
      <c r="GVF142" s="2"/>
      <c r="GVG142" s="2"/>
      <c r="GVH142" s="2"/>
      <c r="GVI142" s="2"/>
      <c r="GVJ142" s="2"/>
      <c r="GVK142" s="2"/>
      <c r="GVL142" s="2"/>
      <c r="GVM142" s="2"/>
      <c r="GVN142" s="2"/>
      <c r="GVO142" s="2"/>
      <c r="GVP142" s="2"/>
      <c r="GVQ142" s="2"/>
      <c r="GVR142" s="2"/>
      <c r="GVS142" s="2"/>
      <c r="GVT142" s="2"/>
      <c r="GVU142" s="2"/>
      <c r="GVV142" s="2"/>
      <c r="GVW142" s="2"/>
      <c r="GVX142" s="2"/>
      <c r="GVY142" s="2"/>
      <c r="GVZ142" s="2"/>
      <c r="GWA142" s="2"/>
      <c r="GWB142" s="2"/>
      <c r="GWC142" s="2"/>
      <c r="GWD142" s="2"/>
      <c r="GWE142" s="2"/>
      <c r="GWF142" s="2"/>
      <c r="GWG142" s="2"/>
      <c r="GWH142" s="2"/>
      <c r="GWI142" s="2"/>
      <c r="GWJ142" s="2"/>
      <c r="GWK142" s="2"/>
      <c r="GWL142" s="2"/>
      <c r="GWM142" s="2"/>
      <c r="GWN142" s="2"/>
      <c r="GWO142" s="2"/>
      <c r="GWP142" s="2"/>
      <c r="GWQ142" s="2"/>
      <c r="GWR142" s="2"/>
      <c r="GWS142" s="2"/>
      <c r="GWT142" s="2"/>
      <c r="GWU142" s="2"/>
      <c r="GWV142" s="2"/>
      <c r="GWW142" s="2"/>
      <c r="GWX142" s="2"/>
      <c r="GWY142" s="2"/>
      <c r="GWZ142" s="2"/>
      <c r="GXA142" s="2"/>
      <c r="GXB142" s="2"/>
      <c r="GXC142" s="2"/>
      <c r="GXD142" s="2"/>
      <c r="GXE142" s="2"/>
      <c r="GXF142" s="2"/>
      <c r="GXG142" s="2"/>
      <c r="GXH142" s="2"/>
      <c r="GXI142" s="2"/>
      <c r="GXJ142" s="2"/>
      <c r="GXK142" s="2"/>
      <c r="GXL142" s="2"/>
      <c r="GXM142" s="2"/>
      <c r="GXN142" s="2"/>
      <c r="GXO142" s="2"/>
      <c r="GXP142" s="2"/>
      <c r="GXQ142" s="2"/>
      <c r="GXR142" s="2"/>
      <c r="GXS142" s="2"/>
      <c r="GXT142" s="2"/>
      <c r="GXU142" s="2"/>
      <c r="GXV142" s="2"/>
      <c r="GXW142" s="2"/>
      <c r="GXX142" s="2"/>
      <c r="GXY142" s="2"/>
      <c r="GXZ142" s="2"/>
      <c r="GYA142" s="2"/>
      <c r="GYB142" s="2"/>
      <c r="GYC142" s="2"/>
      <c r="GYD142" s="2"/>
      <c r="GYE142" s="2"/>
      <c r="GYF142" s="2"/>
      <c r="GYG142" s="2"/>
      <c r="GYH142" s="2"/>
      <c r="GYI142" s="2"/>
      <c r="GYJ142" s="2"/>
      <c r="GYK142" s="2"/>
      <c r="GYL142" s="2"/>
      <c r="GYM142" s="2"/>
      <c r="GYN142" s="2"/>
      <c r="GYO142" s="2"/>
      <c r="GYP142" s="2"/>
      <c r="GYQ142" s="2"/>
      <c r="GYR142" s="2"/>
      <c r="GYS142" s="2"/>
      <c r="GYT142" s="2"/>
      <c r="GYU142" s="2"/>
      <c r="GYV142" s="2"/>
      <c r="GYW142" s="2"/>
      <c r="GYX142" s="2"/>
      <c r="GYY142" s="2"/>
      <c r="GYZ142" s="2"/>
      <c r="GZA142" s="2"/>
      <c r="GZB142" s="2"/>
      <c r="GZC142" s="2"/>
      <c r="GZD142" s="2"/>
      <c r="GZE142" s="2"/>
      <c r="GZF142" s="2"/>
      <c r="GZG142" s="2"/>
      <c r="GZH142" s="2"/>
      <c r="GZI142" s="2"/>
      <c r="GZJ142" s="2"/>
      <c r="GZK142" s="2"/>
      <c r="GZL142" s="2"/>
      <c r="GZM142" s="2"/>
      <c r="GZN142" s="2"/>
      <c r="GZO142" s="2"/>
      <c r="GZP142" s="2"/>
      <c r="GZQ142" s="2"/>
      <c r="GZR142" s="2"/>
      <c r="GZS142" s="2"/>
      <c r="GZT142" s="2"/>
      <c r="GZU142" s="2"/>
      <c r="GZV142" s="2"/>
      <c r="GZW142" s="2"/>
      <c r="GZX142" s="2"/>
      <c r="GZY142" s="2"/>
      <c r="GZZ142" s="2"/>
      <c r="HAA142" s="2"/>
      <c r="HAB142" s="2"/>
      <c r="HAC142" s="2"/>
      <c r="HAD142" s="2"/>
      <c r="HAE142" s="2"/>
      <c r="HAF142" s="2"/>
      <c r="HAG142" s="2"/>
      <c r="HAH142" s="2"/>
      <c r="HAI142" s="2"/>
      <c r="HAJ142" s="2"/>
      <c r="HAK142" s="2"/>
      <c r="HAL142" s="2"/>
      <c r="HAM142" s="2"/>
      <c r="HAN142" s="2"/>
      <c r="HAO142" s="2"/>
      <c r="HAP142" s="2"/>
      <c r="HAQ142" s="2"/>
      <c r="HAR142" s="2"/>
      <c r="HAS142" s="2"/>
      <c r="HAT142" s="2"/>
      <c r="HAU142" s="2"/>
      <c r="HAV142" s="2"/>
      <c r="HAW142" s="2"/>
      <c r="HAX142" s="2"/>
      <c r="HAY142" s="2"/>
      <c r="HAZ142" s="2"/>
      <c r="HBA142" s="2"/>
      <c r="HBB142" s="2"/>
      <c r="HBC142" s="2"/>
      <c r="HBD142" s="2"/>
      <c r="HBE142" s="2"/>
      <c r="HBF142" s="2"/>
      <c r="HBG142" s="2"/>
      <c r="HBH142" s="2"/>
      <c r="HBI142" s="2"/>
      <c r="HBJ142" s="2"/>
      <c r="HBK142" s="2"/>
      <c r="HBL142" s="2"/>
      <c r="HBM142" s="2"/>
      <c r="HBN142" s="2"/>
      <c r="HBO142" s="2"/>
      <c r="HBP142" s="2"/>
      <c r="HBQ142" s="2"/>
      <c r="HBR142" s="2"/>
      <c r="HBS142" s="2"/>
      <c r="HBT142" s="2"/>
      <c r="HBU142" s="2"/>
      <c r="HBV142" s="2"/>
      <c r="HBW142" s="2"/>
      <c r="HBX142" s="2"/>
      <c r="HBY142" s="2"/>
      <c r="HBZ142" s="2"/>
      <c r="HCA142" s="2"/>
      <c r="HCB142" s="2"/>
      <c r="HCC142" s="2"/>
      <c r="HCD142" s="2"/>
      <c r="HCE142" s="2"/>
      <c r="HCF142" s="2"/>
      <c r="HCG142" s="2"/>
      <c r="HCH142" s="2"/>
      <c r="HCI142" s="2"/>
      <c r="HCJ142" s="2"/>
      <c r="HCK142" s="2"/>
      <c r="HCL142" s="2"/>
      <c r="HCM142" s="2"/>
      <c r="HCN142" s="2"/>
      <c r="HCO142" s="2"/>
      <c r="HCP142" s="2"/>
      <c r="HCQ142" s="2"/>
      <c r="HCR142" s="2"/>
      <c r="HCS142" s="2"/>
      <c r="HCT142" s="2"/>
      <c r="HCU142" s="2"/>
      <c r="HCV142" s="2"/>
      <c r="HCW142" s="2"/>
      <c r="HCX142" s="2"/>
      <c r="HCY142" s="2"/>
      <c r="HCZ142" s="2"/>
      <c r="HDA142" s="2"/>
      <c r="HDB142" s="2"/>
      <c r="HDC142" s="2"/>
      <c r="HDD142" s="2"/>
      <c r="HDE142" s="2"/>
      <c r="HDF142" s="2"/>
      <c r="HDG142" s="2"/>
      <c r="HDH142" s="2"/>
      <c r="HDI142" s="2"/>
      <c r="HDJ142" s="2"/>
      <c r="HDK142" s="2"/>
      <c r="HDL142" s="2"/>
      <c r="HDM142" s="2"/>
      <c r="HDN142" s="2"/>
      <c r="HDO142" s="2"/>
      <c r="HDP142" s="2"/>
      <c r="HDQ142" s="2"/>
      <c r="HDR142" s="2"/>
      <c r="HDS142" s="2"/>
      <c r="HDT142" s="2"/>
      <c r="HDU142" s="2"/>
      <c r="HDV142" s="2"/>
      <c r="HDW142" s="2"/>
      <c r="HDX142" s="2"/>
      <c r="HDY142" s="2"/>
      <c r="HDZ142" s="2"/>
      <c r="HEA142" s="2"/>
      <c r="HEB142" s="2"/>
      <c r="HEC142" s="2"/>
      <c r="HED142" s="2"/>
      <c r="HEE142" s="2"/>
      <c r="HEF142" s="2"/>
      <c r="HEG142" s="2"/>
      <c r="HEH142" s="2"/>
      <c r="HEI142" s="2"/>
      <c r="HEJ142" s="2"/>
      <c r="HEK142" s="2"/>
      <c r="HEL142" s="2"/>
      <c r="HEM142" s="2"/>
      <c r="HEN142" s="2"/>
      <c r="HEO142" s="2"/>
      <c r="HEP142" s="2"/>
      <c r="HEQ142" s="2"/>
      <c r="HER142" s="2"/>
      <c r="HES142" s="2"/>
      <c r="HET142" s="2"/>
      <c r="HEU142" s="2"/>
      <c r="HEV142" s="2"/>
      <c r="HEW142" s="2"/>
      <c r="HEX142" s="2"/>
      <c r="HEY142" s="2"/>
      <c r="HEZ142" s="2"/>
      <c r="HFA142" s="2"/>
      <c r="HFB142" s="2"/>
      <c r="HFC142" s="2"/>
      <c r="HFD142" s="2"/>
      <c r="HFE142" s="2"/>
      <c r="HFF142" s="2"/>
      <c r="HFG142" s="2"/>
      <c r="HFH142" s="2"/>
      <c r="HFI142" s="2"/>
      <c r="HFJ142" s="2"/>
      <c r="HFK142" s="2"/>
      <c r="HFL142" s="2"/>
      <c r="HFM142" s="2"/>
      <c r="HFN142" s="2"/>
      <c r="HFO142" s="2"/>
      <c r="HFP142" s="2"/>
      <c r="HFQ142" s="2"/>
      <c r="HFR142" s="2"/>
      <c r="HFS142" s="2"/>
      <c r="HFT142" s="2"/>
      <c r="HFU142" s="2"/>
      <c r="HFV142" s="2"/>
      <c r="HFW142" s="2"/>
      <c r="HFX142" s="2"/>
      <c r="HFY142" s="2"/>
      <c r="HFZ142" s="2"/>
      <c r="HGA142" s="2"/>
      <c r="HGB142" s="2"/>
      <c r="HGC142" s="2"/>
      <c r="HGD142" s="2"/>
      <c r="HGE142" s="2"/>
      <c r="HGF142" s="2"/>
      <c r="HGG142" s="2"/>
      <c r="HGH142" s="2"/>
      <c r="HGI142" s="2"/>
      <c r="HGJ142" s="2"/>
      <c r="HGK142" s="2"/>
      <c r="HGL142" s="2"/>
      <c r="HGM142" s="2"/>
      <c r="HGN142" s="2"/>
      <c r="HGO142" s="2"/>
      <c r="HGP142" s="2"/>
      <c r="HGQ142" s="2"/>
      <c r="HGR142" s="2"/>
      <c r="HGS142" s="2"/>
      <c r="HGT142" s="2"/>
      <c r="HGU142" s="2"/>
      <c r="HGV142" s="2"/>
      <c r="HGW142" s="2"/>
      <c r="HGX142" s="2"/>
      <c r="HGY142" s="2"/>
      <c r="HGZ142" s="2"/>
      <c r="HHA142" s="2"/>
      <c r="HHB142" s="2"/>
      <c r="HHC142" s="2"/>
      <c r="HHD142" s="2"/>
      <c r="HHE142" s="2"/>
      <c r="HHF142" s="2"/>
      <c r="HHG142" s="2"/>
      <c r="HHH142" s="2"/>
      <c r="HHI142" s="2"/>
      <c r="HHJ142" s="2"/>
      <c r="HHK142" s="2"/>
      <c r="HHL142" s="2"/>
      <c r="HHM142" s="2"/>
      <c r="HHN142" s="2"/>
      <c r="HHO142" s="2"/>
      <c r="HHP142" s="2"/>
      <c r="HHQ142" s="2"/>
      <c r="HHR142" s="2"/>
      <c r="HHS142" s="2"/>
      <c r="HHT142" s="2"/>
      <c r="HHU142" s="2"/>
      <c r="HHV142" s="2"/>
      <c r="HHW142" s="2"/>
      <c r="HHX142" s="2"/>
      <c r="HHY142" s="2"/>
      <c r="HHZ142" s="2"/>
      <c r="HIA142" s="2"/>
      <c r="HIB142" s="2"/>
      <c r="HIC142" s="2"/>
      <c r="HID142" s="2"/>
      <c r="HIE142" s="2"/>
      <c r="HIF142" s="2"/>
      <c r="HIG142" s="2"/>
      <c r="HIH142" s="2"/>
      <c r="HII142" s="2"/>
      <c r="HIJ142" s="2"/>
      <c r="HIK142" s="2"/>
      <c r="HIL142" s="2"/>
      <c r="HIM142" s="2"/>
      <c r="HIN142" s="2"/>
      <c r="HIO142" s="2"/>
      <c r="HIP142" s="2"/>
      <c r="HIQ142" s="2"/>
      <c r="HIR142" s="2"/>
      <c r="HIS142" s="2"/>
      <c r="HIT142" s="2"/>
      <c r="HIU142" s="2"/>
      <c r="HIV142" s="2"/>
      <c r="HIW142" s="2"/>
      <c r="HIX142" s="2"/>
      <c r="HIY142" s="2"/>
      <c r="HIZ142" s="2"/>
      <c r="HJA142" s="2"/>
      <c r="HJB142" s="2"/>
      <c r="HJC142" s="2"/>
      <c r="HJD142" s="2"/>
      <c r="HJE142" s="2"/>
      <c r="HJF142" s="2"/>
      <c r="HJG142" s="2"/>
      <c r="HJH142" s="2"/>
      <c r="HJI142" s="2"/>
      <c r="HJJ142" s="2"/>
      <c r="HJK142" s="2"/>
      <c r="HJL142" s="2"/>
      <c r="HJM142" s="2"/>
      <c r="HJN142" s="2"/>
      <c r="HJO142" s="2"/>
      <c r="HJP142" s="2"/>
      <c r="HJQ142" s="2"/>
      <c r="HJR142" s="2"/>
      <c r="HJS142" s="2"/>
      <c r="HJT142" s="2"/>
      <c r="HJU142" s="2"/>
      <c r="HJV142" s="2"/>
      <c r="HJW142" s="2"/>
      <c r="HJX142" s="2"/>
      <c r="HJY142" s="2"/>
      <c r="HJZ142" s="2"/>
      <c r="HKA142" s="2"/>
      <c r="HKB142" s="2"/>
      <c r="HKC142" s="2"/>
      <c r="HKD142" s="2"/>
      <c r="HKE142" s="2"/>
      <c r="HKF142" s="2"/>
      <c r="HKG142" s="2"/>
      <c r="HKH142" s="2"/>
      <c r="HKI142" s="2"/>
      <c r="HKJ142" s="2"/>
      <c r="HKK142" s="2"/>
      <c r="HKL142" s="2"/>
      <c r="HKM142" s="2"/>
      <c r="HKN142" s="2"/>
      <c r="HKO142" s="2"/>
      <c r="HKP142" s="2"/>
      <c r="HKQ142" s="2"/>
      <c r="HKR142" s="2"/>
      <c r="HKS142" s="2"/>
      <c r="HKT142" s="2"/>
      <c r="HKU142" s="2"/>
      <c r="HKV142" s="2"/>
      <c r="HKW142" s="2"/>
      <c r="HKX142" s="2"/>
      <c r="HKY142" s="2"/>
      <c r="HKZ142" s="2"/>
      <c r="HLA142" s="2"/>
      <c r="HLB142" s="2"/>
      <c r="HLC142" s="2"/>
      <c r="HLD142" s="2"/>
      <c r="HLE142" s="2"/>
      <c r="HLF142" s="2"/>
      <c r="HLG142" s="2"/>
      <c r="HLH142" s="2"/>
      <c r="HLI142" s="2"/>
      <c r="HLJ142" s="2"/>
      <c r="HLK142" s="2"/>
      <c r="HLL142" s="2"/>
      <c r="HLM142" s="2"/>
      <c r="HLN142" s="2"/>
      <c r="HLO142" s="2"/>
      <c r="HLP142" s="2"/>
      <c r="HLQ142" s="2"/>
      <c r="HLR142" s="2"/>
      <c r="HLS142" s="2"/>
      <c r="HLT142" s="2"/>
      <c r="HLU142" s="2"/>
      <c r="HLV142" s="2"/>
      <c r="HLW142" s="2"/>
      <c r="HLX142" s="2"/>
      <c r="HLY142" s="2"/>
      <c r="HLZ142" s="2"/>
      <c r="HMA142" s="2"/>
      <c r="HMB142" s="2"/>
      <c r="HMC142" s="2"/>
      <c r="HMD142" s="2"/>
      <c r="HME142" s="2"/>
      <c r="HMF142" s="2"/>
      <c r="HMG142" s="2"/>
      <c r="HMH142" s="2"/>
      <c r="HMI142" s="2"/>
      <c r="HMJ142" s="2"/>
      <c r="HMK142" s="2"/>
      <c r="HML142" s="2"/>
      <c r="HMM142" s="2"/>
      <c r="HMN142" s="2"/>
      <c r="HMO142" s="2"/>
      <c r="HMP142" s="2"/>
      <c r="HMQ142" s="2"/>
      <c r="HMR142" s="2"/>
      <c r="HMS142" s="2"/>
      <c r="HMT142" s="2"/>
      <c r="HMU142" s="2"/>
      <c r="HMV142" s="2"/>
      <c r="HMW142" s="2"/>
      <c r="HMX142" s="2"/>
      <c r="HMY142" s="2"/>
      <c r="HMZ142" s="2"/>
      <c r="HNA142" s="2"/>
      <c r="HNB142" s="2"/>
      <c r="HNC142" s="2"/>
      <c r="HND142" s="2"/>
      <c r="HNE142" s="2"/>
      <c r="HNF142" s="2"/>
      <c r="HNG142" s="2"/>
      <c r="HNH142" s="2"/>
      <c r="HNI142" s="2"/>
      <c r="HNJ142" s="2"/>
      <c r="HNK142" s="2"/>
      <c r="HNL142" s="2"/>
      <c r="HNM142" s="2"/>
      <c r="HNN142" s="2"/>
      <c r="HNO142" s="2"/>
      <c r="HNP142" s="2"/>
      <c r="HNQ142" s="2"/>
      <c r="HNR142" s="2"/>
      <c r="HNS142" s="2"/>
      <c r="HNT142" s="2"/>
      <c r="HNU142" s="2"/>
      <c r="HNV142" s="2"/>
      <c r="HNW142" s="2"/>
      <c r="HNX142" s="2"/>
      <c r="HNY142" s="2"/>
      <c r="HNZ142" s="2"/>
      <c r="HOA142" s="2"/>
      <c r="HOB142" s="2"/>
      <c r="HOC142" s="2"/>
      <c r="HOD142" s="2"/>
      <c r="HOE142" s="2"/>
      <c r="HOF142" s="2"/>
      <c r="HOG142" s="2"/>
      <c r="HOH142" s="2"/>
      <c r="HOI142" s="2"/>
      <c r="HOJ142" s="2"/>
      <c r="HOK142" s="2"/>
      <c r="HOL142" s="2"/>
      <c r="HOM142" s="2"/>
      <c r="HON142" s="2"/>
      <c r="HOO142" s="2"/>
      <c r="HOP142" s="2"/>
      <c r="HOQ142" s="2"/>
      <c r="HOR142" s="2"/>
      <c r="HOS142" s="2"/>
      <c r="HOT142" s="2"/>
      <c r="HOU142" s="2"/>
      <c r="HOV142" s="2"/>
      <c r="HOW142" s="2"/>
      <c r="HOX142" s="2"/>
      <c r="HOY142" s="2"/>
      <c r="HOZ142" s="2"/>
      <c r="HPA142" s="2"/>
      <c r="HPB142" s="2"/>
      <c r="HPC142" s="2"/>
      <c r="HPD142" s="2"/>
      <c r="HPE142" s="2"/>
      <c r="HPF142" s="2"/>
      <c r="HPG142" s="2"/>
      <c r="HPH142" s="2"/>
      <c r="HPI142" s="2"/>
      <c r="HPJ142" s="2"/>
      <c r="HPK142" s="2"/>
      <c r="HPL142" s="2"/>
      <c r="HPM142" s="2"/>
      <c r="HPN142" s="2"/>
      <c r="HPO142" s="2"/>
      <c r="HPP142" s="2"/>
      <c r="HPQ142" s="2"/>
      <c r="HPR142" s="2"/>
      <c r="HPS142" s="2"/>
      <c r="HPT142" s="2"/>
      <c r="HPU142" s="2"/>
      <c r="HPV142" s="2"/>
      <c r="HPW142" s="2"/>
      <c r="HPX142" s="2"/>
      <c r="HPY142" s="2"/>
      <c r="HPZ142" s="2"/>
      <c r="HQA142" s="2"/>
      <c r="HQB142" s="2"/>
      <c r="HQC142" s="2"/>
      <c r="HQD142" s="2"/>
      <c r="HQE142" s="2"/>
      <c r="HQF142" s="2"/>
      <c r="HQG142" s="2"/>
      <c r="HQH142" s="2"/>
      <c r="HQI142" s="2"/>
      <c r="HQJ142" s="2"/>
      <c r="HQK142" s="2"/>
      <c r="HQL142" s="2"/>
      <c r="HQM142" s="2"/>
      <c r="HQN142" s="2"/>
      <c r="HQO142" s="2"/>
      <c r="HQP142" s="2"/>
      <c r="HQQ142" s="2"/>
      <c r="HQR142" s="2"/>
      <c r="HQS142" s="2"/>
      <c r="HQT142" s="2"/>
      <c r="HQU142" s="2"/>
      <c r="HQV142" s="2"/>
      <c r="HQW142" s="2"/>
      <c r="HQX142" s="2"/>
      <c r="HQY142" s="2"/>
      <c r="HQZ142" s="2"/>
      <c r="HRA142" s="2"/>
      <c r="HRB142" s="2"/>
      <c r="HRC142" s="2"/>
      <c r="HRD142" s="2"/>
      <c r="HRE142" s="2"/>
      <c r="HRF142" s="2"/>
      <c r="HRG142" s="2"/>
      <c r="HRH142" s="2"/>
      <c r="HRI142" s="2"/>
      <c r="HRJ142" s="2"/>
      <c r="HRK142" s="2"/>
      <c r="HRL142" s="2"/>
      <c r="HRM142" s="2"/>
      <c r="HRN142" s="2"/>
      <c r="HRO142" s="2"/>
      <c r="HRP142" s="2"/>
      <c r="HRQ142" s="2"/>
      <c r="HRR142" s="2"/>
      <c r="HRS142" s="2"/>
      <c r="HRT142" s="2"/>
      <c r="HRU142" s="2"/>
      <c r="HRV142" s="2"/>
      <c r="HRW142" s="2"/>
      <c r="HRX142" s="2"/>
      <c r="HRY142" s="2"/>
      <c r="HRZ142" s="2"/>
      <c r="HSA142" s="2"/>
      <c r="HSB142" s="2"/>
      <c r="HSC142" s="2"/>
      <c r="HSD142" s="2"/>
      <c r="HSE142" s="2"/>
      <c r="HSF142" s="2"/>
      <c r="HSG142" s="2"/>
      <c r="HSH142" s="2"/>
      <c r="HSI142" s="2"/>
      <c r="HSJ142" s="2"/>
      <c r="HSK142" s="2"/>
      <c r="HSL142" s="2"/>
      <c r="HSM142" s="2"/>
      <c r="HSN142" s="2"/>
      <c r="HSO142" s="2"/>
      <c r="HSP142" s="2"/>
      <c r="HSQ142" s="2"/>
      <c r="HSR142" s="2"/>
      <c r="HSS142" s="2"/>
      <c r="HST142" s="2"/>
      <c r="HSU142" s="2"/>
      <c r="HSV142" s="2"/>
      <c r="HSW142" s="2"/>
      <c r="HSX142" s="2"/>
      <c r="HSY142" s="2"/>
      <c r="HSZ142" s="2"/>
      <c r="HTA142" s="2"/>
      <c r="HTB142" s="2"/>
      <c r="HTC142" s="2"/>
      <c r="HTD142" s="2"/>
      <c r="HTE142" s="2"/>
      <c r="HTF142" s="2"/>
      <c r="HTG142" s="2"/>
      <c r="HTH142" s="2"/>
      <c r="HTI142" s="2"/>
      <c r="HTJ142" s="2"/>
      <c r="HTK142" s="2"/>
      <c r="HTL142" s="2"/>
      <c r="HTM142" s="2"/>
      <c r="HTN142" s="2"/>
      <c r="HTO142" s="2"/>
      <c r="HTP142" s="2"/>
      <c r="HTQ142" s="2"/>
      <c r="HTR142" s="2"/>
      <c r="HTS142" s="2"/>
      <c r="HTT142" s="2"/>
      <c r="HTU142" s="2"/>
      <c r="HTV142" s="2"/>
      <c r="HTW142" s="2"/>
      <c r="HTX142" s="2"/>
      <c r="HTY142" s="2"/>
      <c r="HTZ142" s="2"/>
      <c r="HUA142" s="2"/>
      <c r="HUB142" s="2"/>
      <c r="HUC142" s="2"/>
      <c r="HUD142" s="2"/>
      <c r="HUE142" s="2"/>
      <c r="HUF142" s="2"/>
      <c r="HUG142" s="2"/>
      <c r="HUH142" s="2"/>
      <c r="HUI142" s="2"/>
      <c r="HUJ142" s="2"/>
      <c r="HUK142" s="2"/>
      <c r="HUL142" s="2"/>
      <c r="HUM142" s="2"/>
      <c r="HUN142" s="2"/>
      <c r="HUO142" s="2"/>
      <c r="HUP142" s="2"/>
      <c r="HUQ142" s="2"/>
      <c r="HUR142" s="2"/>
      <c r="HUS142" s="2"/>
      <c r="HUT142" s="2"/>
      <c r="HUU142" s="2"/>
      <c r="HUV142" s="2"/>
      <c r="HUW142" s="2"/>
      <c r="HUX142" s="2"/>
      <c r="HUY142" s="2"/>
      <c r="HUZ142" s="2"/>
      <c r="HVA142" s="2"/>
      <c r="HVB142" s="2"/>
      <c r="HVC142" s="2"/>
      <c r="HVD142" s="2"/>
      <c r="HVE142" s="2"/>
      <c r="HVF142" s="2"/>
      <c r="HVG142" s="2"/>
      <c r="HVH142" s="2"/>
      <c r="HVI142" s="2"/>
      <c r="HVJ142" s="2"/>
      <c r="HVK142" s="2"/>
      <c r="HVL142" s="2"/>
      <c r="HVM142" s="2"/>
      <c r="HVN142" s="2"/>
      <c r="HVO142" s="2"/>
      <c r="HVP142" s="2"/>
      <c r="HVQ142" s="2"/>
      <c r="HVR142" s="2"/>
      <c r="HVS142" s="2"/>
      <c r="HVT142" s="2"/>
      <c r="HVU142" s="2"/>
      <c r="HVV142" s="2"/>
      <c r="HVW142" s="2"/>
      <c r="HVX142" s="2"/>
      <c r="HVY142" s="2"/>
      <c r="HVZ142" s="2"/>
      <c r="HWA142" s="2"/>
      <c r="HWB142" s="2"/>
      <c r="HWC142" s="2"/>
      <c r="HWD142" s="2"/>
      <c r="HWE142" s="2"/>
      <c r="HWF142" s="2"/>
      <c r="HWG142" s="2"/>
      <c r="HWH142" s="2"/>
      <c r="HWI142" s="2"/>
      <c r="HWJ142" s="2"/>
      <c r="HWK142" s="2"/>
      <c r="HWL142" s="2"/>
      <c r="HWM142" s="2"/>
      <c r="HWN142" s="2"/>
      <c r="HWO142" s="2"/>
      <c r="HWP142" s="2"/>
      <c r="HWQ142" s="2"/>
      <c r="HWR142" s="2"/>
      <c r="HWS142" s="2"/>
      <c r="HWT142" s="2"/>
      <c r="HWU142" s="2"/>
      <c r="HWV142" s="2"/>
      <c r="HWW142" s="2"/>
      <c r="HWX142" s="2"/>
      <c r="HWY142" s="2"/>
      <c r="HWZ142" s="2"/>
      <c r="HXA142" s="2"/>
      <c r="HXB142" s="2"/>
      <c r="HXC142" s="2"/>
      <c r="HXD142" s="2"/>
      <c r="HXE142" s="2"/>
      <c r="HXF142" s="2"/>
      <c r="HXG142" s="2"/>
      <c r="HXH142" s="2"/>
      <c r="HXI142" s="2"/>
      <c r="HXJ142" s="2"/>
      <c r="HXK142" s="2"/>
      <c r="HXL142" s="2"/>
      <c r="HXM142" s="2"/>
      <c r="HXN142" s="2"/>
      <c r="HXO142" s="2"/>
      <c r="HXP142" s="2"/>
      <c r="HXQ142" s="2"/>
      <c r="HXR142" s="2"/>
      <c r="HXS142" s="2"/>
      <c r="HXT142" s="2"/>
      <c r="HXU142" s="2"/>
      <c r="HXV142" s="2"/>
      <c r="HXW142" s="2"/>
      <c r="HXX142" s="2"/>
      <c r="HXY142" s="2"/>
      <c r="HXZ142" s="2"/>
      <c r="HYA142" s="2"/>
      <c r="HYB142" s="2"/>
      <c r="HYC142" s="2"/>
      <c r="HYD142" s="2"/>
      <c r="HYE142" s="2"/>
      <c r="HYF142" s="2"/>
      <c r="HYG142" s="2"/>
      <c r="HYH142" s="2"/>
      <c r="HYI142" s="2"/>
      <c r="HYJ142" s="2"/>
      <c r="HYK142" s="2"/>
      <c r="HYL142" s="2"/>
      <c r="HYM142" s="2"/>
      <c r="HYN142" s="2"/>
      <c r="HYO142" s="2"/>
      <c r="HYP142" s="2"/>
      <c r="HYQ142" s="2"/>
      <c r="HYR142" s="2"/>
      <c r="HYS142" s="2"/>
      <c r="HYT142" s="2"/>
      <c r="HYU142" s="2"/>
      <c r="HYV142" s="2"/>
      <c r="HYW142" s="2"/>
      <c r="HYX142" s="2"/>
      <c r="HYY142" s="2"/>
      <c r="HYZ142" s="2"/>
      <c r="HZA142" s="2"/>
      <c r="HZB142" s="2"/>
      <c r="HZC142" s="2"/>
      <c r="HZD142" s="2"/>
      <c r="HZE142" s="2"/>
      <c r="HZF142" s="2"/>
      <c r="HZG142" s="2"/>
      <c r="HZH142" s="2"/>
      <c r="HZI142" s="2"/>
      <c r="HZJ142" s="2"/>
      <c r="HZK142" s="2"/>
      <c r="HZL142" s="2"/>
      <c r="HZM142" s="2"/>
      <c r="HZN142" s="2"/>
      <c r="HZO142" s="2"/>
      <c r="HZP142" s="2"/>
      <c r="HZQ142" s="2"/>
      <c r="HZR142" s="2"/>
      <c r="HZS142" s="2"/>
      <c r="HZT142" s="2"/>
      <c r="HZU142" s="2"/>
      <c r="HZV142" s="2"/>
      <c r="HZW142" s="2"/>
      <c r="HZX142" s="2"/>
      <c r="HZY142" s="2"/>
      <c r="HZZ142" s="2"/>
      <c r="IAA142" s="2"/>
      <c r="IAB142" s="2"/>
      <c r="IAC142" s="2"/>
      <c r="IAD142" s="2"/>
      <c r="IAE142" s="2"/>
      <c r="IAF142" s="2"/>
      <c r="IAG142" s="2"/>
      <c r="IAH142" s="2"/>
      <c r="IAI142" s="2"/>
      <c r="IAJ142" s="2"/>
      <c r="IAK142" s="2"/>
      <c r="IAL142" s="2"/>
      <c r="IAM142" s="2"/>
      <c r="IAN142" s="2"/>
      <c r="IAO142" s="2"/>
      <c r="IAP142" s="2"/>
      <c r="IAQ142" s="2"/>
      <c r="IAR142" s="2"/>
      <c r="IAS142" s="2"/>
      <c r="IAT142" s="2"/>
      <c r="IAU142" s="2"/>
      <c r="IAV142" s="2"/>
      <c r="IAW142" s="2"/>
      <c r="IAX142" s="2"/>
      <c r="IAY142" s="2"/>
      <c r="IAZ142" s="2"/>
      <c r="IBA142" s="2"/>
      <c r="IBB142" s="2"/>
      <c r="IBC142" s="2"/>
      <c r="IBD142" s="2"/>
      <c r="IBE142" s="2"/>
      <c r="IBF142" s="2"/>
      <c r="IBG142" s="2"/>
      <c r="IBH142" s="2"/>
      <c r="IBI142" s="2"/>
      <c r="IBJ142" s="2"/>
      <c r="IBK142" s="2"/>
      <c r="IBL142" s="2"/>
      <c r="IBM142" s="2"/>
      <c r="IBN142" s="2"/>
      <c r="IBO142" s="2"/>
      <c r="IBP142" s="2"/>
      <c r="IBQ142" s="2"/>
      <c r="IBR142" s="2"/>
      <c r="IBS142" s="2"/>
      <c r="IBT142" s="2"/>
      <c r="IBU142" s="2"/>
      <c r="IBV142" s="2"/>
      <c r="IBW142" s="2"/>
      <c r="IBX142" s="2"/>
      <c r="IBY142" s="2"/>
      <c r="IBZ142" s="2"/>
      <c r="ICA142" s="2"/>
      <c r="ICB142" s="2"/>
      <c r="ICC142" s="2"/>
      <c r="ICD142" s="2"/>
      <c r="ICE142" s="2"/>
      <c r="ICF142" s="2"/>
      <c r="ICG142" s="2"/>
      <c r="ICH142" s="2"/>
      <c r="ICI142" s="2"/>
      <c r="ICJ142" s="2"/>
      <c r="ICK142" s="2"/>
      <c r="ICL142" s="2"/>
      <c r="ICM142" s="2"/>
      <c r="ICN142" s="2"/>
      <c r="ICO142" s="2"/>
      <c r="ICP142" s="2"/>
      <c r="ICQ142" s="2"/>
      <c r="ICR142" s="2"/>
      <c r="ICS142" s="2"/>
      <c r="ICT142" s="2"/>
      <c r="ICU142" s="2"/>
      <c r="ICV142" s="2"/>
      <c r="ICW142" s="2"/>
      <c r="ICX142" s="2"/>
      <c r="ICY142" s="2"/>
      <c r="ICZ142" s="2"/>
      <c r="IDA142" s="2"/>
      <c r="IDB142" s="2"/>
      <c r="IDC142" s="2"/>
      <c r="IDD142" s="2"/>
      <c r="IDE142" s="2"/>
      <c r="IDF142" s="2"/>
      <c r="IDG142" s="2"/>
      <c r="IDH142" s="2"/>
      <c r="IDI142" s="2"/>
      <c r="IDJ142" s="2"/>
      <c r="IDK142" s="2"/>
      <c r="IDL142" s="2"/>
      <c r="IDM142" s="2"/>
      <c r="IDN142" s="2"/>
      <c r="IDO142" s="2"/>
      <c r="IDP142" s="2"/>
      <c r="IDQ142" s="2"/>
      <c r="IDR142" s="2"/>
      <c r="IDS142" s="2"/>
      <c r="IDT142" s="2"/>
      <c r="IDU142" s="2"/>
      <c r="IDV142" s="2"/>
      <c r="IDW142" s="2"/>
      <c r="IDX142" s="2"/>
      <c r="IDY142" s="2"/>
      <c r="IDZ142" s="2"/>
      <c r="IEA142" s="2"/>
      <c r="IEB142" s="2"/>
      <c r="IEC142" s="2"/>
      <c r="IED142" s="2"/>
      <c r="IEE142" s="2"/>
      <c r="IEF142" s="2"/>
      <c r="IEG142" s="2"/>
      <c r="IEH142" s="2"/>
      <c r="IEI142" s="2"/>
      <c r="IEJ142" s="2"/>
      <c r="IEK142" s="2"/>
      <c r="IEL142" s="2"/>
      <c r="IEM142" s="2"/>
      <c r="IEN142" s="2"/>
      <c r="IEO142" s="2"/>
      <c r="IEP142" s="2"/>
      <c r="IEQ142" s="2"/>
      <c r="IER142" s="2"/>
      <c r="IES142" s="2"/>
      <c r="IET142" s="2"/>
      <c r="IEU142" s="2"/>
      <c r="IEV142" s="2"/>
      <c r="IEW142" s="2"/>
      <c r="IEX142" s="2"/>
      <c r="IEY142" s="2"/>
      <c r="IEZ142" s="2"/>
      <c r="IFA142" s="2"/>
      <c r="IFB142" s="2"/>
      <c r="IFC142" s="2"/>
      <c r="IFD142" s="2"/>
      <c r="IFE142" s="2"/>
      <c r="IFF142" s="2"/>
      <c r="IFG142" s="2"/>
      <c r="IFH142" s="2"/>
      <c r="IFI142" s="2"/>
      <c r="IFJ142" s="2"/>
      <c r="IFK142" s="2"/>
      <c r="IFL142" s="2"/>
      <c r="IFM142" s="2"/>
      <c r="IFN142" s="2"/>
      <c r="IFO142" s="2"/>
      <c r="IFP142" s="2"/>
      <c r="IFQ142" s="2"/>
      <c r="IFR142" s="2"/>
      <c r="IFS142" s="2"/>
      <c r="IFT142" s="2"/>
      <c r="IFU142" s="2"/>
      <c r="IFV142" s="2"/>
      <c r="IFW142" s="2"/>
      <c r="IFX142" s="2"/>
      <c r="IFY142" s="2"/>
      <c r="IFZ142" s="2"/>
      <c r="IGA142" s="2"/>
      <c r="IGB142" s="2"/>
      <c r="IGC142" s="2"/>
      <c r="IGD142" s="2"/>
      <c r="IGE142" s="2"/>
      <c r="IGF142" s="2"/>
      <c r="IGG142" s="2"/>
      <c r="IGH142" s="2"/>
      <c r="IGI142" s="2"/>
      <c r="IGJ142" s="2"/>
      <c r="IGK142" s="2"/>
      <c r="IGL142" s="2"/>
      <c r="IGM142" s="2"/>
      <c r="IGN142" s="2"/>
      <c r="IGO142" s="2"/>
      <c r="IGP142" s="2"/>
      <c r="IGQ142" s="2"/>
      <c r="IGR142" s="2"/>
      <c r="IGS142" s="2"/>
      <c r="IGT142" s="2"/>
      <c r="IGU142" s="2"/>
      <c r="IGV142" s="2"/>
      <c r="IGW142" s="2"/>
      <c r="IGX142" s="2"/>
      <c r="IGY142" s="2"/>
      <c r="IGZ142" s="2"/>
      <c r="IHA142" s="2"/>
      <c r="IHB142" s="2"/>
      <c r="IHC142" s="2"/>
      <c r="IHD142" s="2"/>
      <c r="IHE142" s="2"/>
      <c r="IHF142" s="2"/>
      <c r="IHG142" s="2"/>
      <c r="IHH142" s="2"/>
      <c r="IHI142" s="2"/>
      <c r="IHJ142" s="2"/>
      <c r="IHK142" s="2"/>
      <c r="IHL142" s="2"/>
      <c r="IHM142" s="2"/>
      <c r="IHN142" s="2"/>
      <c r="IHO142" s="2"/>
      <c r="IHP142" s="2"/>
      <c r="IHQ142" s="2"/>
      <c r="IHR142" s="2"/>
      <c r="IHS142" s="2"/>
      <c r="IHT142" s="2"/>
      <c r="IHU142" s="2"/>
      <c r="IHV142" s="2"/>
      <c r="IHW142" s="2"/>
      <c r="IHX142" s="2"/>
      <c r="IHY142" s="2"/>
      <c r="IHZ142" s="2"/>
      <c r="IIA142" s="2"/>
      <c r="IIB142" s="2"/>
      <c r="IIC142" s="2"/>
      <c r="IID142" s="2"/>
      <c r="IIE142" s="2"/>
      <c r="IIF142" s="2"/>
      <c r="IIG142" s="2"/>
      <c r="IIH142" s="2"/>
      <c r="III142" s="2"/>
      <c r="IIJ142" s="2"/>
      <c r="IIK142" s="2"/>
      <c r="IIL142" s="2"/>
      <c r="IIM142" s="2"/>
      <c r="IIN142" s="2"/>
      <c r="IIO142" s="2"/>
      <c r="IIP142" s="2"/>
      <c r="IIQ142" s="2"/>
      <c r="IIR142" s="2"/>
      <c r="IIS142" s="2"/>
      <c r="IIT142" s="2"/>
      <c r="IIU142" s="2"/>
      <c r="IIV142" s="2"/>
      <c r="IIW142" s="2"/>
      <c r="IIX142" s="2"/>
      <c r="IIY142" s="2"/>
      <c r="IIZ142" s="2"/>
      <c r="IJA142" s="2"/>
      <c r="IJB142" s="2"/>
      <c r="IJC142" s="2"/>
      <c r="IJD142" s="2"/>
      <c r="IJE142" s="2"/>
      <c r="IJF142" s="2"/>
      <c r="IJG142" s="2"/>
      <c r="IJH142" s="2"/>
      <c r="IJI142" s="2"/>
      <c r="IJJ142" s="2"/>
      <c r="IJK142" s="2"/>
      <c r="IJL142" s="2"/>
      <c r="IJM142" s="2"/>
      <c r="IJN142" s="2"/>
      <c r="IJO142" s="2"/>
      <c r="IJP142" s="2"/>
      <c r="IJQ142" s="2"/>
      <c r="IJR142" s="2"/>
      <c r="IJS142" s="2"/>
      <c r="IJT142" s="2"/>
      <c r="IJU142" s="2"/>
      <c r="IJV142" s="2"/>
      <c r="IJW142" s="2"/>
      <c r="IJX142" s="2"/>
      <c r="IJY142" s="2"/>
      <c r="IJZ142" s="2"/>
      <c r="IKA142" s="2"/>
      <c r="IKB142" s="2"/>
      <c r="IKC142" s="2"/>
      <c r="IKD142" s="2"/>
      <c r="IKE142" s="2"/>
      <c r="IKF142" s="2"/>
      <c r="IKG142" s="2"/>
      <c r="IKH142" s="2"/>
      <c r="IKI142" s="2"/>
      <c r="IKJ142" s="2"/>
      <c r="IKK142" s="2"/>
      <c r="IKL142" s="2"/>
      <c r="IKM142" s="2"/>
      <c r="IKN142" s="2"/>
      <c r="IKO142" s="2"/>
      <c r="IKP142" s="2"/>
      <c r="IKQ142" s="2"/>
      <c r="IKR142" s="2"/>
      <c r="IKS142" s="2"/>
      <c r="IKT142" s="2"/>
      <c r="IKU142" s="2"/>
      <c r="IKV142" s="2"/>
      <c r="IKW142" s="2"/>
      <c r="IKX142" s="2"/>
      <c r="IKY142" s="2"/>
      <c r="IKZ142" s="2"/>
      <c r="ILA142" s="2"/>
      <c r="ILB142" s="2"/>
      <c r="ILC142" s="2"/>
      <c r="ILD142" s="2"/>
      <c r="ILE142" s="2"/>
      <c r="ILF142" s="2"/>
      <c r="ILG142" s="2"/>
      <c r="ILH142" s="2"/>
      <c r="ILI142" s="2"/>
      <c r="ILJ142" s="2"/>
      <c r="ILK142" s="2"/>
      <c r="ILL142" s="2"/>
      <c r="ILM142" s="2"/>
      <c r="ILN142" s="2"/>
      <c r="ILO142" s="2"/>
      <c r="ILP142" s="2"/>
      <c r="ILQ142" s="2"/>
      <c r="ILR142" s="2"/>
      <c r="ILS142" s="2"/>
      <c r="ILT142" s="2"/>
      <c r="ILU142" s="2"/>
      <c r="ILV142" s="2"/>
      <c r="ILW142" s="2"/>
      <c r="ILX142" s="2"/>
      <c r="ILY142" s="2"/>
      <c r="ILZ142" s="2"/>
      <c r="IMA142" s="2"/>
      <c r="IMB142" s="2"/>
      <c r="IMC142" s="2"/>
      <c r="IMD142" s="2"/>
      <c r="IME142" s="2"/>
      <c r="IMF142" s="2"/>
      <c r="IMG142" s="2"/>
      <c r="IMH142" s="2"/>
      <c r="IMI142" s="2"/>
      <c r="IMJ142" s="2"/>
      <c r="IMK142" s="2"/>
      <c r="IML142" s="2"/>
      <c r="IMM142" s="2"/>
      <c r="IMN142" s="2"/>
      <c r="IMO142" s="2"/>
      <c r="IMP142" s="2"/>
      <c r="IMQ142" s="2"/>
      <c r="IMR142" s="2"/>
      <c r="IMS142" s="2"/>
      <c r="IMT142" s="2"/>
      <c r="IMU142" s="2"/>
      <c r="IMV142" s="2"/>
      <c r="IMW142" s="2"/>
      <c r="IMX142" s="2"/>
      <c r="IMY142" s="2"/>
      <c r="IMZ142" s="2"/>
      <c r="INA142" s="2"/>
      <c r="INB142" s="2"/>
      <c r="INC142" s="2"/>
      <c r="IND142" s="2"/>
      <c r="INE142" s="2"/>
      <c r="INF142" s="2"/>
      <c r="ING142" s="2"/>
      <c r="INH142" s="2"/>
      <c r="INI142" s="2"/>
      <c r="INJ142" s="2"/>
      <c r="INK142" s="2"/>
      <c r="INL142" s="2"/>
      <c r="INM142" s="2"/>
      <c r="INN142" s="2"/>
      <c r="INO142" s="2"/>
      <c r="INP142" s="2"/>
      <c r="INQ142" s="2"/>
      <c r="INR142" s="2"/>
      <c r="INS142" s="2"/>
      <c r="INT142" s="2"/>
      <c r="INU142" s="2"/>
      <c r="INV142" s="2"/>
      <c r="INW142" s="2"/>
      <c r="INX142" s="2"/>
      <c r="INY142" s="2"/>
      <c r="INZ142" s="2"/>
      <c r="IOA142" s="2"/>
      <c r="IOB142" s="2"/>
      <c r="IOC142" s="2"/>
      <c r="IOD142" s="2"/>
      <c r="IOE142" s="2"/>
      <c r="IOF142" s="2"/>
      <c r="IOG142" s="2"/>
      <c r="IOH142" s="2"/>
      <c r="IOI142" s="2"/>
      <c r="IOJ142" s="2"/>
      <c r="IOK142" s="2"/>
      <c r="IOL142" s="2"/>
      <c r="IOM142" s="2"/>
      <c r="ION142" s="2"/>
      <c r="IOO142" s="2"/>
      <c r="IOP142" s="2"/>
      <c r="IOQ142" s="2"/>
      <c r="IOR142" s="2"/>
      <c r="IOS142" s="2"/>
      <c r="IOT142" s="2"/>
      <c r="IOU142" s="2"/>
      <c r="IOV142" s="2"/>
      <c r="IOW142" s="2"/>
      <c r="IOX142" s="2"/>
      <c r="IOY142" s="2"/>
      <c r="IOZ142" s="2"/>
      <c r="IPA142" s="2"/>
      <c r="IPB142" s="2"/>
      <c r="IPC142" s="2"/>
      <c r="IPD142" s="2"/>
      <c r="IPE142" s="2"/>
      <c r="IPF142" s="2"/>
      <c r="IPG142" s="2"/>
      <c r="IPH142" s="2"/>
      <c r="IPI142" s="2"/>
      <c r="IPJ142" s="2"/>
      <c r="IPK142" s="2"/>
      <c r="IPL142" s="2"/>
      <c r="IPM142" s="2"/>
      <c r="IPN142" s="2"/>
      <c r="IPO142" s="2"/>
      <c r="IPP142" s="2"/>
      <c r="IPQ142" s="2"/>
      <c r="IPR142" s="2"/>
      <c r="IPS142" s="2"/>
      <c r="IPT142" s="2"/>
      <c r="IPU142" s="2"/>
      <c r="IPV142" s="2"/>
      <c r="IPW142" s="2"/>
      <c r="IPX142" s="2"/>
      <c r="IPY142" s="2"/>
      <c r="IPZ142" s="2"/>
      <c r="IQA142" s="2"/>
      <c r="IQB142" s="2"/>
      <c r="IQC142" s="2"/>
      <c r="IQD142" s="2"/>
      <c r="IQE142" s="2"/>
      <c r="IQF142" s="2"/>
      <c r="IQG142" s="2"/>
      <c r="IQH142" s="2"/>
      <c r="IQI142" s="2"/>
      <c r="IQJ142" s="2"/>
      <c r="IQK142" s="2"/>
      <c r="IQL142" s="2"/>
      <c r="IQM142" s="2"/>
      <c r="IQN142" s="2"/>
      <c r="IQO142" s="2"/>
      <c r="IQP142" s="2"/>
      <c r="IQQ142" s="2"/>
      <c r="IQR142" s="2"/>
      <c r="IQS142" s="2"/>
      <c r="IQT142" s="2"/>
      <c r="IQU142" s="2"/>
      <c r="IQV142" s="2"/>
      <c r="IQW142" s="2"/>
      <c r="IQX142" s="2"/>
      <c r="IQY142" s="2"/>
      <c r="IQZ142" s="2"/>
      <c r="IRA142" s="2"/>
      <c r="IRB142" s="2"/>
      <c r="IRC142" s="2"/>
      <c r="IRD142" s="2"/>
      <c r="IRE142" s="2"/>
      <c r="IRF142" s="2"/>
      <c r="IRG142" s="2"/>
      <c r="IRH142" s="2"/>
      <c r="IRI142" s="2"/>
      <c r="IRJ142" s="2"/>
      <c r="IRK142" s="2"/>
      <c r="IRL142" s="2"/>
      <c r="IRM142" s="2"/>
      <c r="IRN142" s="2"/>
      <c r="IRO142" s="2"/>
      <c r="IRP142" s="2"/>
      <c r="IRQ142" s="2"/>
      <c r="IRR142" s="2"/>
      <c r="IRS142" s="2"/>
      <c r="IRT142" s="2"/>
      <c r="IRU142" s="2"/>
      <c r="IRV142" s="2"/>
      <c r="IRW142" s="2"/>
      <c r="IRX142" s="2"/>
      <c r="IRY142" s="2"/>
      <c r="IRZ142" s="2"/>
      <c r="ISA142" s="2"/>
      <c r="ISB142" s="2"/>
      <c r="ISC142" s="2"/>
      <c r="ISD142" s="2"/>
      <c r="ISE142" s="2"/>
      <c r="ISF142" s="2"/>
      <c r="ISG142" s="2"/>
      <c r="ISH142" s="2"/>
      <c r="ISI142" s="2"/>
      <c r="ISJ142" s="2"/>
      <c r="ISK142" s="2"/>
      <c r="ISL142" s="2"/>
      <c r="ISM142" s="2"/>
      <c r="ISN142" s="2"/>
      <c r="ISO142" s="2"/>
      <c r="ISP142" s="2"/>
      <c r="ISQ142" s="2"/>
      <c r="ISR142" s="2"/>
      <c r="ISS142" s="2"/>
      <c r="IST142" s="2"/>
      <c r="ISU142" s="2"/>
      <c r="ISV142" s="2"/>
      <c r="ISW142" s="2"/>
      <c r="ISX142" s="2"/>
      <c r="ISY142" s="2"/>
      <c r="ISZ142" s="2"/>
      <c r="ITA142" s="2"/>
      <c r="ITB142" s="2"/>
      <c r="ITC142" s="2"/>
      <c r="ITD142" s="2"/>
      <c r="ITE142" s="2"/>
      <c r="ITF142" s="2"/>
      <c r="ITG142" s="2"/>
      <c r="ITH142" s="2"/>
      <c r="ITI142" s="2"/>
      <c r="ITJ142" s="2"/>
      <c r="ITK142" s="2"/>
      <c r="ITL142" s="2"/>
      <c r="ITM142" s="2"/>
      <c r="ITN142" s="2"/>
      <c r="ITO142" s="2"/>
      <c r="ITP142" s="2"/>
      <c r="ITQ142" s="2"/>
      <c r="ITR142" s="2"/>
      <c r="ITS142" s="2"/>
      <c r="ITT142" s="2"/>
      <c r="ITU142" s="2"/>
      <c r="ITV142" s="2"/>
      <c r="ITW142" s="2"/>
      <c r="ITX142" s="2"/>
      <c r="ITY142" s="2"/>
      <c r="ITZ142" s="2"/>
      <c r="IUA142" s="2"/>
      <c r="IUB142" s="2"/>
      <c r="IUC142" s="2"/>
      <c r="IUD142" s="2"/>
      <c r="IUE142" s="2"/>
      <c r="IUF142" s="2"/>
      <c r="IUG142" s="2"/>
      <c r="IUH142" s="2"/>
      <c r="IUI142" s="2"/>
      <c r="IUJ142" s="2"/>
      <c r="IUK142" s="2"/>
      <c r="IUL142" s="2"/>
      <c r="IUM142" s="2"/>
      <c r="IUN142" s="2"/>
      <c r="IUO142" s="2"/>
      <c r="IUP142" s="2"/>
      <c r="IUQ142" s="2"/>
      <c r="IUR142" s="2"/>
      <c r="IUS142" s="2"/>
      <c r="IUT142" s="2"/>
      <c r="IUU142" s="2"/>
      <c r="IUV142" s="2"/>
      <c r="IUW142" s="2"/>
      <c r="IUX142" s="2"/>
      <c r="IUY142" s="2"/>
      <c r="IUZ142" s="2"/>
      <c r="IVA142" s="2"/>
      <c r="IVB142" s="2"/>
      <c r="IVC142" s="2"/>
      <c r="IVD142" s="2"/>
      <c r="IVE142" s="2"/>
      <c r="IVF142" s="2"/>
      <c r="IVG142" s="2"/>
      <c r="IVH142" s="2"/>
      <c r="IVI142" s="2"/>
      <c r="IVJ142" s="2"/>
      <c r="IVK142" s="2"/>
      <c r="IVL142" s="2"/>
      <c r="IVM142" s="2"/>
      <c r="IVN142" s="2"/>
      <c r="IVO142" s="2"/>
      <c r="IVP142" s="2"/>
      <c r="IVQ142" s="2"/>
      <c r="IVR142" s="2"/>
      <c r="IVS142" s="2"/>
      <c r="IVT142" s="2"/>
      <c r="IVU142" s="2"/>
      <c r="IVV142" s="2"/>
      <c r="IVW142" s="2"/>
      <c r="IVX142" s="2"/>
      <c r="IVY142" s="2"/>
      <c r="IVZ142" s="2"/>
      <c r="IWA142" s="2"/>
      <c r="IWB142" s="2"/>
      <c r="IWC142" s="2"/>
      <c r="IWD142" s="2"/>
      <c r="IWE142" s="2"/>
      <c r="IWF142" s="2"/>
      <c r="IWG142" s="2"/>
      <c r="IWH142" s="2"/>
      <c r="IWI142" s="2"/>
      <c r="IWJ142" s="2"/>
      <c r="IWK142" s="2"/>
      <c r="IWL142" s="2"/>
      <c r="IWM142" s="2"/>
      <c r="IWN142" s="2"/>
      <c r="IWO142" s="2"/>
      <c r="IWP142" s="2"/>
      <c r="IWQ142" s="2"/>
      <c r="IWR142" s="2"/>
      <c r="IWS142" s="2"/>
      <c r="IWT142" s="2"/>
      <c r="IWU142" s="2"/>
      <c r="IWV142" s="2"/>
      <c r="IWW142" s="2"/>
      <c r="IWX142" s="2"/>
      <c r="IWY142" s="2"/>
      <c r="IWZ142" s="2"/>
      <c r="IXA142" s="2"/>
      <c r="IXB142" s="2"/>
      <c r="IXC142" s="2"/>
      <c r="IXD142" s="2"/>
      <c r="IXE142" s="2"/>
      <c r="IXF142" s="2"/>
      <c r="IXG142" s="2"/>
      <c r="IXH142" s="2"/>
      <c r="IXI142" s="2"/>
      <c r="IXJ142" s="2"/>
      <c r="IXK142" s="2"/>
      <c r="IXL142" s="2"/>
      <c r="IXM142" s="2"/>
      <c r="IXN142" s="2"/>
      <c r="IXO142" s="2"/>
      <c r="IXP142" s="2"/>
      <c r="IXQ142" s="2"/>
      <c r="IXR142" s="2"/>
      <c r="IXS142" s="2"/>
      <c r="IXT142" s="2"/>
      <c r="IXU142" s="2"/>
      <c r="IXV142" s="2"/>
      <c r="IXW142" s="2"/>
      <c r="IXX142" s="2"/>
      <c r="IXY142" s="2"/>
      <c r="IXZ142" s="2"/>
      <c r="IYA142" s="2"/>
      <c r="IYB142" s="2"/>
      <c r="IYC142" s="2"/>
      <c r="IYD142" s="2"/>
      <c r="IYE142" s="2"/>
      <c r="IYF142" s="2"/>
      <c r="IYG142" s="2"/>
      <c r="IYH142" s="2"/>
      <c r="IYI142" s="2"/>
      <c r="IYJ142" s="2"/>
      <c r="IYK142" s="2"/>
      <c r="IYL142" s="2"/>
      <c r="IYM142" s="2"/>
      <c r="IYN142" s="2"/>
      <c r="IYO142" s="2"/>
      <c r="IYP142" s="2"/>
      <c r="IYQ142" s="2"/>
      <c r="IYR142" s="2"/>
      <c r="IYS142" s="2"/>
      <c r="IYT142" s="2"/>
      <c r="IYU142" s="2"/>
      <c r="IYV142" s="2"/>
      <c r="IYW142" s="2"/>
      <c r="IYX142" s="2"/>
      <c r="IYY142" s="2"/>
      <c r="IYZ142" s="2"/>
      <c r="IZA142" s="2"/>
      <c r="IZB142" s="2"/>
      <c r="IZC142" s="2"/>
      <c r="IZD142" s="2"/>
      <c r="IZE142" s="2"/>
      <c r="IZF142" s="2"/>
      <c r="IZG142" s="2"/>
      <c r="IZH142" s="2"/>
      <c r="IZI142" s="2"/>
      <c r="IZJ142" s="2"/>
      <c r="IZK142" s="2"/>
      <c r="IZL142" s="2"/>
      <c r="IZM142" s="2"/>
      <c r="IZN142" s="2"/>
      <c r="IZO142" s="2"/>
      <c r="IZP142" s="2"/>
      <c r="IZQ142" s="2"/>
      <c r="IZR142" s="2"/>
      <c r="IZS142" s="2"/>
      <c r="IZT142" s="2"/>
      <c r="IZU142" s="2"/>
      <c r="IZV142" s="2"/>
      <c r="IZW142" s="2"/>
      <c r="IZX142" s="2"/>
      <c r="IZY142" s="2"/>
      <c r="IZZ142" s="2"/>
      <c r="JAA142" s="2"/>
      <c r="JAB142" s="2"/>
      <c r="JAC142" s="2"/>
      <c r="JAD142" s="2"/>
      <c r="JAE142" s="2"/>
      <c r="JAF142" s="2"/>
      <c r="JAG142" s="2"/>
      <c r="JAH142" s="2"/>
      <c r="JAI142" s="2"/>
      <c r="JAJ142" s="2"/>
      <c r="JAK142" s="2"/>
      <c r="JAL142" s="2"/>
      <c r="JAM142" s="2"/>
      <c r="JAN142" s="2"/>
      <c r="JAO142" s="2"/>
      <c r="JAP142" s="2"/>
      <c r="JAQ142" s="2"/>
      <c r="JAR142" s="2"/>
      <c r="JAS142" s="2"/>
      <c r="JAT142" s="2"/>
      <c r="JAU142" s="2"/>
      <c r="JAV142" s="2"/>
      <c r="JAW142" s="2"/>
      <c r="JAX142" s="2"/>
      <c r="JAY142" s="2"/>
      <c r="JAZ142" s="2"/>
      <c r="JBA142" s="2"/>
      <c r="JBB142" s="2"/>
      <c r="JBC142" s="2"/>
      <c r="JBD142" s="2"/>
      <c r="JBE142" s="2"/>
      <c r="JBF142" s="2"/>
      <c r="JBG142" s="2"/>
      <c r="JBH142" s="2"/>
      <c r="JBI142" s="2"/>
      <c r="JBJ142" s="2"/>
      <c r="JBK142" s="2"/>
      <c r="JBL142" s="2"/>
      <c r="JBM142" s="2"/>
      <c r="JBN142" s="2"/>
      <c r="JBO142" s="2"/>
      <c r="JBP142" s="2"/>
      <c r="JBQ142" s="2"/>
      <c r="JBR142" s="2"/>
      <c r="JBS142" s="2"/>
      <c r="JBT142" s="2"/>
      <c r="JBU142" s="2"/>
      <c r="JBV142" s="2"/>
      <c r="JBW142" s="2"/>
      <c r="JBX142" s="2"/>
      <c r="JBY142" s="2"/>
      <c r="JBZ142" s="2"/>
      <c r="JCA142" s="2"/>
      <c r="JCB142" s="2"/>
      <c r="JCC142" s="2"/>
      <c r="JCD142" s="2"/>
      <c r="JCE142" s="2"/>
      <c r="JCF142" s="2"/>
      <c r="JCG142" s="2"/>
      <c r="JCH142" s="2"/>
      <c r="JCI142" s="2"/>
      <c r="JCJ142" s="2"/>
      <c r="JCK142" s="2"/>
      <c r="JCL142" s="2"/>
      <c r="JCM142" s="2"/>
      <c r="JCN142" s="2"/>
      <c r="JCO142" s="2"/>
      <c r="JCP142" s="2"/>
      <c r="JCQ142" s="2"/>
      <c r="JCR142" s="2"/>
      <c r="JCS142" s="2"/>
      <c r="JCT142" s="2"/>
      <c r="JCU142" s="2"/>
      <c r="JCV142" s="2"/>
      <c r="JCW142" s="2"/>
      <c r="JCX142" s="2"/>
      <c r="JCY142" s="2"/>
      <c r="JCZ142" s="2"/>
      <c r="JDA142" s="2"/>
      <c r="JDB142" s="2"/>
      <c r="JDC142" s="2"/>
      <c r="JDD142" s="2"/>
      <c r="JDE142" s="2"/>
      <c r="JDF142" s="2"/>
      <c r="JDG142" s="2"/>
      <c r="JDH142" s="2"/>
      <c r="JDI142" s="2"/>
      <c r="JDJ142" s="2"/>
      <c r="JDK142" s="2"/>
      <c r="JDL142" s="2"/>
      <c r="JDM142" s="2"/>
      <c r="JDN142" s="2"/>
      <c r="JDO142" s="2"/>
      <c r="JDP142" s="2"/>
      <c r="JDQ142" s="2"/>
      <c r="JDR142" s="2"/>
      <c r="JDS142" s="2"/>
      <c r="JDT142" s="2"/>
      <c r="JDU142" s="2"/>
      <c r="JDV142" s="2"/>
      <c r="JDW142" s="2"/>
      <c r="JDX142" s="2"/>
      <c r="JDY142" s="2"/>
      <c r="JDZ142" s="2"/>
      <c r="JEA142" s="2"/>
      <c r="JEB142" s="2"/>
      <c r="JEC142" s="2"/>
      <c r="JED142" s="2"/>
      <c r="JEE142" s="2"/>
      <c r="JEF142" s="2"/>
      <c r="JEG142" s="2"/>
      <c r="JEH142" s="2"/>
      <c r="JEI142" s="2"/>
      <c r="JEJ142" s="2"/>
      <c r="JEK142" s="2"/>
      <c r="JEL142" s="2"/>
      <c r="JEM142" s="2"/>
      <c r="JEN142" s="2"/>
      <c r="JEO142" s="2"/>
      <c r="JEP142" s="2"/>
      <c r="JEQ142" s="2"/>
      <c r="JER142" s="2"/>
      <c r="JES142" s="2"/>
      <c r="JET142" s="2"/>
      <c r="JEU142" s="2"/>
      <c r="JEV142" s="2"/>
      <c r="JEW142" s="2"/>
      <c r="JEX142" s="2"/>
      <c r="JEY142" s="2"/>
      <c r="JEZ142" s="2"/>
      <c r="JFA142" s="2"/>
      <c r="JFB142" s="2"/>
      <c r="JFC142" s="2"/>
      <c r="JFD142" s="2"/>
      <c r="JFE142" s="2"/>
      <c r="JFF142" s="2"/>
      <c r="JFG142" s="2"/>
      <c r="JFH142" s="2"/>
      <c r="JFI142" s="2"/>
      <c r="JFJ142" s="2"/>
      <c r="JFK142" s="2"/>
      <c r="JFL142" s="2"/>
      <c r="JFM142" s="2"/>
      <c r="JFN142" s="2"/>
      <c r="JFO142" s="2"/>
      <c r="JFP142" s="2"/>
      <c r="JFQ142" s="2"/>
      <c r="JFR142" s="2"/>
      <c r="JFS142" s="2"/>
      <c r="JFT142" s="2"/>
      <c r="JFU142" s="2"/>
      <c r="JFV142" s="2"/>
      <c r="JFW142" s="2"/>
      <c r="JFX142" s="2"/>
      <c r="JFY142" s="2"/>
      <c r="JFZ142" s="2"/>
      <c r="JGA142" s="2"/>
      <c r="JGB142" s="2"/>
      <c r="JGC142" s="2"/>
      <c r="JGD142" s="2"/>
      <c r="JGE142" s="2"/>
      <c r="JGF142" s="2"/>
      <c r="JGG142" s="2"/>
      <c r="JGH142" s="2"/>
      <c r="JGI142" s="2"/>
      <c r="JGJ142" s="2"/>
      <c r="JGK142" s="2"/>
      <c r="JGL142" s="2"/>
      <c r="JGM142" s="2"/>
      <c r="JGN142" s="2"/>
      <c r="JGO142" s="2"/>
      <c r="JGP142" s="2"/>
      <c r="JGQ142" s="2"/>
      <c r="JGR142" s="2"/>
      <c r="JGS142" s="2"/>
      <c r="JGT142" s="2"/>
      <c r="JGU142" s="2"/>
      <c r="JGV142" s="2"/>
      <c r="JGW142" s="2"/>
      <c r="JGX142" s="2"/>
      <c r="JGY142" s="2"/>
      <c r="JGZ142" s="2"/>
      <c r="JHA142" s="2"/>
      <c r="JHB142" s="2"/>
      <c r="JHC142" s="2"/>
      <c r="JHD142" s="2"/>
      <c r="JHE142" s="2"/>
      <c r="JHF142" s="2"/>
      <c r="JHG142" s="2"/>
      <c r="JHH142" s="2"/>
      <c r="JHI142" s="2"/>
      <c r="JHJ142" s="2"/>
      <c r="JHK142" s="2"/>
      <c r="JHL142" s="2"/>
      <c r="JHM142" s="2"/>
      <c r="JHN142" s="2"/>
      <c r="JHO142" s="2"/>
      <c r="JHP142" s="2"/>
      <c r="JHQ142" s="2"/>
      <c r="JHR142" s="2"/>
      <c r="JHS142" s="2"/>
      <c r="JHT142" s="2"/>
      <c r="JHU142" s="2"/>
      <c r="JHV142" s="2"/>
      <c r="JHW142" s="2"/>
      <c r="JHX142" s="2"/>
      <c r="JHY142" s="2"/>
      <c r="JHZ142" s="2"/>
      <c r="JIA142" s="2"/>
      <c r="JIB142" s="2"/>
      <c r="JIC142" s="2"/>
      <c r="JID142" s="2"/>
      <c r="JIE142" s="2"/>
      <c r="JIF142" s="2"/>
      <c r="JIG142" s="2"/>
      <c r="JIH142" s="2"/>
      <c r="JII142" s="2"/>
      <c r="JIJ142" s="2"/>
      <c r="JIK142" s="2"/>
      <c r="JIL142" s="2"/>
      <c r="JIM142" s="2"/>
      <c r="JIN142" s="2"/>
      <c r="JIO142" s="2"/>
      <c r="JIP142" s="2"/>
      <c r="JIQ142" s="2"/>
      <c r="JIR142" s="2"/>
      <c r="JIS142" s="2"/>
      <c r="JIT142" s="2"/>
      <c r="JIU142" s="2"/>
      <c r="JIV142" s="2"/>
      <c r="JIW142" s="2"/>
      <c r="JIX142" s="2"/>
      <c r="JIY142" s="2"/>
      <c r="JIZ142" s="2"/>
      <c r="JJA142" s="2"/>
      <c r="JJB142" s="2"/>
      <c r="JJC142" s="2"/>
      <c r="JJD142" s="2"/>
      <c r="JJE142" s="2"/>
      <c r="JJF142" s="2"/>
      <c r="JJG142" s="2"/>
      <c r="JJH142" s="2"/>
      <c r="JJI142" s="2"/>
      <c r="JJJ142" s="2"/>
      <c r="JJK142" s="2"/>
      <c r="JJL142" s="2"/>
      <c r="JJM142" s="2"/>
      <c r="JJN142" s="2"/>
      <c r="JJO142" s="2"/>
      <c r="JJP142" s="2"/>
      <c r="JJQ142" s="2"/>
      <c r="JJR142" s="2"/>
      <c r="JJS142" s="2"/>
      <c r="JJT142" s="2"/>
      <c r="JJU142" s="2"/>
      <c r="JJV142" s="2"/>
      <c r="JJW142" s="2"/>
      <c r="JJX142" s="2"/>
      <c r="JJY142" s="2"/>
      <c r="JJZ142" s="2"/>
      <c r="JKA142" s="2"/>
      <c r="JKB142" s="2"/>
      <c r="JKC142" s="2"/>
      <c r="JKD142" s="2"/>
      <c r="JKE142" s="2"/>
      <c r="JKF142" s="2"/>
      <c r="JKG142" s="2"/>
      <c r="JKH142" s="2"/>
      <c r="JKI142" s="2"/>
      <c r="JKJ142" s="2"/>
      <c r="JKK142" s="2"/>
      <c r="JKL142" s="2"/>
      <c r="JKM142" s="2"/>
      <c r="JKN142" s="2"/>
      <c r="JKO142" s="2"/>
      <c r="JKP142" s="2"/>
      <c r="JKQ142" s="2"/>
      <c r="JKR142" s="2"/>
      <c r="JKS142" s="2"/>
      <c r="JKT142" s="2"/>
      <c r="JKU142" s="2"/>
      <c r="JKV142" s="2"/>
      <c r="JKW142" s="2"/>
      <c r="JKX142" s="2"/>
      <c r="JKY142" s="2"/>
      <c r="JKZ142" s="2"/>
      <c r="JLA142" s="2"/>
      <c r="JLB142" s="2"/>
      <c r="JLC142" s="2"/>
      <c r="JLD142" s="2"/>
      <c r="JLE142" s="2"/>
      <c r="JLF142" s="2"/>
      <c r="JLG142" s="2"/>
      <c r="JLH142" s="2"/>
      <c r="JLI142" s="2"/>
      <c r="JLJ142" s="2"/>
      <c r="JLK142" s="2"/>
      <c r="JLL142" s="2"/>
      <c r="JLM142" s="2"/>
      <c r="JLN142" s="2"/>
      <c r="JLO142" s="2"/>
      <c r="JLP142" s="2"/>
      <c r="JLQ142" s="2"/>
      <c r="JLR142" s="2"/>
      <c r="JLS142" s="2"/>
      <c r="JLT142" s="2"/>
      <c r="JLU142" s="2"/>
      <c r="JLV142" s="2"/>
      <c r="JLW142" s="2"/>
      <c r="JLX142" s="2"/>
      <c r="JLY142" s="2"/>
      <c r="JLZ142" s="2"/>
      <c r="JMA142" s="2"/>
      <c r="JMB142" s="2"/>
      <c r="JMC142" s="2"/>
      <c r="JMD142" s="2"/>
      <c r="JME142" s="2"/>
      <c r="JMF142" s="2"/>
      <c r="JMG142" s="2"/>
      <c r="JMH142" s="2"/>
      <c r="JMI142" s="2"/>
      <c r="JMJ142" s="2"/>
      <c r="JMK142" s="2"/>
      <c r="JML142" s="2"/>
      <c r="JMM142" s="2"/>
      <c r="JMN142" s="2"/>
      <c r="JMO142" s="2"/>
      <c r="JMP142" s="2"/>
      <c r="JMQ142" s="2"/>
      <c r="JMR142" s="2"/>
      <c r="JMS142" s="2"/>
      <c r="JMT142" s="2"/>
      <c r="JMU142" s="2"/>
      <c r="JMV142" s="2"/>
      <c r="JMW142" s="2"/>
      <c r="JMX142" s="2"/>
      <c r="JMY142" s="2"/>
      <c r="JMZ142" s="2"/>
      <c r="JNA142" s="2"/>
      <c r="JNB142" s="2"/>
      <c r="JNC142" s="2"/>
      <c r="JND142" s="2"/>
      <c r="JNE142" s="2"/>
      <c r="JNF142" s="2"/>
      <c r="JNG142" s="2"/>
      <c r="JNH142" s="2"/>
      <c r="JNI142" s="2"/>
      <c r="JNJ142" s="2"/>
      <c r="JNK142" s="2"/>
      <c r="JNL142" s="2"/>
      <c r="JNM142" s="2"/>
      <c r="JNN142" s="2"/>
      <c r="JNO142" s="2"/>
      <c r="JNP142" s="2"/>
      <c r="JNQ142" s="2"/>
      <c r="JNR142" s="2"/>
      <c r="JNS142" s="2"/>
      <c r="JNT142" s="2"/>
      <c r="JNU142" s="2"/>
      <c r="JNV142" s="2"/>
      <c r="JNW142" s="2"/>
      <c r="JNX142" s="2"/>
      <c r="JNY142" s="2"/>
      <c r="JNZ142" s="2"/>
      <c r="JOA142" s="2"/>
      <c r="JOB142" s="2"/>
      <c r="JOC142" s="2"/>
      <c r="JOD142" s="2"/>
      <c r="JOE142" s="2"/>
      <c r="JOF142" s="2"/>
      <c r="JOG142" s="2"/>
      <c r="JOH142" s="2"/>
      <c r="JOI142" s="2"/>
      <c r="JOJ142" s="2"/>
      <c r="JOK142" s="2"/>
      <c r="JOL142" s="2"/>
      <c r="JOM142" s="2"/>
      <c r="JON142" s="2"/>
      <c r="JOO142" s="2"/>
      <c r="JOP142" s="2"/>
      <c r="JOQ142" s="2"/>
      <c r="JOR142" s="2"/>
      <c r="JOS142" s="2"/>
      <c r="JOT142" s="2"/>
      <c r="JOU142" s="2"/>
      <c r="JOV142" s="2"/>
      <c r="JOW142" s="2"/>
      <c r="JOX142" s="2"/>
      <c r="JOY142" s="2"/>
      <c r="JOZ142" s="2"/>
      <c r="JPA142" s="2"/>
      <c r="JPB142" s="2"/>
      <c r="JPC142" s="2"/>
      <c r="JPD142" s="2"/>
      <c r="JPE142" s="2"/>
      <c r="JPF142" s="2"/>
      <c r="JPG142" s="2"/>
      <c r="JPH142" s="2"/>
      <c r="JPI142" s="2"/>
      <c r="JPJ142" s="2"/>
      <c r="JPK142" s="2"/>
      <c r="JPL142" s="2"/>
      <c r="JPM142" s="2"/>
      <c r="JPN142" s="2"/>
      <c r="JPO142" s="2"/>
      <c r="JPP142" s="2"/>
      <c r="JPQ142" s="2"/>
      <c r="JPR142" s="2"/>
      <c r="JPS142" s="2"/>
      <c r="JPT142" s="2"/>
      <c r="JPU142" s="2"/>
      <c r="JPV142" s="2"/>
      <c r="JPW142" s="2"/>
      <c r="JPX142" s="2"/>
      <c r="JPY142" s="2"/>
      <c r="JPZ142" s="2"/>
      <c r="JQA142" s="2"/>
      <c r="JQB142" s="2"/>
      <c r="JQC142" s="2"/>
      <c r="JQD142" s="2"/>
      <c r="JQE142" s="2"/>
      <c r="JQF142" s="2"/>
      <c r="JQG142" s="2"/>
      <c r="JQH142" s="2"/>
      <c r="JQI142" s="2"/>
      <c r="JQJ142" s="2"/>
      <c r="JQK142" s="2"/>
      <c r="JQL142" s="2"/>
      <c r="JQM142" s="2"/>
      <c r="JQN142" s="2"/>
      <c r="JQO142" s="2"/>
      <c r="JQP142" s="2"/>
      <c r="JQQ142" s="2"/>
      <c r="JQR142" s="2"/>
      <c r="JQS142" s="2"/>
      <c r="JQT142" s="2"/>
      <c r="JQU142" s="2"/>
      <c r="JQV142" s="2"/>
      <c r="JQW142" s="2"/>
      <c r="JQX142" s="2"/>
      <c r="JQY142" s="2"/>
      <c r="JQZ142" s="2"/>
      <c r="JRA142" s="2"/>
      <c r="JRB142" s="2"/>
      <c r="JRC142" s="2"/>
      <c r="JRD142" s="2"/>
      <c r="JRE142" s="2"/>
      <c r="JRF142" s="2"/>
      <c r="JRG142" s="2"/>
      <c r="JRH142" s="2"/>
      <c r="JRI142" s="2"/>
      <c r="JRJ142" s="2"/>
      <c r="JRK142" s="2"/>
      <c r="JRL142" s="2"/>
      <c r="JRM142" s="2"/>
      <c r="JRN142" s="2"/>
      <c r="JRO142" s="2"/>
      <c r="JRP142" s="2"/>
      <c r="JRQ142" s="2"/>
      <c r="JRR142" s="2"/>
      <c r="JRS142" s="2"/>
      <c r="JRT142" s="2"/>
      <c r="JRU142" s="2"/>
      <c r="JRV142" s="2"/>
      <c r="JRW142" s="2"/>
      <c r="JRX142" s="2"/>
      <c r="JRY142" s="2"/>
      <c r="JRZ142" s="2"/>
      <c r="JSA142" s="2"/>
      <c r="JSB142" s="2"/>
      <c r="JSC142" s="2"/>
      <c r="JSD142" s="2"/>
      <c r="JSE142" s="2"/>
      <c r="JSF142" s="2"/>
      <c r="JSG142" s="2"/>
      <c r="JSH142" s="2"/>
      <c r="JSI142" s="2"/>
      <c r="JSJ142" s="2"/>
      <c r="JSK142" s="2"/>
      <c r="JSL142" s="2"/>
      <c r="JSM142" s="2"/>
      <c r="JSN142" s="2"/>
      <c r="JSO142" s="2"/>
      <c r="JSP142" s="2"/>
      <c r="JSQ142" s="2"/>
      <c r="JSR142" s="2"/>
      <c r="JSS142" s="2"/>
      <c r="JST142" s="2"/>
      <c r="JSU142" s="2"/>
      <c r="JSV142" s="2"/>
      <c r="JSW142" s="2"/>
      <c r="JSX142" s="2"/>
      <c r="JSY142" s="2"/>
      <c r="JSZ142" s="2"/>
      <c r="JTA142" s="2"/>
      <c r="JTB142" s="2"/>
      <c r="JTC142" s="2"/>
      <c r="JTD142" s="2"/>
      <c r="JTE142" s="2"/>
      <c r="JTF142" s="2"/>
      <c r="JTG142" s="2"/>
      <c r="JTH142" s="2"/>
      <c r="JTI142" s="2"/>
      <c r="JTJ142" s="2"/>
      <c r="JTK142" s="2"/>
      <c r="JTL142" s="2"/>
      <c r="JTM142" s="2"/>
      <c r="JTN142" s="2"/>
      <c r="JTO142" s="2"/>
      <c r="JTP142" s="2"/>
      <c r="JTQ142" s="2"/>
      <c r="JTR142" s="2"/>
      <c r="JTS142" s="2"/>
      <c r="JTT142" s="2"/>
      <c r="JTU142" s="2"/>
      <c r="JTV142" s="2"/>
      <c r="JTW142" s="2"/>
      <c r="JTX142" s="2"/>
      <c r="JTY142" s="2"/>
      <c r="JTZ142" s="2"/>
      <c r="JUA142" s="2"/>
      <c r="JUB142" s="2"/>
      <c r="JUC142" s="2"/>
      <c r="JUD142" s="2"/>
      <c r="JUE142" s="2"/>
      <c r="JUF142" s="2"/>
      <c r="JUG142" s="2"/>
      <c r="JUH142" s="2"/>
      <c r="JUI142" s="2"/>
      <c r="JUJ142" s="2"/>
      <c r="JUK142" s="2"/>
      <c r="JUL142" s="2"/>
      <c r="JUM142" s="2"/>
      <c r="JUN142" s="2"/>
      <c r="JUO142" s="2"/>
      <c r="JUP142" s="2"/>
      <c r="JUQ142" s="2"/>
      <c r="JUR142" s="2"/>
      <c r="JUS142" s="2"/>
      <c r="JUT142" s="2"/>
      <c r="JUU142" s="2"/>
      <c r="JUV142" s="2"/>
      <c r="JUW142" s="2"/>
      <c r="JUX142" s="2"/>
      <c r="JUY142" s="2"/>
      <c r="JUZ142" s="2"/>
      <c r="JVA142" s="2"/>
      <c r="JVB142" s="2"/>
      <c r="JVC142" s="2"/>
      <c r="JVD142" s="2"/>
      <c r="JVE142" s="2"/>
      <c r="JVF142" s="2"/>
      <c r="JVG142" s="2"/>
      <c r="JVH142" s="2"/>
      <c r="JVI142" s="2"/>
      <c r="JVJ142" s="2"/>
      <c r="JVK142" s="2"/>
      <c r="JVL142" s="2"/>
      <c r="JVM142" s="2"/>
      <c r="JVN142" s="2"/>
      <c r="JVO142" s="2"/>
      <c r="JVP142" s="2"/>
      <c r="JVQ142" s="2"/>
      <c r="JVR142" s="2"/>
      <c r="JVS142" s="2"/>
      <c r="JVT142" s="2"/>
      <c r="JVU142" s="2"/>
      <c r="JVV142" s="2"/>
      <c r="JVW142" s="2"/>
      <c r="JVX142" s="2"/>
      <c r="JVY142" s="2"/>
      <c r="JVZ142" s="2"/>
      <c r="JWA142" s="2"/>
      <c r="JWB142" s="2"/>
      <c r="JWC142" s="2"/>
      <c r="JWD142" s="2"/>
      <c r="JWE142" s="2"/>
      <c r="JWF142" s="2"/>
      <c r="JWG142" s="2"/>
      <c r="JWH142" s="2"/>
      <c r="JWI142" s="2"/>
      <c r="JWJ142" s="2"/>
      <c r="JWK142" s="2"/>
      <c r="JWL142" s="2"/>
      <c r="JWM142" s="2"/>
      <c r="JWN142" s="2"/>
      <c r="JWO142" s="2"/>
      <c r="JWP142" s="2"/>
      <c r="JWQ142" s="2"/>
      <c r="JWR142" s="2"/>
      <c r="JWS142" s="2"/>
      <c r="JWT142" s="2"/>
      <c r="JWU142" s="2"/>
      <c r="JWV142" s="2"/>
      <c r="JWW142" s="2"/>
      <c r="JWX142" s="2"/>
      <c r="JWY142" s="2"/>
      <c r="JWZ142" s="2"/>
      <c r="JXA142" s="2"/>
      <c r="JXB142" s="2"/>
      <c r="JXC142" s="2"/>
      <c r="JXD142" s="2"/>
      <c r="JXE142" s="2"/>
      <c r="JXF142" s="2"/>
      <c r="JXG142" s="2"/>
      <c r="JXH142" s="2"/>
      <c r="JXI142" s="2"/>
      <c r="JXJ142" s="2"/>
      <c r="JXK142" s="2"/>
      <c r="JXL142" s="2"/>
      <c r="JXM142" s="2"/>
      <c r="JXN142" s="2"/>
      <c r="JXO142" s="2"/>
      <c r="JXP142" s="2"/>
      <c r="JXQ142" s="2"/>
      <c r="JXR142" s="2"/>
      <c r="JXS142" s="2"/>
      <c r="JXT142" s="2"/>
      <c r="JXU142" s="2"/>
      <c r="JXV142" s="2"/>
      <c r="JXW142" s="2"/>
      <c r="JXX142" s="2"/>
      <c r="JXY142" s="2"/>
      <c r="JXZ142" s="2"/>
      <c r="JYA142" s="2"/>
      <c r="JYB142" s="2"/>
      <c r="JYC142" s="2"/>
      <c r="JYD142" s="2"/>
      <c r="JYE142" s="2"/>
      <c r="JYF142" s="2"/>
      <c r="JYG142" s="2"/>
      <c r="JYH142" s="2"/>
      <c r="JYI142" s="2"/>
      <c r="JYJ142" s="2"/>
      <c r="JYK142" s="2"/>
      <c r="JYL142" s="2"/>
      <c r="JYM142" s="2"/>
      <c r="JYN142" s="2"/>
      <c r="JYO142" s="2"/>
      <c r="JYP142" s="2"/>
      <c r="JYQ142" s="2"/>
      <c r="JYR142" s="2"/>
      <c r="JYS142" s="2"/>
      <c r="JYT142" s="2"/>
      <c r="JYU142" s="2"/>
      <c r="JYV142" s="2"/>
      <c r="JYW142" s="2"/>
      <c r="JYX142" s="2"/>
      <c r="JYY142" s="2"/>
      <c r="JYZ142" s="2"/>
      <c r="JZA142" s="2"/>
      <c r="JZB142" s="2"/>
      <c r="JZC142" s="2"/>
      <c r="JZD142" s="2"/>
      <c r="JZE142" s="2"/>
      <c r="JZF142" s="2"/>
      <c r="JZG142" s="2"/>
      <c r="JZH142" s="2"/>
      <c r="JZI142" s="2"/>
      <c r="JZJ142" s="2"/>
      <c r="JZK142" s="2"/>
      <c r="JZL142" s="2"/>
      <c r="JZM142" s="2"/>
      <c r="JZN142" s="2"/>
      <c r="JZO142" s="2"/>
      <c r="JZP142" s="2"/>
      <c r="JZQ142" s="2"/>
      <c r="JZR142" s="2"/>
      <c r="JZS142" s="2"/>
      <c r="JZT142" s="2"/>
      <c r="JZU142" s="2"/>
      <c r="JZV142" s="2"/>
      <c r="JZW142" s="2"/>
      <c r="JZX142" s="2"/>
      <c r="JZY142" s="2"/>
      <c r="JZZ142" s="2"/>
      <c r="KAA142" s="2"/>
      <c r="KAB142" s="2"/>
      <c r="KAC142" s="2"/>
      <c r="KAD142" s="2"/>
      <c r="KAE142" s="2"/>
      <c r="KAF142" s="2"/>
      <c r="KAG142" s="2"/>
      <c r="KAH142" s="2"/>
      <c r="KAI142" s="2"/>
      <c r="KAJ142" s="2"/>
      <c r="KAK142" s="2"/>
      <c r="KAL142" s="2"/>
      <c r="KAM142" s="2"/>
      <c r="KAN142" s="2"/>
      <c r="KAO142" s="2"/>
      <c r="KAP142" s="2"/>
      <c r="KAQ142" s="2"/>
      <c r="KAR142" s="2"/>
      <c r="KAS142" s="2"/>
      <c r="KAT142" s="2"/>
      <c r="KAU142" s="2"/>
      <c r="KAV142" s="2"/>
      <c r="KAW142" s="2"/>
      <c r="KAX142" s="2"/>
      <c r="KAY142" s="2"/>
      <c r="KAZ142" s="2"/>
      <c r="KBA142" s="2"/>
      <c r="KBB142" s="2"/>
      <c r="KBC142" s="2"/>
      <c r="KBD142" s="2"/>
      <c r="KBE142" s="2"/>
      <c r="KBF142" s="2"/>
      <c r="KBG142" s="2"/>
      <c r="KBH142" s="2"/>
      <c r="KBI142" s="2"/>
      <c r="KBJ142" s="2"/>
      <c r="KBK142" s="2"/>
      <c r="KBL142" s="2"/>
      <c r="KBM142" s="2"/>
      <c r="KBN142" s="2"/>
      <c r="KBO142" s="2"/>
      <c r="KBP142" s="2"/>
      <c r="KBQ142" s="2"/>
      <c r="KBR142" s="2"/>
      <c r="KBS142" s="2"/>
      <c r="KBT142" s="2"/>
      <c r="KBU142" s="2"/>
      <c r="KBV142" s="2"/>
      <c r="KBW142" s="2"/>
      <c r="KBX142" s="2"/>
      <c r="KBY142" s="2"/>
      <c r="KBZ142" s="2"/>
      <c r="KCA142" s="2"/>
      <c r="KCB142" s="2"/>
      <c r="KCC142" s="2"/>
      <c r="KCD142" s="2"/>
      <c r="KCE142" s="2"/>
      <c r="KCF142" s="2"/>
      <c r="KCG142" s="2"/>
      <c r="KCH142" s="2"/>
      <c r="KCI142" s="2"/>
      <c r="KCJ142" s="2"/>
      <c r="KCK142" s="2"/>
      <c r="KCL142" s="2"/>
      <c r="KCM142" s="2"/>
      <c r="KCN142" s="2"/>
      <c r="KCO142" s="2"/>
      <c r="KCP142" s="2"/>
      <c r="KCQ142" s="2"/>
      <c r="KCR142" s="2"/>
      <c r="KCS142" s="2"/>
      <c r="KCT142" s="2"/>
      <c r="KCU142" s="2"/>
      <c r="KCV142" s="2"/>
      <c r="KCW142" s="2"/>
      <c r="KCX142" s="2"/>
      <c r="KCY142" s="2"/>
      <c r="KCZ142" s="2"/>
      <c r="KDA142" s="2"/>
      <c r="KDB142" s="2"/>
      <c r="KDC142" s="2"/>
      <c r="KDD142" s="2"/>
      <c r="KDE142" s="2"/>
      <c r="KDF142" s="2"/>
      <c r="KDG142" s="2"/>
      <c r="KDH142" s="2"/>
      <c r="KDI142" s="2"/>
      <c r="KDJ142" s="2"/>
      <c r="KDK142" s="2"/>
      <c r="KDL142" s="2"/>
      <c r="KDM142" s="2"/>
      <c r="KDN142" s="2"/>
      <c r="KDO142" s="2"/>
      <c r="KDP142" s="2"/>
      <c r="KDQ142" s="2"/>
      <c r="KDR142" s="2"/>
      <c r="KDS142" s="2"/>
      <c r="KDT142" s="2"/>
      <c r="KDU142" s="2"/>
      <c r="KDV142" s="2"/>
      <c r="KDW142" s="2"/>
      <c r="KDX142" s="2"/>
      <c r="KDY142" s="2"/>
      <c r="KDZ142" s="2"/>
      <c r="KEA142" s="2"/>
      <c r="KEB142" s="2"/>
      <c r="KEC142" s="2"/>
      <c r="KED142" s="2"/>
      <c r="KEE142" s="2"/>
      <c r="KEF142" s="2"/>
      <c r="KEG142" s="2"/>
      <c r="KEH142" s="2"/>
      <c r="KEI142" s="2"/>
      <c r="KEJ142" s="2"/>
      <c r="KEK142" s="2"/>
      <c r="KEL142" s="2"/>
      <c r="KEM142" s="2"/>
      <c r="KEN142" s="2"/>
      <c r="KEO142" s="2"/>
      <c r="KEP142" s="2"/>
      <c r="KEQ142" s="2"/>
      <c r="KER142" s="2"/>
      <c r="KES142" s="2"/>
      <c r="KET142" s="2"/>
      <c r="KEU142" s="2"/>
      <c r="KEV142" s="2"/>
      <c r="KEW142" s="2"/>
      <c r="KEX142" s="2"/>
      <c r="KEY142" s="2"/>
      <c r="KEZ142" s="2"/>
      <c r="KFA142" s="2"/>
      <c r="KFB142" s="2"/>
      <c r="KFC142" s="2"/>
      <c r="KFD142" s="2"/>
      <c r="KFE142" s="2"/>
      <c r="KFF142" s="2"/>
      <c r="KFG142" s="2"/>
      <c r="KFH142" s="2"/>
      <c r="KFI142" s="2"/>
      <c r="KFJ142" s="2"/>
      <c r="KFK142" s="2"/>
      <c r="KFL142" s="2"/>
      <c r="KFM142" s="2"/>
      <c r="KFN142" s="2"/>
      <c r="KFO142" s="2"/>
      <c r="KFP142" s="2"/>
      <c r="KFQ142" s="2"/>
      <c r="KFR142" s="2"/>
      <c r="KFS142" s="2"/>
      <c r="KFT142" s="2"/>
      <c r="KFU142" s="2"/>
      <c r="KFV142" s="2"/>
      <c r="KFW142" s="2"/>
      <c r="KFX142" s="2"/>
      <c r="KFY142" s="2"/>
      <c r="KFZ142" s="2"/>
      <c r="KGA142" s="2"/>
      <c r="KGB142" s="2"/>
      <c r="KGC142" s="2"/>
      <c r="KGD142" s="2"/>
      <c r="KGE142" s="2"/>
      <c r="KGF142" s="2"/>
      <c r="KGG142" s="2"/>
      <c r="KGH142" s="2"/>
      <c r="KGI142" s="2"/>
      <c r="KGJ142" s="2"/>
      <c r="KGK142" s="2"/>
      <c r="KGL142" s="2"/>
      <c r="KGM142" s="2"/>
      <c r="KGN142" s="2"/>
      <c r="KGO142" s="2"/>
      <c r="KGP142" s="2"/>
      <c r="KGQ142" s="2"/>
      <c r="KGR142" s="2"/>
      <c r="KGS142" s="2"/>
      <c r="KGT142" s="2"/>
      <c r="KGU142" s="2"/>
      <c r="KGV142" s="2"/>
      <c r="KGW142" s="2"/>
      <c r="KGX142" s="2"/>
      <c r="KGY142" s="2"/>
      <c r="KGZ142" s="2"/>
      <c r="KHA142" s="2"/>
      <c r="KHB142" s="2"/>
      <c r="KHC142" s="2"/>
      <c r="KHD142" s="2"/>
      <c r="KHE142" s="2"/>
      <c r="KHF142" s="2"/>
      <c r="KHG142" s="2"/>
      <c r="KHH142" s="2"/>
      <c r="KHI142" s="2"/>
      <c r="KHJ142" s="2"/>
      <c r="KHK142" s="2"/>
      <c r="KHL142" s="2"/>
      <c r="KHM142" s="2"/>
      <c r="KHN142" s="2"/>
      <c r="KHO142" s="2"/>
      <c r="KHP142" s="2"/>
      <c r="KHQ142" s="2"/>
      <c r="KHR142" s="2"/>
      <c r="KHS142" s="2"/>
      <c r="KHT142" s="2"/>
      <c r="KHU142" s="2"/>
      <c r="KHV142" s="2"/>
      <c r="KHW142" s="2"/>
      <c r="KHX142" s="2"/>
      <c r="KHY142" s="2"/>
      <c r="KHZ142" s="2"/>
      <c r="KIA142" s="2"/>
      <c r="KIB142" s="2"/>
      <c r="KIC142" s="2"/>
      <c r="KID142" s="2"/>
      <c r="KIE142" s="2"/>
      <c r="KIF142" s="2"/>
      <c r="KIG142" s="2"/>
      <c r="KIH142" s="2"/>
      <c r="KII142" s="2"/>
      <c r="KIJ142" s="2"/>
      <c r="KIK142" s="2"/>
      <c r="KIL142" s="2"/>
      <c r="KIM142" s="2"/>
      <c r="KIN142" s="2"/>
      <c r="KIO142" s="2"/>
      <c r="KIP142" s="2"/>
      <c r="KIQ142" s="2"/>
      <c r="KIR142" s="2"/>
      <c r="KIS142" s="2"/>
      <c r="KIT142" s="2"/>
      <c r="KIU142" s="2"/>
      <c r="KIV142" s="2"/>
      <c r="KIW142" s="2"/>
      <c r="KIX142" s="2"/>
      <c r="KIY142" s="2"/>
      <c r="KIZ142" s="2"/>
      <c r="KJA142" s="2"/>
      <c r="KJB142" s="2"/>
      <c r="KJC142" s="2"/>
      <c r="KJD142" s="2"/>
      <c r="KJE142" s="2"/>
      <c r="KJF142" s="2"/>
      <c r="KJG142" s="2"/>
      <c r="KJH142" s="2"/>
      <c r="KJI142" s="2"/>
      <c r="KJJ142" s="2"/>
      <c r="KJK142" s="2"/>
      <c r="KJL142" s="2"/>
      <c r="KJM142" s="2"/>
      <c r="KJN142" s="2"/>
      <c r="KJO142" s="2"/>
      <c r="KJP142" s="2"/>
      <c r="KJQ142" s="2"/>
      <c r="KJR142" s="2"/>
      <c r="KJS142" s="2"/>
      <c r="KJT142" s="2"/>
      <c r="KJU142" s="2"/>
      <c r="KJV142" s="2"/>
      <c r="KJW142" s="2"/>
      <c r="KJX142" s="2"/>
      <c r="KJY142" s="2"/>
      <c r="KJZ142" s="2"/>
      <c r="KKA142" s="2"/>
      <c r="KKB142" s="2"/>
      <c r="KKC142" s="2"/>
      <c r="KKD142" s="2"/>
      <c r="KKE142" s="2"/>
      <c r="KKF142" s="2"/>
      <c r="KKG142" s="2"/>
      <c r="KKH142" s="2"/>
      <c r="KKI142" s="2"/>
      <c r="KKJ142" s="2"/>
      <c r="KKK142" s="2"/>
      <c r="KKL142" s="2"/>
      <c r="KKM142" s="2"/>
      <c r="KKN142" s="2"/>
      <c r="KKO142" s="2"/>
      <c r="KKP142" s="2"/>
      <c r="KKQ142" s="2"/>
      <c r="KKR142" s="2"/>
      <c r="KKS142" s="2"/>
      <c r="KKT142" s="2"/>
      <c r="KKU142" s="2"/>
      <c r="KKV142" s="2"/>
      <c r="KKW142" s="2"/>
      <c r="KKX142" s="2"/>
      <c r="KKY142" s="2"/>
      <c r="KKZ142" s="2"/>
      <c r="KLA142" s="2"/>
      <c r="KLB142" s="2"/>
      <c r="KLC142" s="2"/>
      <c r="KLD142" s="2"/>
      <c r="KLE142" s="2"/>
      <c r="KLF142" s="2"/>
      <c r="KLG142" s="2"/>
      <c r="KLH142" s="2"/>
      <c r="KLI142" s="2"/>
      <c r="KLJ142" s="2"/>
      <c r="KLK142" s="2"/>
      <c r="KLL142" s="2"/>
      <c r="KLM142" s="2"/>
      <c r="KLN142" s="2"/>
      <c r="KLO142" s="2"/>
      <c r="KLP142" s="2"/>
      <c r="KLQ142" s="2"/>
      <c r="KLR142" s="2"/>
      <c r="KLS142" s="2"/>
      <c r="KLT142" s="2"/>
      <c r="KLU142" s="2"/>
      <c r="KLV142" s="2"/>
      <c r="KLW142" s="2"/>
      <c r="KLX142" s="2"/>
      <c r="KLY142" s="2"/>
      <c r="KLZ142" s="2"/>
      <c r="KMA142" s="2"/>
      <c r="KMB142" s="2"/>
      <c r="KMC142" s="2"/>
      <c r="KMD142" s="2"/>
      <c r="KME142" s="2"/>
      <c r="KMF142" s="2"/>
      <c r="KMG142" s="2"/>
      <c r="KMH142" s="2"/>
      <c r="KMI142" s="2"/>
      <c r="KMJ142" s="2"/>
      <c r="KMK142" s="2"/>
      <c r="KML142" s="2"/>
      <c r="KMM142" s="2"/>
      <c r="KMN142" s="2"/>
      <c r="KMO142" s="2"/>
      <c r="KMP142" s="2"/>
      <c r="KMQ142" s="2"/>
      <c r="KMR142" s="2"/>
      <c r="KMS142" s="2"/>
      <c r="KMT142" s="2"/>
      <c r="KMU142" s="2"/>
      <c r="KMV142" s="2"/>
      <c r="KMW142" s="2"/>
      <c r="KMX142" s="2"/>
      <c r="KMY142" s="2"/>
      <c r="KMZ142" s="2"/>
      <c r="KNA142" s="2"/>
      <c r="KNB142" s="2"/>
      <c r="KNC142" s="2"/>
      <c r="KND142" s="2"/>
      <c r="KNE142" s="2"/>
      <c r="KNF142" s="2"/>
      <c r="KNG142" s="2"/>
      <c r="KNH142" s="2"/>
      <c r="KNI142" s="2"/>
      <c r="KNJ142" s="2"/>
      <c r="KNK142" s="2"/>
      <c r="KNL142" s="2"/>
      <c r="KNM142" s="2"/>
      <c r="KNN142" s="2"/>
      <c r="KNO142" s="2"/>
      <c r="KNP142" s="2"/>
      <c r="KNQ142" s="2"/>
      <c r="KNR142" s="2"/>
      <c r="KNS142" s="2"/>
      <c r="KNT142" s="2"/>
      <c r="KNU142" s="2"/>
      <c r="KNV142" s="2"/>
      <c r="KNW142" s="2"/>
      <c r="KNX142" s="2"/>
      <c r="KNY142" s="2"/>
      <c r="KNZ142" s="2"/>
      <c r="KOA142" s="2"/>
      <c r="KOB142" s="2"/>
      <c r="KOC142" s="2"/>
      <c r="KOD142" s="2"/>
      <c r="KOE142" s="2"/>
      <c r="KOF142" s="2"/>
      <c r="KOG142" s="2"/>
      <c r="KOH142" s="2"/>
      <c r="KOI142" s="2"/>
      <c r="KOJ142" s="2"/>
      <c r="KOK142" s="2"/>
      <c r="KOL142" s="2"/>
      <c r="KOM142" s="2"/>
      <c r="KON142" s="2"/>
      <c r="KOO142" s="2"/>
      <c r="KOP142" s="2"/>
      <c r="KOQ142" s="2"/>
      <c r="KOR142" s="2"/>
      <c r="KOS142" s="2"/>
      <c r="KOT142" s="2"/>
      <c r="KOU142" s="2"/>
      <c r="KOV142" s="2"/>
      <c r="KOW142" s="2"/>
      <c r="KOX142" s="2"/>
      <c r="KOY142" s="2"/>
      <c r="KOZ142" s="2"/>
      <c r="KPA142" s="2"/>
      <c r="KPB142" s="2"/>
      <c r="KPC142" s="2"/>
      <c r="KPD142" s="2"/>
      <c r="KPE142" s="2"/>
      <c r="KPF142" s="2"/>
      <c r="KPG142" s="2"/>
      <c r="KPH142" s="2"/>
      <c r="KPI142" s="2"/>
      <c r="KPJ142" s="2"/>
      <c r="KPK142" s="2"/>
      <c r="KPL142" s="2"/>
      <c r="KPM142" s="2"/>
      <c r="KPN142" s="2"/>
      <c r="KPO142" s="2"/>
      <c r="KPP142" s="2"/>
      <c r="KPQ142" s="2"/>
      <c r="KPR142" s="2"/>
      <c r="KPS142" s="2"/>
      <c r="KPT142" s="2"/>
      <c r="KPU142" s="2"/>
      <c r="KPV142" s="2"/>
      <c r="KPW142" s="2"/>
      <c r="KPX142" s="2"/>
      <c r="KPY142" s="2"/>
      <c r="KPZ142" s="2"/>
      <c r="KQA142" s="2"/>
      <c r="KQB142" s="2"/>
      <c r="KQC142" s="2"/>
      <c r="KQD142" s="2"/>
      <c r="KQE142" s="2"/>
      <c r="KQF142" s="2"/>
      <c r="KQG142" s="2"/>
      <c r="KQH142" s="2"/>
      <c r="KQI142" s="2"/>
      <c r="KQJ142" s="2"/>
      <c r="KQK142" s="2"/>
      <c r="KQL142" s="2"/>
      <c r="KQM142" s="2"/>
      <c r="KQN142" s="2"/>
      <c r="KQO142" s="2"/>
      <c r="KQP142" s="2"/>
      <c r="KQQ142" s="2"/>
      <c r="KQR142" s="2"/>
      <c r="KQS142" s="2"/>
      <c r="KQT142" s="2"/>
      <c r="KQU142" s="2"/>
      <c r="KQV142" s="2"/>
      <c r="KQW142" s="2"/>
      <c r="KQX142" s="2"/>
      <c r="KQY142" s="2"/>
      <c r="KQZ142" s="2"/>
      <c r="KRA142" s="2"/>
      <c r="KRB142" s="2"/>
      <c r="KRC142" s="2"/>
      <c r="KRD142" s="2"/>
      <c r="KRE142" s="2"/>
      <c r="KRF142" s="2"/>
      <c r="KRG142" s="2"/>
      <c r="KRH142" s="2"/>
      <c r="KRI142" s="2"/>
      <c r="KRJ142" s="2"/>
      <c r="KRK142" s="2"/>
      <c r="KRL142" s="2"/>
      <c r="KRM142" s="2"/>
      <c r="KRN142" s="2"/>
      <c r="KRO142" s="2"/>
      <c r="KRP142" s="2"/>
      <c r="KRQ142" s="2"/>
      <c r="KRR142" s="2"/>
      <c r="KRS142" s="2"/>
      <c r="KRT142" s="2"/>
      <c r="KRU142" s="2"/>
      <c r="KRV142" s="2"/>
      <c r="KRW142" s="2"/>
      <c r="KRX142" s="2"/>
      <c r="KRY142" s="2"/>
      <c r="KRZ142" s="2"/>
      <c r="KSA142" s="2"/>
      <c r="KSB142" s="2"/>
      <c r="KSC142" s="2"/>
      <c r="KSD142" s="2"/>
      <c r="KSE142" s="2"/>
      <c r="KSF142" s="2"/>
      <c r="KSG142" s="2"/>
      <c r="KSH142" s="2"/>
      <c r="KSI142" s="2"/>
      <c r="KSJ142" s="2"/>
      <c r="KSK142" s="2"/>
      <c r="KSL142" s="2"/>
      <c r="KSM142" s="2"/>
      <c r="KSN142" s="2"/>
      <c r="KSO142" s="2"/>
      <c r="KSP142" s="2"/>
      <c r="KSQ142" s="2"/>
      <c r="KSR142" s="2"/>
      <c r="KSS142" s="2"/>
      <c r="KST142" s="2"/>
      <c r="KSU142" s="2"/>
      <c r="KSV142" s="2"/>
      <c r="KSW142" s="2"/>
      <c r="KSX142" s="2"/>
      <c r="KSY142" s="2"/>
      <c r="KSZ142" s="2"/>
      <c r="KTA142" s="2"/>
      <c r="KTB142" s="2"/>
      <c r="KTC142" s="2"/>
      <c r="KTD142" s="2"/>
      <c r="KTE142" s="2"/>
      <c r="KTF142" s="2"/>
      <c r="KTG142" s="2"/>
      <c r="KTH142" s="2"/>
      <c r="KTI142" s="2"/>
      <c r="KTJ142" s="2"/>
      <c r="KTK142" s="2"/>
      <c r="KTL142" s="2"/>
      <c r="KTM142" s="2"/>
      <c r="KTN142" s="2"/>
      <c r="KTO142" s="2"/>
      <c r="KTP142" s="2"/>
      <c r="KTQ142" s="2"/>
      <c r="KTR142" s="2"/>
      <c r="KTS142" s="2"/>
      <c r="KTT142" s="2"/>
      <c r="KTU142" s="2"/>
      <c r="KTV142" s="2"/>
      <c r="KTW142" s="2"/>
      <c r="KTX142" s="2"/>
      <c r="KTY142" s="2"/>
      <c r="KTZ142" s="2"/>
      <c r="KUA142" s="2"/>
      <c r="KUB142" s="2"/>
      <c r="KUC142" s="2"/>
      <c r="KUD142" s="2"/>
      <c r="KUE142" s="2"/>
      <c r="KUF142" s="2"/>
      <c r="KUG142" s="2"/>
      <c r="KUH142" s="2"/>
      <c r="KUI142" s="2"/>
      <c r="KUJ142" s="2"/>
      <c r="KUK142" s="2"/>
      <c r="KUL142" s="2"/>
      <c r="KUM142" s="2"/>
      <c r="KUN142" s="2"/>
      <c r="KUO142" s="2"/>
      <c r="KUP142" s="2"/>
      <c r="KUQ142" s="2"/>
      <c r="KUR142" s="2"/>
      <c r="KUS142" s="2"/>
      <c r="KUT142" s="2"/>
      <c r="KUU142" s="2"/>
      <c r="KUV142" s="2"/>
      <c r="KUW142" s="2"/>
      <c r="KUX142" s="2"/>
      <c r="KUY142" s="2"/>
      <c r="KUZ142" s="2"/>
      <c r="KVA142" s="2"/>
      <c r="KVB142" s="2"/>
      <c r="KVC142" s="2"/>
      <c r="KVD142" s="2"/>
      <c r="KVE142" s="2"/>
      <c r="KVF142" s="2"/>
      <c r="KVG142" s="2"/>
      <c r="KVH142" s="2"/>
      <c r="KVI142" s="2"/>
      <c r="KVJ142" s="2"/>
      <c r="KVK142" s="2"/>
      <c r="KVL142" s="2"/>
      <c r="KVM142" s="2"/>
      <c r="KVN142" s="2"/>
      <c r="KVO142" s="2"/>
      <c r="KVP142" s="2"/>
      <c r="KVQ142" s="2"/>
      <c r="KVR142" s="2"/>
      <c r="KVS142" s="2"/>
      <c r="KVT142" s="2"/>
      <c r="KVU142" s="2"/>
      <c r="KVV142" s="2"/>
      <c r="KVW142" s="2"/>
      <c r="KVX142" s="2"/>
      <c r="KVY142" s="2"/>
      <c r="KVZ142" s="2"/>
      <c r="KWA142" s="2"/>
      <c r="KWB142" s="2"/>
      <c r="KWC142" s="2"/>
      <c r="KWD142" s="2"/>
      <c r="KWE142" s="2"/>
      <c r="KWF142" s="2"/>
      <c r="KWG142" s="2"/>
      <c r="KWH142" s="2"/>
      <c r="KWI142" s="2"/>
      <c r="KWJ142" s="2"/>
      <c r="KWK142" s="2"/>
      <c r="KWL142" s="2"/>
      <c r="KWM142" s="2"/>
      <c r="KWN142" s="2"/>
      <c r="KWO142" s="2"/>
      <c r="KWP142" s="2"/>
      <c r="KWQ142" s="2"/>
      <c r="KWR142" s="2"/>
      <c r="KWS142" s="2"/>
      <c r="KWT142" s="2"/>
      <c r="KWU142" s="2"/>
      <c r="KWV142" s="2"/>
      <c r="KWW142" s="2"/>
      <c r="KWX142" s="2"/>
      <c r="KWY142" s="2"/>
      <c r="KWZ142" s="2"/>
      <c r="KXA142" s="2"/>
      <c r="KXB142" s="2"/>
      <c r="KXC142" s="2"/>
      <c r="KXD142" s="2"/>
      <c r="KXE142" s="2"/>
      <c r="KXF142" s="2"/>
      <c r="KXG142" s="2"/>
      <c r="KXH142" s="2"/>
      <c r="KXI142" s="2"/>
      <c r="KXJ142" s="2"/>
      <c r="KXK142" s="2"/>
      <c r="KXL142" s="2"/>
      <c r="KXM142" s="2"/>
      <c r="KXN142" s="2"/>
      <c r="KXO142" s="2"/>
      <c r="KXP142" s="2"/>
      <c r="KXQ142" s="2"/>
      <c r="KXR142" s="2"/>
      <c r="KXS142" s="2"/>
      <c r="KXT142" s="2"/>
      <c r="KXU142" s="2"/>
      <c r="KXV142" s="2"/>
      <c r="KXW142" s="2"/>
      <c r="KXX142" s="2"/>
      <c r="KXY142" s="2"/>
      <c r="KXZ142" s="2"/>
      <c r="KYA142" s="2"/>
      <c r="KYB142" s="2"/>
      <c r="KYC142" s="2"/>
      <c r="KYD142" s="2"/>
      <c r="KYE142" s="2"/>
      <c r="KYF142" s="2"/>
      <c r="KYG142" s="2"/>
      <c r="KYH142" s="2"/>
      <c r="KYI142" s="2"/>
      <c r="KYJ142" s="2"/>
      <c r="KYK142" s="2"/>
      <c r="KYL142" s="2"/>
      <c r="KYM142" s="2"/>
      <c r="KYN142" s="2"/>
      <c r="KYO142" s="2"/>
      <c r="KYP142" s="2"/>
      <c r="KYQ142" s="2"/>
      <c r="KYR142" s="2"/>
      <c r="KYS142" s="2"/>
      <c r="KYT142" s="2"/>
      <c r="KYU142" s="2"/>
      <c r="KYV142" s="2"/>
      <c r="KYW142" s="2"/>
      <c r="KYX142" s="2"/>
      <c r="KYY142" s="2"/>
      <c r="KYZ142" s="2"/>
      <c r="KZA142" s="2"/>
      <c r="KZB142" s="2"/>
      <c r="KZC142" s="2"/>
      <c r="KZD142" s="2"/>
      <c r="KZE142" s="2"/>
      <c r="KZF142" s="2"/>
      <c r="KZG142" s="2"/>
      <c r="KZH142" s="2"/>
      <c r="KZI142" s="2"/>
      <c r="KZJ142" s="2"/>
      <c r="KZK142" s="2"/>
      <c r="KZL142" s="2"/>
      <c r="KZM142" s="2"/>
      <c r="KZN142" s="2"/>
      <c r="KZO142" s="2"/>
      <c r="KZP142" s="2"/>
      <c r="KZQ142" s="2"/>
      <c r="KZR142" s="2"/>
      <c r="KZS142" s="2"/>
      <c r="KZT142" s="2"/>
      <c r="KZU142" s="2"/>
      <c r="KZV142" s="2"/>
      <c r="KZW142" s="2"/>
      <c r="KZX142" s="2"/>
      <c r="KZY142" s="2"/>
      <c r="KZZ142" s="2"/>
      <c r="LAA142" s="2"/>
      <c r="LAB142" s="2"/>
      <c r="LAC142" s="2"/>
      <c r="LAD142" s="2"/>
      <c r="LAE142" s="2"/>
      <c r="LAF142" s="2"/>
      <c r="LAG142" s="2"/>
      <c r="LAH142" s="2"/>
      <c r="LAI142" s="2"/>
      <c r="LAJ142" s="2"/>
      <c r="LAK142" s="2"/>
      <c r="LAL142" s="2"/>
      <c r="LAM142" s="2"/>
      <c r="LAN142" s="2"/>
      <c r="LAO142" s="2"/>
      <c r="LAP142" s="2"/>
      <c r="LAQ142" s="2"/>
      <c r="LAR142" s="2"/>
      <c r="LAS142" s="2"/>
      <c r="LAT142" s="2"/>
      <c r="LAU142" s="2"/>
      <c r="LAV142" s="2"/>
      <c r="LAW142" s="2"/>
      <c r="LAX142" s="2"/>
      <c r="LAY142" s="2"/>
      <c r="LAZ142" s="2"/>
      <c r="LBA142" s="2"/>
      <c r="LBB142" s="2"/>
      <c r="LBC142" s="2"/>
      <c r="LBD142" s="2"/>
      <c r="LBE142" s="2"/>
      <c r="LBF142" s="2"/>
      <c r="LBG142" s="2"/>
      <c r="LBH142" s="2"/>
      <c r="LBI142" s="2"/>
      <c r="LBJ142" s="2"/>
      <c r="LBK142" s="2"/>
      <c r="LBL142" s="2"/>
      <c r="LBM142" s="2"/>
      <c r="LBN142" s="2"/>
      <c r="LBO142" s="2"/>
      <c r="LBP142" s="2"/>
      <c r="LBQ142" s="2"/>
      <c r="LBR142" s="2"/>
      <c r="LBS142" s="2"/>
      <c r="LBT142" s="2"/>
      <c r="LBU142" s="2"/>
      <c r="LBV142" s="2"/>
      <c r="LBW142" s="2"/>
      <c r="LBX142" s="2"/>
      <c r="LBY142" s="2"/>
      <c r="LBZ142" s="2"/>
      <c r="LCA142" s="2"/>
      <c r="LCB142" s="2"/>
      <c r="LCC142" s="2"/>
      <c r="LCD142" s="2"/>
      <c r="LCE142" s="2"/>
      <c r="LCF142" s="2"/>
      <c r="LCG142" s="2"/>
      <c r="LCH142" s="2"/>
      <c r="LCI142" s="2"/>
      <c r="LCJ142" s="2"/>
      <c r="LCK142" s="2"/>
      <c r="LCL142" s="2"/>
      <c r="LCM142" s="2"/>
      <c r="LCN142" s="2"/>
      <c r="LCO142" s="2"/>
      <c r="LCP142" s="2"/>
      <c r="LCQ142" s="2"/>
      <c r="LCR142" s="2"/>
      <c r="LCS142" s="2"/>
      <c r="LCT142" s="2"/>
      <c r="LCU142" s="2"/>
      <c r="LCV142" s="2"/>
      <c r="LCW142" s="2"/>
      <c r="LCX142" s="2"/>
      <c r="LCY142" s="2"/>
      <c r="LCZ142" s="2"/>
      <c r="LDA142" s="2"/>
      <c r="LDB142" s="2"/>
      <c r="LDC142" s="2"/>
      <c r="LDD142" s="2"/>
      <c r="LDE142" s="2"/>
      <c r="LDF142" s="2"/>
      <c r="LDG142" s="2"/>
      <c r="LDH142" s="2"/>
      <c r="LDI142" s="2"/>
      <c r="LDJ142" s="2"/>
      <c r="LDK142" s="2"/>
      <c r="LDL142" s="2"/>
      <c r="LDM142" s="2"/>
      <c r="LDN142" s="2"/>
      <c r="LDO142" s="2"/>
      <c r="LDP142" s="2"/>
      <c r="LDQ142" s="2"/>
      <c r="LDR142" s="2"/>
      <c r="LDS142" s="2"/>
      <c r="LDT142" s="2"/>
      <c r="LDU142" s="2"/>
      <c r="LDV142" s="2"/>
      <c r="LDW142" s="2"/>
      <c r="LDX142" s="2"/>
      <c r="LDY142" s="2"/>
      <c r="LDZ142" s="2"/>
      <c r="LEA142" s="2"/>
      <c r="LEB142" s="2"/>
      <c r="LEC142" s="2"/>
      <c r="LED142" s="2"/>
      <c r="LEE142" s="2"/>
      <c r="LEF142" s="2"/>
      <c r="LEG142" s="2"/>
      <c r="LEH142" s="2"/>
      <c r="LEI142" s="2"/>
      <c r="LEJ142" s="2"/>
      <c r="LEK142" s="2"/>
      <c r="LEL142" s="2"/>
      <c r="LEM142" s="2"/>
      <c r="LEN142" s="2"/>
      <c r="LEO142" s="2"/>
      <c r="LEP142" s="2"/>
      <c r="LEQ142" s="2"/>
      <c r="LER142" s="2"/>
      <c r="LES142" s="2"/>
      <c r="LET142" s="2"/>
      <c r="LEU142" s="2"/>
      <c r="LEV142" s="2"/>
      <c r="LEW142" s="2"/>
      <c r="LEX142" s="2"/>
      <c r="LEY142" s="2"/>
      <c r="LEZ142" s="2"/>
      <c r="LFA142" s="2"/>
      <c r="LFB142" s="2"/>
      <c r="LFC142" s="2"/>
      <c r="LFD142" s="2"/>
      <c r="LFE142" s="2"/>
      <c r="LFF142" s="2"/>
      <c r="LFG142" s="2"/>
      <c r="LFH142" s="2"/>
      <c r="LFI142" s="2"/>
      <c r="LFJ142" s="2"/>
      <c r="LFK142" s="2"/>
      <c r="LFL142" s="2"/>
      <c r="LFM142" s="2"/>
      <c r="LFN142" s="2"/>
      <c r="LFO142" s="2"/>
      <c r="LFP142" s="2"/>
      <c r="LFQ142" s="2"/>
      <c r="LFR142" s="2"/>
      <c r="LFS142" s="2"/>
      <c r="LFT142" s="2"/>
      <c r="LFU142" s="2"/>
      <c r="LFV142" s="2"/>
      <c r="LFW142" s="2"/>
      <c r="LFX142" s="2"/>
      <c r="LFY142" s="2"/>
      <c r="LFZ142" s="2"/>
      <c r="LGA142" s="2"/>
      <c r="LGB142" s="2"/>
      <c r="LGC142" s="2"/>
      <c r="LGD142" s="2"/>
      <c r="LGE142" s="2"/>
      <c r="LGF142" s="2"/>
      <c r="LGG142" s="2"/>
      <c r="LGH142" s="2"/>
      <c r="LGI142" s="2"/>
      <c r="LGJ142" s="2"/>
      <c r="LGK142" s="2"/>
      <c r="LGL142" s="2"/>
      <c r="LGM142" s="2"/>
      <c r="LGN142" s="2"/>
      <c r="LGO142" s="2"/>
      <c r="LGP142" s="2"/>
      <c r="LGQ142" s="2"/>
      <c r="LGR142" s="2"/>
      <c r="LGS142" s="2"/>
      <c r="LGT142" s="2"/>
      <c r="LGU142" s="2"/>
      <c r="LGV142" s="2"/>
      <c r="LGW142" s="2"/>
      <c r="LGX142" s="2"/>
      <c r="LGY142" s="2"/>
      <c r="LGZ142" s="2"/>
      <c r="LHA142" s="2"/>
      <c r="LHB142" s="2"/>
      <c r="LHC142" s="2"/>
      <c r="LHD142" s="2"/>
      <c r="LHE142" s="2"/>
      <c r="LHF142" s="2"/>
      <c r="LHG142" s="2"/>
      <c r="LHH142" s="2"/>
      <c r="LHI142" s="2"/>
      <c r="LHJ142" s="2"/>
      <c r="LHK142" s="2"/>
      <c r="LHL142" s="2"/>
      <c r="LHM142" s="2"/>
      <c r="LHN142" s="2"/>
      <c r="LHO142" s="2"/>
      <c r="LHP142" s="2"/>
      <c r="LHQ142" s="2"/>
      <c r="LHR142" s="2"/>
      <c r="LHS142" s="2"/>
      <c r="LHT142" s="2"/>
      <c r="LHU142" s="2"/>
      <c r="LHV142" s="2"/>
      <c r="LHW142" s="2"/>
      <c r="LHX142" s="2"/>
      <c r="LHY142" s="2"/>
      <c r="LHZ142" s="2"/>
      <c r="LIA142" s="2"/>
      <c r="LIB142" s="2"/>
      <c r="LIC142" s="2"/>
      <c r="LID142" s="2"/>
      <c r="LIE142" s="2"/>
      <c r="LIF142" s="2"/>
      <c r="LIG142" s="2"/>
      <c r="LIH142" s="2"/>
      <c r="LII142" s="2"/>
      <c r="LIJ142" s="2"/>
      <c r="LIK142" s="2"/>
      <c r="LIL142" s="2"/>
      <c r="LIM142" s="2"/>
      <c r="LIN142" s="2"/>
      <c r="LIO142" s="2"/>
      <c r="LIP142" s="2"/>
      <c r="LIQ142" s="2"/>
      <c r="LIR142" s="2"/>
      <c r="LIS142" s="2"/>
      <c r="LIT142" s="2"/>
      <c r="LIU142" s="2"/>
      <c r="LIV142" s="2"/>
      <c r="LIW142" s="2"/>
      <c r="LIX142" s="2"/>
      <c r="LIY142" s="2"/>
      <c r="LIZ142" s="2"/>
      <c r="LJA142" s="2"/>
      <c r="LJB142" s="2"/>
      <c r="LJC142" s="2"/>
      <c r="LJD142" s="2"/>
      <c r="LJE142" s="2"/>
      <c r="LJF142" s="2"/>
      <c r="LJG142" s="2"/>
      <c r="LJH142" s="2"/>
      <c r="LJI142" s="2"/>
      <c r="LJJ142" s="2"/>
      <c r="LJK142" s="2"/>
      <c r="LJL142" s="2"/>
      <c r="LJM142" s="2"/>
      <c r="LJN142" s="2"/>
      <c r="LJO142" s="2"/>
      <c r="LJP142" s="2"/>
      <c r="LJQ142" s="2"/>
      <c r="LJR142" s="2"/>
      <c r="LJS142" s="2"/>
      <c r="LJT142" s="2"/>
      <c r="LJU142" s="2"/>
      <c r="LJV142" s="2"/>
      <c r="LJW142" s="2"/>
      <c r="LJX142" s="2"/>
      <c r="LJY142" s="2"/>
      <c r="LJZ142" s="2"/>
      <c r="LKA142" s="2"/>
      <c r="LKB142" s="2"/>
      <c r="LKC142" s="2"/>
      <c r="LKD142" s="2"/>
      <c r="LKE142" s="2"/>
      <c r="LKF142" s="2"/>
      <c r="LKG142" s="2"/>
      <c r="LKH142" s="2"/>
      <c r="LKI142" s="2"/>
      <c r="LKJ142" s="2"/>
      <c r="LKK142" s="2"/>
      <c r="LKL142" s="2"/>
      <c r="LKM142" s="2"/>
      <c r="LKN142" s="2"/>
      <c r="LKO142" s="2"/>
      <c r="LKP142" s="2"/>
      <c r="LKQ142" s="2"/>
      <c r="LKR142" s="2"/>
      <c r="LKS142" s="2"/>
      <c r="LKT142" s="2"/>
      <c r="LKU142" s="2"/>
      <c r="LKV142" s="2"/>
      <c r="LKW142" s="2"/>
      <c r="LKX142" s="2"/>
      <c r="LKY142" s="2"/>
      <c r="LKZ142" s="2"/>
      <c r="LLA142" s="2"/>
      <c r="LLB142" s="2"/>
      <c r="LLC142" s="2"/>
      <c r="LLD142" s="2"/>
      <c r="LLE142" s="2"/>
      <c r="LLF142" s="2"/>
      <c r="LLG142" s="2"/>
      <c r="LLH142" s="2"/>
      <c r="LLI142" s="2"/>
      <c r="LLJ142" s="2"/>
      <c r="LLK142" s="2"/>
      <c r="LLL142" s="2"/>
      <c r="LLM142" s="2"/>
      <c r="LLN142" s="2"/>
      <c r="LLO142" s="2"/>
      <c r="LLP142" s="2"/>
      <c r="LLQ142" s="2"/>
      <c r="LLR142" s="2"/>
      <c r="LLS142" s="2"/>
      <c r="LLT142" s="2"/>
      <c r="LLU142" s="2"/>
      <c r="LLV142" s="2"/>
      <c r="LLW142" s="2"/>
      <c r="LLX142" s="2"/>
      <c r="LLY142" s="2"/>
      <c r="LLZ142" s="2"/>
      <c r="LMA142" s="2"/>
      <c r="LMB142" s="2"/>
      <c r="LMC142" s="2"/>
      <c r="LMD142" s="2"/>
      <c r="LME142" s="2"/>
      <c r="LMF142" s="2"/>
      <c r="LMG142" s="2"/>
      <c r="LMH142" s="2"/>
      <c r="LMI142" s="2"/>
      <c r="LMJ142" s="2"/>
      <c r="LMK142" s="2"/>
      <c r="LML142" s="2"/>
      <c r="LMM142" s="2"/>
      <c r="LMN142" s="2"/>
      <c r="LMO142" s="2"/>
      <c r="LMP142" s="2"/>
      <c r="LMQ142" s="2"/>
      <c r="LMR142" s="2"/>
      <c r="LMS142" s="2"/>
      <c r="LMT142" s="2"/>
      <c r="LMU142" s="2"/>
      <c r="LMV142" s="2"/>
      <c r="LMW142" s="2"/>
      <c r="LMX142" s="2"/>
      <c r="LMY142" s="2"/>
      <c r="LMZ142" s="2"/>
      <c r="LNA142" s="2"/>
      <c r="LNB142" s="2"/>
      <c r="LNC142" s="2"/>
      <c r="LND142" s="2"/>
      <c r="LNE142" s="2"/>
      <c r="LNF142" s="2"/>
      <c r="LNG142" s="2"/>
      <c r="LNH142" s="2"/>
      <c r="LNI142" s="2"/>
      <c r="LNJ142" s="2"/>
      <c r="LNK142" s="2"/>
      <c r="LNL142" s="2"/>
      <c r="LNM142" s="2"/>
      <c r="LNN142" s="2"/>
      <c r="LNO142" s="2"/>
      <c r="LNP142" s="2"/>
      <c r="LNQ142" s="2"/>
      <c r="LNR142" s="2"/>
      <c r="LNS142" s="2"/>
      <c r="LNT142" s="2"/>
      <c r="LNU142" s="2"/>
      <c r="LNV142" s="2"/>
      <c r="LNW142" s="2"/>
      <c r="LNX142" s="2"/>
      <c r="LNY142" s="2"/>
      <c r="LNZ142" s="2"/>
      <c r="LOA142" s="2"/>
      <c r="LOB142" s="2"/>
      <c r="LOC142" s="2"/>
      <c r="LOD142" s="2"/>
      <c r="LOE142" s="2"/>
      <c r="LOF142" s="2"/>
      <c r="LOG142" s="2"/>
      <c r="LOH142" s="2"/>
      <c r="LOI142" s="2"/>
      <c r="LOJ142" s="2"/>
      <c r="LOK142" s="2"/>
      <c r="LOL142" s="2"/>
      <c r="LOM142" s="2"/>
      <c r="LON142" s="2"/>
      <c r="LOO142" s="2"/>
      <c r="LOP142" s="2"/>
      <c r="LOQ142" s="2"/>
      <c r="LOR142" s="2"/>
      <c r="LOS142" s="2"/>
      <c r="LOT142" s="2"/>
      <c r="LOU142" s="2"/>
      <c r="LOV142" s="2"/>
      <c r="LOW142" s="2"/>
      <c r="LOX142" s="2"/>
      <c r="LOY142" s="2"/>
      <c r="LOZ142" s="2"/>
      <c r="LPA142" s="2"/>
      <c r="LPB142" s="2"/>
      <c r="LPC142" s="2"/>
      <c r="LPD142" s="2"/>
      <c r="LPE142" s="2"/>
      <c r="LPF142" s="2"/>
      <c r="LPG142" s="2"/>
      <c r="LPH142" s="2"/>
      <c r="LPI142" s="2"/>
      <c r="LPJ142" s="2"/>
      <c r="LPK142" s="2"/>
      <c r="LPL142" s="2"/>
      <c r="LPM142" s="2"/>
      <c r="LPN142" s="2"/>
      <c r="LPO142" s="2"/>
      <c r="LPP142" s="2"/>
      <c r="LPQ142" s="2"/>
      <c r="LPR142" s="2"/>
      <c r="LPS142" s="2"/>
      <c r="LPT142" s="2"/>
      <c r="LPU142" s="2"/>
      <c r="LPV142" s="2"/>
      <c r="LPW142" s="2"/>
      <c r="LPX142" s="2"/>
      <c r="LPY142" s="2"/>
      <c r="LPZ142" s="2"/>
      <c r="LQA142" s="2"/>
      <c r="LQB142" s="2"/>
      <c r="LQC142" s="2"/>
      <c r="LQD142" s="2"/>
      <c r="LQE142" s="2"/>
      <c r="LQF142" s="2"/>
      <c r="LQG142" s="2"/>
      <c r="LQH142" s="2"/>
      <c r="LQI142" s="2"/>
      <c r="LQJ142" s="2"/>
      <c r="LQK142" s="2"/>
      <c r="LQL142" s="2"/>
      <c r="LQM142" s="2"/>
      <c r="LQN142" s="2"/>
      <c r="LQO142" s="2"/>
      <c r="LQP142" s="2"/>
      <c r="LQQ142" s="2"/>
      <c r="LQR142" s="2"/>
      <c r="LQS142" s="2"/>
      <c r="LQT142" s="2"/>
      <c r="LQU142" s="2"/>
      <c r="LQV142" s="2"/>
      <c r="LQW142" s="2"/>
      <c r="LQX142" s="2"/>
      <c r="LQY142" s="2"/>
      <c r="LQZ142" s="2"/>
      <c r="LRA142" s="2"/>
      <c r="LRB142" s="2"/>
      <c r="LRC142" s="2"/>
      <c r="LRD142" s="2"/>
      <c r="LRE142" s="2"/>
      <c r="LRF142" s="2"/>
      <c r="LRG142" s="2"/>
      <c r="LRH142" s="2"/>
      <c r="LRI142" s="2"/>
      <c r="LRJ142" s="2"/>
      <c r="LRK142" s="2"/>
      <c r="LRL142" s="2"/>
      <c r="LRM142" s="2"/>
      <c r="LRN142" s="2"/>
      <c r="LRO142" s="2"/>
      <c r="LRP142" s="2"/>
      <c r="LRQ142" s="2"/>
      <c r="LRR142" s="2"/>
      <c r="LRS142" s="2"/>
      <c r="LRT142" s="2"/>
      <c r="LRU142" s="2"/>
      <c r="LRV142" s="2"/>
      <c r="LRW142" s="2"/>
      <c r="LRX142" s="2"/>
      <c r="LRY142" s="2"/>
      <c r="LRZ142" s="2"/>
      <c r="LSA142" s="2"/>
      <c r="LSB142" s="2"/>
      <c r="LSC142" s="2"/>
      <c r="LSD142" s="2"/>
      <c r="LSE142" s="2"/>
      <c r="LSF142" s="2"/>
      <c r="LSG142" s="2"/>
      <c r="LSH142" s="2"/>
      <c r="LSI142" s="2"/>
      <c r="LSJ142" s="2"/>
      <c r="LSK142" s="2"/>
      <c r="LSL142" s="2"/>
      <c r="LSM142" s="2"/>
      <c r="LSN142" s="2"/>
      <c r="LSO142" s="2"/>
      <c r="LSP142" s="2"/>
      <c r="LSQ142" s="2"/>
      <c r="LSR142" s="2"/>
      <c r="LSS142" s="2"/>
      <c r="LST142" s="2"/>
      <c r="LSU142" s="2"/>
      <c r="LSV142" s="2"/>
      <c r="LSW142" s="2"/>
      <c r="LSX142" s="2"/>
      <c r="LSY142" s="2"/>
      <c r="LSZ142" s="2"/>
      <c r="LTA142" s="2"/>
      <c r="LTB142" s="2"/>
      <c r="LTC142" s="2"/>
      <c r="LTD142" s="2"/>
      <c r="LTE142" s="2"/>
      <c r="LTF142" s="2"/>
      <c r="LTG142" s="2"/>
      <c r="LTH142" s="2"/>
      <c r="LTI142" s="2"/>
      <c r="LTJ142" s="2"/>
      <c r="LTK142" s="2"/>
      <c r="LTL142" s="2"/>
      <c r="LTM142" s="2"/>
      <c r="LTN142" s="2"/>
      <c r="LTO142" s="2"/>
      <c r="LTP142" s="2"/>
      <c r="LTQ142" s="2"/>
      <c r="LTR142" s="2"/>
      <c r="LTS142" s="2"/>
      <c r="LTT142" s="2"/>
      <c r="LTU142" s="2"/>
      <c r="LTV142" s="2"/>
      <c r="LTW142" s="2"/>
      <c r="LTX142" s="2"/>
      <c r="LTY142" s="2"/>
      <c r="LTZ142" s="2"/>
      <c r="LUA142" s="2"/>
      <c r="LUB142" s="2"/>
      <c r="LUC142" s="2"/>
      <c r="LUD142" s="2"/>
      <c r="LUE142" s="2"/>
      <c r="LUF142" s="2"/>
      <c r="LUG142" s="2"/>
      <c r="LUH142" s="2"/>
      <c r="LUI142" s="2"/>
      <c r="LUJ142" s="2"/>
      <c r="LUK142" s="2"/>
      <c r="LUL142" s="2"/>
      <c r="LUM142" s="2"/>
      <c r="LUN142" s="2"/>
      <c r="LUO142" s="2"/>
      <c r="LUP142" s="2"/>
      <c r="LUQ142" s="2"/>
      <c r="LUR142" s="2"/>
      <c r="LUS142" s="2"/>
      <c r="LUT142" s="2"/>
      <c r="LUU142" s="2"/>
      <c r="LUV142" s="2"/>
      <c r="LUW142" s="2"/>
      <c r="LUX142" s="2"/>
      <c r="LUY142" s="2"/>
      <c r="LUZ142" s="2"/>
      <c r="LVA142" s="2"/>
      <c r="LVB142" s="2"/>
      <c r="LVC142" s="2"/>
      <c r="LVD142" s="2"/>
      <c r="LVE142" s="2"/>
      <c r="LVF142" s="2"/>
      <c r="LVG142" s="2"/>
      <c r="LVH142" s="2"/>
      <c r="LVI142" s="2"/>
      <c r="LVJ142" s="2"/>
      <c r="LVK142" s="2"/>
      <c r="LVL142" s="2"/>
      <c r="LVM142" s="2"/>
      <c r="LVN142" s="2"/>
      <c r="LVO142" s="2"/>
      <c r="LVP142" s="2"/>
      <c r="LVQ142" s="2"/>
      <c r="LVR142" s="2"/>
      <c r="LVS142" s="2"/>
      <c r="LVT142" s="2"/>
      <c r="LVU142" s="2"/>
      <c r="LVV142" s="2"/>
      <c r="LVW142" s="2"/>
      <c r="LVX142" s="2"/>
      <c r="LVY142" s="2"/>
      <c r="LVZ142" s="2"/>
      <c r="LWA142" s="2"/>
      <c r="LWB142" s="2"/>
      <c r="LWC142" s="2"/>
      <c r="LWD142" s="2"/>
      <c r="LWE142" s="2"/>
      <c r="LWF142" s="2"/>
      <c r="LWG142" s="2"/>
      <c r="LWH142" s="2"/>
      <c r="LWI142" s="2"/>
      <c r="LWJ142" s="2"/>
      <c r="LWK142" s="2"/>
      <c r="LWL142" s="2"/>
      <c r="LWM142" s="2"/>
      <c r="LWN142" s="2"/>
      <c r="LWO142" s="2"/>
      <c r="LWP142" s="2"/>
      <c r="LWQ142" s="2"/>
      <c r="LWR142" s="2"/>
      <c r="LWS142" s="2"/>
      <c r="LWT142" s="2"/>
      <c r="LWU142" s="2"/>
      <c r="LWV142" s="2"/>
      <c r="LWW142" s="2"/>
      <c r="LWX142" s="2"/>
      <c r="LWY142" s="2"/>
      <c r="LWZ142" s="2"/>
      <c r="LXA142" s="2"/>
      <c r="LXB142" s="2"/>
      <c r="LXC142" s="2"/>
      <c r="LXD142" s="2"/>
      <c r="LXE142" s="2"/>
      <c r="LXF142" s="2"/>
      <c r="LXG142" s="2"/>
      <c r="LXH142" s="2"/>
      <c r="LXI142" s="2"/>
      <c r="LXJ142" s="2"/>
      <c r="LXK142" s="2"/>
      <c r="LXL142" s="2"/>
      <c r="LXM142" s="2"/>
      <c r="LXN142" s="2"/>
      <c r="LXO142" s="2"/>
      <c r="LXP142" s="2"/>
      <c r="LXQ142" s="2"/>
      <c r="LXR142" s="2"/>
      <c r="LXS142" s="2"/>
      <c r="LXT142" s="2"/>
      <c r="LXU142" s="2"/>
      <c r="LXV142" s="2"/>
      <c r="LXW142" s="2"/>
      <c r="LXX142" s="2"/>
      <c r="LXY142" s="2"/>
      <c r="LXZ142" s="2"/>
      <c r="LYA142" s="2"/>
      <c r="LYB142" s="2"/>
      <c r="LYC142" s="2"/>
      <c r="LYD142" s="2"/>
      <c r="LYE142" s="2"/>
      <c r="LYF142" s="2"/>
      <c r="LYG142" s="2"/>
      <c r="LYH142" s="2"/>
      <c r="LYI142" s="2"/>
      <c r="LYJ142" s="2"/>
      <c r="LYK142" s="2"/>
      <c r="LYL142" s="2"/>
      <c r="LYM142" s="2"/>
      <c r="LYN142" s="2"/>
      <c r="LYO142" s="2"/>
      <c r="LYP142" s="2"/>
      <c r="LYQ142" s="2"/>
      <c r="LYR142" s="2"/>
      <c r="LYS142" s="2"/>
      <c r="LYT142" s="2"/>
      <c r="LYU142" s="2"/>
      <c r="LYV142" s="2"/>
      <c r="LYW142" s="2"/>
      <c r="LYX142" s="2"/>
      <c r="LYY142" s="2"/>
      <c r="LYZ142" s="2"/>
      <c r="LZA142" s="2"/>
      <c r="LZB142" s="2"/>
      <c r="LZC142" s="2"/>
      <c r="LZD142" s="2"/>
      <c r="LZE142" s="2"/>
      <c r="LZF142" s="2"/>
      <c r="LZG142" s="2"/>
      <c r="LZH142" s="2"/>
      <c r="LZI142" s="2"/>
      <c r="LZJ142" s="2"/>
      <c r="LZK142" s="2"/>
      <c r="LZL142" s="2"/>
      <c r="LZM142" s="2"/>
      <c r="LZN142" s="2"/>
      <c r="LZO142" s="2"/>
      <c r="LZP142" s="2"/>
      <c r="LZQ142" s="2"/>
      <c r="LZR142" s="2"/>
      <c r="LZS142" s="2"/>
      <c r="LZT142" s="2"/>
      <c r="LZU142" s="2"/>
      <c r="LZV142" s="2"/>
      <c r="LZW142" s="2"/>
      <c r="LZX142" s="2"/>
      <c r="LZY142" s="2"/>
      <c r="LZZ142" s="2"/>
      <c r="MAA142" s="2"/>
      <c r="MAB142" s="2"/>
      <c r="MAC142" s="2"/>
      <c r="MAD142" s="2"/>
      <c r="MAE142" s="2"/>
      <c r="MAF142" s="2"/>
      <c r="MAG142" s="2"/>
      <c r="MAH142" s="2"/>
      <c r="MAI142" s="2"/>
      <c r="MAJ142" s="2"/>
      <c r="MAK142" s="2"/>
      <c r="MAL142" s="2"/>
      <c r="MAM142" s="2"/>
      <c r="MAN142" s="2"/>
      <c r="MAO142" s="2"/>
      <c r="MAP142" s="2"/>
      <c r="MAQ142" s="2"/>
      <c r="MAR142" s="2"/>
      <c r="MAS142" s="2"/>
      <c r="MAT142" s="2"/>
      <c r="MAU142" s="2"/>
      <c r="MAV142" s="2"/>
      <c r="MAW142" s="2"/>
      <c r="MAX142" s="2"/>
      <c r="MAY142" s="2"/>
      <c r="MAZ142" s="2"/>
      <c r="MBA142" s="2"/>
      <c r="MBB142" s="2"/>
      <c r="MBC142" s="2"/>
      <c r="MBD142" s="2"/>
      <c r="MBE142" s="2"/>
      <c r="MBF142" s="2"/>
      <c r="MBG142" s="2"/>
      <c r="MBH142" s="2"/>
      <c r="MBI142" s="2"/>
      <c r="MBJ142" s="2"/>
      <c r="MBK142" s="2"/>
      <c r="MBL142" s="2"/>
      <c r="MBM142" s="2"/>
      <c r="MBN142" s="2"/>
      <c r="MBO142" s="2"/>
      <c r="MBP142" s="2"/>
      <c r="MBQ142" s="2"/>
      <c r="MBR142" s="2"/>
      <c r="MBS142" s="2"/>
      <c r="MBT142" s="2"/>
      <c r="MBU142" s="2"/>
      <c r="MBV142" s="2"/>
      <c r="MBW142" s="2"/>
      <c r="MBX142" s="2"/>
      <c r="MBY142" s="2"/>
      <c r="MBZ142" s="2"/>
      <c r="MCA142" s="2"/>
      <c r="MCB142" s="2"/>
      <c r="MCC142" s="2"/>
      <c r="MCD142" s="2"/>
      <c r="MCE142" s="2"/>
      <c r="MCF142" s="2"/>
      <c r="MCG142" s="2"/>
      <c r="MCH142" s="2"/>
      <c r="MCI142" s="2"/>
      <c r="MCJ142" s="2"/>
      <c r="MCK142" s="2"/>
      <c r="MCL142" s="2"/>
      <c r="MCM142" s="2"/>
      <c r="MCN142" s="2"/>
      <c r="MCO142" s="2"/>
      <c r="MCP142" s="2"/>
      <c r="MCQ142" s="2"/>
      <c r="MCR142" s="2"/>
      <c r="MCS142" s="2"/>
      <c r="MCT142" s="2"/>
      <c r="MCU142" s="2"/>
      <c r="MCV142" s="2"/>
      <c r="MCW142" s="2"/>
      <c r="MCX142" s="2"/>
      <c r="MCY142" s="2"/>
      <c r="MCZ142" s="2"/>
      <c r="MDA142" s="2"/>
      <c r="MDB142" s="2"/>
      <c r="MDC142" s="2"/>
      <c r="MDD142" s="2"/>
      <c r="MDE142" s="2"/>
      <c r="MDF142" s="2"/>
      <c r="MDG142" s="2"/>
      <c r="MDH142" s="2"/>
      <c r="MDI142" s="2"/>
      <c r="MDJ142" s="2"/>
      <c r="MDK142" s="2"/>
      <c r="MDL142" s="2"/>
      <c r="MDM142" s="2"/>
      <c r="MDN142" s="2"/>
      <c r="MDO142" s="2"/>
      <c r="MDP142" s="2"/>
      <c r="MDQ142" s="2"/>
      <c r="MDR142" s="2"/>
      <c r="MDS142" s="2"/>
      <c r="MDT142" s="2"/>
      <c r="MDU142" s="2"/>
      <c r="MDV142" s="2"/>
      <c r="MDW142" s="2"/>
      <c r="MDX142" s="2"/>
      <c r="MDY142" s="2"/>
      <c r="MDZ142" s="2"/>
      <c r="MEA142" s="2"/>
      <c r="MEB142" s="2"/>
      <c r="MEC142" s="2"/>
      <c r="MED142" s="2"/>
      <c r="MEE142" s="2"/>
      <c r="MEF142" s="2"/>
      <c r="MEG142" s="2"/>
      <c r="MEH142" s="2"/>
      <c r="MEI142" s="2"/>
      <c r="MEJ142" s="2"/>
      <c r="MEK142" s="2"/>
      <c r="MEL142" s="2"/>
      <c r="MEM142" s="2"/>
      <c r="MEN142" s="2"/>
      <c r="MEO142" s="2"/>
      <c r="MEP142" s="2"/>
      <c r="MEQ142" s="2"/>
      <c r="MER142" s="2"/>
      <c r="MES142" s="2"/>
      <c r="MET142" s="2"/>
      <c r="MEU142" s="2"/>
      <c r="MEV142" s="2"/>
      <c r="MEW142" s="2"/>
      <c r="MEX142" s="2"/>
      <c r="MEY142" s="2"/>
      <c r="MEZ142" s="2"/>
      <c r="MFA142" s="2"/>
      <c r="MFB142" s="2"/>
      <c r="MFC142" s="2"/>
      <c r="MFD142" s="2"/>
      <c r="MFE142" s="2"/>
      <c r="MFF142" s="2"/>
      <c r="MFG142" s="2"/>
      <c r="MFH142" s="2"/>
      <c r="MFI142" s="2"/>
      <c r="MFJ142" s="2"/>
      <c r="MFK142" s="2"/>
      <c r="MFL142" s="2"/>
      <c r="MFM142" s="2"/>
      <c r="MFN142" s="2"/>
      <c r="MFO142" s="2"/>
      <c r="MFP142" s="2"/>
      <c r="MFQ142" s="2"/>
      <c r="MFR142" s="2"/>
      <c r="MFS142" s="2"/>
      <c r="MFT142" s="2"/>
      <c r="MFU142" s="2"/>
      <c r="MFV142" s="2"/>
      <c r="MFW142" s="2"/>
      <c r="MFX142" s="2"/>
      <c r="MFY142" s="2"/>
      <c r="MFZ142" s="2"/>
      <c r="MGA142" s="2"/>
      <c r="MGB142" s="2"/>
      <c r="MGC142" s="2"/>
      <c r="MGD142" s="2"/>
      <c r="MGE142" s="2"/>
      <c r="MGF142" s="2"/>
      <c r="MGG142" s="2"/>
      <c r="MGH142" s="2"/>
      <c r="MGI142" s="2"/>
      <c r="MGJ142" s="2"/>
      <c r="MGK142" s="2"/>
      <c r="MGL142" s="2"/>
      <c r="MGM142" s="2"/>
      <c r="MGN142" s="2"/>
      <c r="MGO142" s="2"/>
      <c r="MGP142" s="2"/>
      <c r="MGQ142" s="2"/>
      <c r="MGR142" s="2"/>
      <c r="MGS142" s="2"/>
      <c r="MGT142" s="2"/>
      <c r="MGU142" s="2"/>
      <c r="MGV142" s="2"/>
      <c r="MGW142" s="2"/>
      <c r="MGX142" s="2"/>
      <c r="MGY142" s="2"/>
      <c r="MGZ142" s="2"/>
      <c r="MHA142" s="2"/>
      <c r="MHB142" s="2"/>
      <c r="MHC142" s="2"/>
      <c r="MHD142" s="2"/>
      <c r="MHE142" s="2"/>
      <c r="MHF142" s="2"/>
      <c r="MHG142" s="2"/>
      <c r="MHH142" s="2"/>
      <c r="MHI142" s="2"/>
      <c r="MHJ142" s="2"/>
      <c r="MHK142" s="2"/>
      <c r="MHL142" s="2"/>
      <c r="MHM142" s="2"/>
      <c r="MHN142" s="2"/>
      <c r="MHO142" s="2"/>
      <c r="MHP142" s="2"/>
      <c r="MHQ142" s="2"/>
      <c r="MHR142" s="2"/>
      <c r="MHS142" s="2"/>
      <c r="MHT142" s="2"/>
      <c r="MHU142" s="2"/>
      <c r="MHV142" s="2"/>
      <c r="MHW142" s="2"/>
      <c r="MHX142" s="2"/>
      <c r="MHY142" s="2"/>
      <c r="MHZ142" s="2"/>
      <c r="MIA142" s="2"/>
      <c r="MIB142" s="2"/>
      <c r="MIC142" s="2"/>
      <c r="MID142" s="2"/>
      <c r="MIE142" s="2"/>
      <c r="MIF142" s="2"/>
      <c r="MIG142" s="2"/>
      <c r="MIH142" s="2"/>
      <c r="MII142" s="2"/>
      <c r="MIJ142" s="2"/>
      <c r="MIK142" s="2"/>
      <c r="MIL142" s="2"/>
      <c r="MIM142" s="2"/>
      <c r="MIN142" s="2"/>
      <c r="MIO142" s="2"/>
      <c r="MIP142" s="2"/>
      <c r="MIQ142" s="2"/>
      <c r="MIR142" s="2"/>
      <c r="MIS142" s="2"/>
      <c r="MIT142" s="2"/>
      <c r="MIU142" s="2"/>
      <c r="MIV142" s="2"/>
      <c r="MIW142" s="2"/>
      <c r="MIX142" s="2"/>
      <c r="MIY142" s="2"/>
      <c r="MIZ142" s="2"/>
      <c r="MJA142" s="2"/>
      <c r="MJB142" s="2"/>
      <c r="MJC142" s="2"/>
      <c r="MJD142" s="2"/>
      <c r="MJE142" s="2"/>
      <c r="MJF142" s="2"/>
      <c r="MJG142" s="2"/>
      <c r="MJH142" s="2"/>
      <c r="MJI142" s="2"/>
      <c r="MJJ142" s="2"/>
      <c r="MJK142" s="2"/>
      <c r="MJL142" s="2"/>
      <c r="MJM142" s="2"/>
      <c r="MJN142" s="2"/>
      <c r="MJO142" s="2"/>
      <c r="MJP142" s="2"/>
      <c r="MJQ142" s="2"/>
      <c r="MJR142" s="2"/>
      <c r="MJS142" s="2"/>
      <c r="MJT142" s="2"/>
      <c r="MJU142" s="2"/>
      <c r="MJV142" s="2"/>
      <c r="MJW142" s="2"/>
      <c r="MJX142" s="2"/>
      <c r="MJY142" s="2"/>
      <c r="MJZ142" s="2"/>
      <c r="MKA142" s="2"/>
      <c r="MKB142" s="2"/>
      <c r="MKC142" s="2"/>
      <c r="MKD142" s="2"/>
      <c r="MKE142" s="2"/>
      <c r="MKF142" s="2"/>
      <c r="MKG142" s="2"/>
      <c r="MKH142" s="2"/>
      <c r="MKI142" s="2"/>
      <c r="MKJ142" s="2"/>
      <c r="MKK142" s="2"/>
      <c r="MKL142" s="2"/>
      <c r="MKM142" s="2"/>
      <c r="MKN142" s="2"/>
      <c r="MKO142" s="2"/>
      <c r="MKP142" s="2"/>
      <c r="MKQ142" s="2"/>
      <c r="MKR142" s="2"/>
      <c r="MKS142" s="2"/>
      <c r="MKT142" s="2"/>
      <c r="MKU142" s="2"/>
      <c r="MKV142" s="2"/>
      <c r="MKW142" s="2"/>
      <c r="MKX142" s="2"/>
      <c r="MKY142" s="2"/>
      <c r="MKZ142" s="2"/>
      <c r="MLA142" s="2"/>
      <c r="MLB142" s="2"/>
      <c r="MLC142" s="2"/>
      <c r="MLD142" s="2"/>
      <c r="MLE142" s="2"/>
      <c r="MLF142" s="2"/>
      <c r="MLG142" s="2"/>
      <c r="MLH142" s="2"/>
      <c r="MLI142" s="2"/>
      <c r="MLJ142" s="2"/>
      <c r="MLK142" s="2"/>
      <c r="MLL142" s="2"/>
      <c r="MLM142" s="2"/>
      <c r="MLN142" s="2"/>
      <c r="MLO142" s="2"/>
      <c r="MLP142" s="2"/>
      <c r="MLQ142" s="2"/>
      <c r="MLR142" s="2"/>
      <c r="MLS142" s="2"/>
      <c r="MLT142" s="2"/>
      <c r="MLU142" s="2"/>
      <c r="MLV142" s="2"/>
      <c r="MLW142" s="2"/>
      <c r="MLX142" s="2"/>
      <c r="MLY142" s="2"/>
      <c r="MLZ142" s="2"/>
      <c r="MMA142" s="2"/>
      <c r="MMB142" s="2"/>
      <c r="MMC142" s="2"/>
      <c r="MMD142" s="2"/>
      <c r="MME142" s="2"/>
      <c r="MMF142" s="2"/>
      <c r="MMG142" s="2"/>
      <c r="MMH142" s="2"/>
      <c r="MMI142" s="2"/>
      <c r="MMJ142" s="2"/>
      <c r="MMK142" s="2"/>
      <c r="MML142" s="2"/>
      <c r="MMM142" s="2"/>
      <c r="MMN142" s="2"/>
      <c r="MMO142" s="2"/>
      <c r="MMP142" s="2"/>
      <c r="MMQ142" s="2"/>
      <c r="MMR142" s="2"/>
      <c r="MMS142" s="2"/>
      <c r="MMT142" s="2"/>
      <c r="MMU142" s="2"/>
      <c r="MMV142" s="2"/>
      <c r="MMW142" s="2"/>
      <c r="MMX142" s="2"/>
      <c r="MMY142" s="2"/>
      <c r="MMZ142" s="2"/>
      <c r="MNA142" s="2"/>
      <c r="MNB142" s="2"/>
      <c r="MNC142" s="2"/>
      <c r="MND142" s="2"/>
      <c r="MNE142" s="2"/>
      <c r="MNF142" s="2"/>
      <c r="MNG142" s="2"/>
      <c r="MNH142" s="2"/>
      <c r="MNI142" s="2"/>
      <c r="MNJ142" s="2"/>
      <c r="MNK142" s="2"/>
      <c r="MNL142" s="2"/>
      <c r="MNM142" s="2"/>
      <c r="MNN142" s="2"/>
      <c r="MNO142" s="2"/>
      <c r="MNP142" s="2"/>
      <c r="MNQ142" s="2"/>
      <c r="MNR142" s="2"/>
      <c r="MNS142" s="2"/>
      <c r="MNT142" s="2"/>
      <c r="MNU142" s="2"/>
      <c r="MNV142" s="2"/>
      <c r="MNW142" s="2"/>
      <c r="MNX142" s="2"/>
      <c r="MNY142" s="2"/>
      <c r="MNZ142" s="2"/>
      <c r="MOA142" s="2"/>
      <c r="MOB142" s="2"/>
      <c r="MOC142" s="2"/>
      <c r="MOD142" s="2"/>
      <c r="MOE142" s="2"/>
      <c r="MOF142" s="2"/>
      <c r="MOG142" s="2"/>
      <c r="MOH142" s="2"/>
      <c r="MOI142" s="2"/>
      <c r="MOJ142" s="2"/>
      <c r="MOK142" s="2"/>
      <c r="MOL142" s="2"/>
      <c r="MOM142" s="2"/>
      <c r="MON142" s="2"/>
      <c r="MOO142" s="2"/>
      <c r="MOP142" s="2"/>
      <c r="MOQ142" s="2"/>
      <c r="MOR142" s="2"/>
      <c r="MOS142" s="2"/>
      <c r="MOT142" s="2"/>
      <c r="MOU142" s="2"/>
      <c r="MOV142" s="2"/>
      <c r="MOW142" s="2"/>
      <c r="MOX142" s="2"/>
      <c r="MOY142" s="2"/>
      <c r="MOZ142" s="2"/>
      <c r="MPA142" s="2"/>
      <c r="MPB142" s="2"/>
      <c r="MPC142" s="2"/>
      <c r="MPD142" s="2"/>
      <c r="MPE142" s="2"/>
      <c r="MPF142" s="2"/>
      <c r="MPG142" s="2"/>
      <c r="MPH142" s="2"/>
      <c r="MPI142" s="2"/>
      <c r="MPJ142" s="2"/>
      <c r="MPK142" s="2"/>
      <c r="MPL142" s="2"/>
      <c r="MPM142" s="2"/>
      <c r="MPN142" s="2"/>
      <c r="MPO142" s="2"/>
      <c r="MPP142" s="2"/>
      <c r="MPQ142" s="2"/>
      <c r="MPR142" s="2"/>
      <c r="MPS142" s="2"/>
      <c r="MPT142" s="2"/>
      <c r="MPU142" s="2"/>
      <c r="MPV142" s="2"/>
      <c r="MPW142" s="2"/>
      <c r="MPX142" s="2"/>
      <c r="MPY142" s="2"/>
      <c r="MPZ142" s="2"/>
      <c r="MQA142" s="2"/>
      <c r="MQB142" s="2"/>
      <c r="MQC142" s="2"/>
      <c r="MQD142" s="2"/>
      <c r="MQE142" s="2"/>
      <c r="MQF142" s="2"/>
      <c r="MQG142" s="2"/>
      <c r="MQH142" s="2"/>
      <c r="MQI142" s="2"/>
      <c r="MQJ142" s="2"/>
      <c r="MQK142" s="2"/>
      <c r="MQL142" s="2"/>
      <c r="MQM142" s="2"/>
      <c r="MQN142" s="2"/>
      <c r="MQO142" s="2"/>
      <c r="MQP142" s="2"/>
      <c r="MQQ142" s="2"/>
      <c r="MQR142" s="2"/>
      <c r="MQS142" s="2"/>
      <c r="MQT142" s="2"/>
      <c r="MQU142" s="2"/>
      <c r="MQV142" s="2"/>
      <c r="MQW142" s="2"/>
      <c r="MQX142" s="2"/>
      <c r="MQY142" s="2"/>
      <c r="MQZ142" s="2"/>
      <c r="MRA142" s="2"/>
      <c r="MRB142" s="2"/>
      <c r="MRC142" s="2"/>
      <c r="MRD142" s="2"/>
      <c r="MRE142" s="2"/>
      <c r="MRF142" s="2"/>
      <c r="MRG142" s="2"/>
      <c r="MRH142" s="2"/>
      <c r="MRI142" s="2"/>
      <c r="MRJ142" s="2"/>
      <c r="MRK142" s="2"/>
      <c r="MRL142" s="2"/>
      <c r="MRM142" s="2"/>
      <c r="MRN142" s="2"/>
      <c r="MRO142" s="2"/>
      <c r="MRP142" s="2"/>
      <c r="MRQ142" s="2"/>
      <c r="MRR142" s="2"/>
      <c r="MRS142" s="2"/>
      <c r="MRT142" s="2"/>
      <c r="MRU142" s="2"/>
      <c r="MRV142" s="2"/>
      <c r="MRW142" s="2"/>
      <c r="MRX142" s="2"/>
      <c r="MRY142" s="2"/>
      <c r="MRZ142" s="2"/>
      <c r="MSA142" s="2"/>
      <c r="MSB142" s="2"/>
      <c r="MSC142" s="2"/>
      <c r="MSD142" s="2"/>
      <c r="MSE142" s="2"/>
      <c r="MSF142" s="2"/>
      <c r="MSG142" s="2"/>
      <c r="MSH142" s="2"/>
      <c r="MSI142" s="2"/>
      <c r="MSJ142" s="2"/>
      <c r="MSK142" s="2"/>
      <c r="MSL142" s="2"/>
      <c r="MSM142" s="2"/>
      <c r="MSN142" s="2"/>
      <c r="MSO142" s="2"/>
      <c r="MSP142" s="2"/>
      <c r="MSQ142" s="2"/>
      <c r="MSR142" s="2"/>
      <c r="MSS142" s="2"/>
      <c r="MST142" s="2"/>
      <c r="MSU142" s="2"/>
      <c r="MSV142" s="2"/>
      <c r="MSW142" s="2"/>
      <c r="MSX142" s="2"/>
      <c r="MSY142" s="2"/>
      <c r="MSZ142" s="2"/>
      <c r="MTA142" s="2"/>
      <c r="MTB142" s="2"/>
      <c r="MTC142" s="2"/>
      <c r="MTD142" s="2"/>
      <c r="MTE142" s="2"/>
      <c r="MTF142" s="2"/>
      <c r="MTG142" s="2"/>
      <c r="MTH142" s="2"/>
      <c r="MTI142" s="2"/>
      <c r="MTJ142" s="2"/>
      <c r="MTK142" s="2"/>
      <c r="MTL142" s="2"/>
      <c r="MTM142" s="2"/>
      <c r="MTN142" s="2"/>
      <c r="MTO142" s="2"/>
      <c r="MTP142" s="2"/>
      <c r="MTQ142" s="2"/>
      <c r="MTR142" s="2"/>
      <c r="MTS142" s="2"/>
      <c r="MTT142" s="2"/>
      <c r="MTU142" s="2"/>
      <c r="MTV142" s="2"/>
      <c r="MTW142" s="2"/>
      <c r="MTX142" s="2"/>
      <c r="MTY142" s="2"/>
      <c r="MTZ142" s="2"/>
      <c r="MUA142" s="2"/>
      <c r="MUB142" s="2"/>
      <c r="MUC142" s="2"/>
      <c r="MUD142" s="2"/>
      <c r="MUE142" s="2"/>
      <c r="MUF142" s="2"/>
      <c r="MUG142" s="2"/>
      <c r="MUH142" s="2"/>
      <c r="MUI142" s="2"/>
      <c r="MUJ142" s="2"/>
      <c r="MUK142" s="2"/>
      <c r="MUL142" s="2"/>
      <c r="MUM142" s="2"/>
      <c r="MUN142" s="2"/>
      <c r="MUO142" s="2"/>
      <c r="MUP142" s="2"/>
      <c r="MUQ142" s="2"/>
      <c r="MUR142" s="2"/>
      <c r="MUS142" s="2"/>
      <c r="MUT142" s="2"/>
      <c r="MUU142" s="2"/>
      <c r="MUV142" s="2"/>
      <c r="MUW142" s="2"/>
      <c r="MUX142" s="2"/>
      <c r="MUY142" s="2"/>
      <c r="MUZ142" s="2"/>
      <c r="MVA142" s="2"/>
      <c r="MVB142" s="2"/>
      <c r="MVC142" s="2"/>
      <c r="MVD142" s="2"/>
      <c r="MVE142" s="2"/>
      <c r="MVF142" s="2"/>
      <c r="MVG142" s="2"/>
      <c r="MVH142" s="2"/>
      <c r="MVI142" s="2"/>
      <c r="MVJ142" s="2"/>
      <c r="MVK142" s="2"/>
      <c r="MVL142" s="2"/>
      <c r="MVM142" s="2"/>
      <c r="MVN142" s="2"/>
      <c r="MVO142" s="2"/>
      <c r="MVP142" s="2"/>
      <c r="MVQ142" s="2"/>
      <c r="MVR142" s="2"/>
      <c r="MVS142" s="2"/>
      <c r="MVT142" s="2"/>
      <c r="MVU142" s="2"/>
      <c r="MVV142" s="2"/>
      <c r="MVW142" s="2"/>
      <c r="MVX142" s="2"/>
      <c r="MVY142" s="2"/>
      <c r="MVZ142" s="2"/>
      <c r="MWA142" s="2"/>
      <c r="MWB142" s="2"/>
      <c r="MWC142" s="2"/>
      <c r="MWD142" s="2"/>
      <c r="MWE142" s="2"/>
      <c r="MWF142" s="2"/>
      <c r="MWG142" s="2"/>
      <c r="MWH142" s="2"/>
      <c r="MWI142" s="2"/>
      <c r="MWJ142" s="2"/>
      <c r="MWK142" s="2"/>
      <c r="MWL142" s="2"/>
      <c r="MWM142" s="2"/>
      <c r="MWN142" s="2"/>
      <c r="MWO142" s="2"/>
      <c r="MWP142" s="2"/>
      <c r="MWQ142" s="2"/>
      <c r="MWR142" s="2"/>
      <c r="MWS142" s="2"/>
      <c r="MWT142" s="2"/>
      <c r="MWU142" s="2"/>
      <c r="MWV142" s="2"/>
      <c r="MWW142" s="2"/>
      <c r="MWX142" s="2"/>
      <c r="MWY142" s="2"/>
      <c r="MWZ142" s="2"/>
      <c r="MXA142" s="2"/>
      <c r="MXB142" s="2"/>
      <c r="MXC142" s="2"/>
      <c r="MXD142" s="2"/>
      <c r="MXE142" s="2"/>
      <c r="MXF142" s="2"/>
      <c r="MXG142" s="2"/>
      <c r="MXH142" s="2"/>
      <c r="MXI142" s="2"/>
      <c r="MXJ142" s="2"/>
      <c r="MXK142" s="2"/>
      <c r="MXL142" s="2"/>
      <c r="MXM142" s="2"/>
      <c r="MXN142" s="2"/>
      <c r="MXO142" s="2"/>
      <c r="MXP142" s="2"/>
      <c r="MXQ142" s="2"/>
      <c r="MXR142" s="2"/>
      <c r="MXS142" s="2"/>
      <c r="MXT142" s="2"/>
      <c r="MXU142" s="2"/>
      <c r="MXV142" s="2"/>
      <c r="MXW142" s="2"/>
      <c r="MXX142" s="2"/>
      <c r="MXY142" s="2"/>
      <c r="MXZ142" s="2"/>
      <c r="MYA142" s="2"/>
      <c r="MYB142" s="2"/>
      <c r="MYC142" s="2"/>
      <c r="MYD142" s="2"/>
      <c r="MYE142" s="2"/>
      <c r="MYF142" s="2"/>
      <c r="MYG142" s="2"/>
      <c r="MYH142" s="2"/>
      <c r="MYI142" s="2"/>
      <c r="MYJ142" s="2"/>
      <c r="MYK142" s="2"/>
      <c r="MYL142" s="2"/>
      <c r="MYM142" s="2"/>
      <c r="MYN142" s="2"/>
      <c r="MYO142" s="2"/>
      <c r="MYP142" s="2"/>
      <c r="MYQ142" s="2"/>
      <c r="MYR142" s="2"/>
      <c r="MYS142" s="2"/>
      <c r="MYT142" s="2"/>
      <c r="MYU142" s="2"/>
      <c r="MYV142" s="2"/>
      <c r="MYW142" s="2"/>
      <c r="MYX142" s="2"/>
      <c r="MYY142" s="2"/>
      <c r="MYZ142" s="2"/>
      <c r="MZA142" s="2"/>
      <c r="MZB142" s="2"/>
      <c r="MZC142" s="2"/>
      <c r="MZD142" s="2"/>
      <c r="MZE142" s="2"/>
      <c r="MZF142" s="2"/>
      <c r="MZG142" s="2"/>
      <c r="MZH142" s="2"/>
      <c r="MZI142" s="2"/>
      <c r="MZJ142" s="2"/>
      <c r="MZK142" s="2"/>
      <c r="MZL142" s="2"/>
      <c r="MZM142" s="2"/>
      <c r="MZN142" s="2"/>
      <c r="MZO142" s="2"/>
      <c r="MZP142" s="2"/>
      <c r="MZQ142" s="2"/>
      <c r="MZR142" s="2"/>
      <c r="MZS142" s="2"/>
      <c r="MZT142" s="2"/>
      <c r="MZU142" s="2"/>
      <c r="MZV142" s="2"/>
      <c r="MZW142" s="2"/>
      <c r="MZX142" s="2"/>
      <c r="MZY142" s="2"/>
      <c r="MZZ142" s="2"/>
      <c r="NAA142" s="2"/>
      <c r="NAB142" s="2"/>
      <c r="NAC142" s="2"/>
      <c r="NAD142" s="2"/>
      <c r="NAE142" s="2"/>
      <c r="NAF142" s="2"/>
      <c r="NAG142" s="2"/>
      <c r="NAH142" s="2"/>
      <c r="NAI142" s="2"/>
      <c r="NAJ142" s="2"/>
      <c r="NAK142" s="2"/>
      <c r="NAL142" s="2"/>
      <c r="NAM142" s="2"/>
      <c r="NAN142" s="2"/>
      <c r="NAO142" s="2"/>
      <c r="NAP142" s="2"/>
      <c r="NAQ142" s="2"/>
      <c r="NAR142" s="2"/>
      <c r="NAS142" s="2"/>
      <c r="NAT142" s="2"/>
      <c r="NAU142" s="2"/>
      <c r="NAV142" s="2"/>
      <c r="NAW142" s="2"/>
      <c r="NAX142" s="2"/>
      <c r="NAY142" s="2"/>
      <c r="NAZ142" s="2"/>
      <c r="NBA142" s="2"/>
      <c r="NBB142" s="2"/>
      <c r="NBC142" s="2"/>
      <c r="NBD142" s="2"/>
      <c r="NBE142" s="2"/>
      <c r="NBF142" s="2"/>
      <c r="NBG142" s="2"/>
      <c r="NBH142" s="2"/>
      <c r="NBI142" s="2"/>
      <c r="NBJ142" s="2"/>
      <c r="NBK142" s="2"/>
      <c r="NBL142" s="2"/>
      <c r="NBM142" s="2"/>
      <c r="NBN142" s="2"/>
      <c r="NBO142" s="2"/>
      <c r="NBP142" s="2"/>
      <c r="NBQ142" s="2"/>
      <c r="NBR142" s="2"/>
      <c r="NBS142" s="2"/>
      <c r="NBT142" s="2"/>
      <c r="NBU142" s="2"/>
      <c r="NBV142" s="2"/>
      <c r="NBW142" s="2"/>
      <c r="NBX142" s="2"/>
      <c r="NBY142" s="2"/>
      <c r="NBZ142" s="2"/>
      <c r="NCA142" s="2"/>
      <c r="NCB142" s="2"/>
      <c r="NCC142" s="2"/>
      <c r="NCD142" s="2"/>
      <c r="NCE142" s="2"/>
      <c r="NCF142" s="2"/>
      <c r="NCG142" s="2"/>
      <c r="NCH142" s="2"/>
      <c r="NCI142" s="2"/>
      <c r="NCJ142" s="2"/>
      <c r="NCK142" s="2"/>
      <c r="NCL142" s="2"/>
      <c r="NCM142" s="2"/>
      <c r="NCN142" s="2"/>
      <c r="NCO142" s="2"/>
      <c r="NCP142" s="2"/>
      <c r="NCQ142" s="2"/>
      <c r="NCR142" s="2"/>
      <c r="NCS142" s="2"/>
      <c r="NCT142" s="2"/>
      <c r="NCU142" s="2"/>
      <c r="NCV142" s="2"/>
      <c r="NCW142" s="2"/>
      <c r="NCX142" s="2"/>
      <c r="NCY142" s="2"/>
      <c r="NCZ142" s="2"/>
      <c r="NDA142" s="2"/>
      <c r="NDB142" s="2"/>
      <c r="NDC142" s="2"/>
      <c r="NDD142" s="2"/>
      <c r="NDE142" s="2"/>
      <c r="NDF142" s="2"/>
      <c r="NDG142" s="2"/>
      <c r="NDH142" s="2"/>
      <c r="NDI142" s="2"/>
      <c r="NDJ142" s="2"/>
      <c r="NDK142" s="2"/>
      <c r="NDL142" s="2"/>
      <c r="NDM142" s="2"/>
      <c r="NDN142" s="2"/>
      <c r="NDO142" s="2"/>
      <c r="NDP142" s="2"/>
      <c r="NDQ142" s="2"/>
      <c r="NDR142" s="2"/>
      <c r="NDS142" s="2"/>
      <c r="NDT142" s="2"/>
      <c r="NDU142" s="2"/>
      <c r="NDV142" s="2"/>
      <c r="NDW142" s="2"/>
      <c r="NDX142" s="2"/>
      <c r="NDY142" s="2"/>
      <c r="NDZ142" s="2"/>
      <c r="NEA142" s="2"/>
      <c r="NEB142" s="2"/>
      <c r="NEC142" s="2"/>
      <c r="NED142" s="2"/>
      <c r="NEE142" s="2"/>
      <c r="NEF142" s="2"/>
      <c r="NEG142" s="2"/>
      <c r="NEH142" s="2"/>
      <c r="NEI142" s="2"/>
      <c r="NEJ142" s="2"/>
      <c r="NEK142" s="2"/>
      <c r="NEL142" s="2"/>
      <c r="NEM142" s="2"/>
      <c r="NEN142" s="2"/>
      <c r="NEO142" s="2"/>
      <c r="NEP142" s="2"/>
      <c r="NEQ142" s="2"/>
      <c r="NER142" s="2"/>
      <c r="NES142" s="2"/>
      <c r="NET142" s="2"/>
      <c r="NEU142" s="2"/>
      <c r="NEV142" s="2"/>
      <c r="NEW142" s="2"/>
      <c r="NEX142" s="2"/>
      <c r="NEY142" s="2"/>
      <c r="NEZ142" s="2"/>
      <c r="NFA142" s="2"/>
      <c r="NFB142" s="2"/>
      <c r="NFC142" s="2"/>
      <c r="NFD142" s="2"/>
      <c r="NFE142" s="2"/>
      <c r="NFF142" s="2"/>
      <c r="NFG142" s="2"/>
      <c r="NFH142" s="2"/>
      <c r="NFI142" s="2"/>
      <c r="NFJ142" s="2"/>
      <c r="NFK142" s="2"/>
      <c r="NFL142" s="2"/>
      <c r="NFM142" s="2"/>
      <c r="NFN142" s="2"/>
      <c r="NFO142" s="2"/>
      <c r="NFP142" s="2"/>
      <c r="NFQ142" s="2"/>
      <c r="NFR142" s="2"/>
      <c r="NFS142" s="2"/>
      <c r="NFT142" s="2"/>
      <c r="NFU142" s="2"/>
      <c r="NFV142" s="2"/>
      <c r="NFW142" s="2"/>
      <c r="NFX142" s="2"/>
      <c r="NFY142" s="2"/>
      <c r="NFZ142" s="2"/>
      <c r="NGA142" s="2"/>
      <c r="NGB142" s="2"/>
      <c r="NGC142" s="2"/>
      <c r="NGD142" s="2"/>
      <c r="NGE142" s="2"/>
      <c r="NGF142" s="2"/>
      <c r="NGG142" s="2"/>
      <c r="NGH142" s="2"/>
      <c r="NGI142" s="2"/>
      <c r="NGJ142" s="2"/>
      <c r="NGK142" s="2"/>
      <c r="NGL142" s="2"/>
      <c r="NGM142" s="2"/>
      <c r="NGN142" s="2"/>
      <c r="NGO142" s="2"/>
      <c r="NGP142" s="2"/>
      <c r="NGQ142" s="2"/>
      <c r="NGR142" s="2"/>
      <c r="NGS142" s="2"/>
      <c r="NGT142" s="2"/>
      <c r="NGU142" s="2"/>
      <c r="NGV142" s="2"/>
      <c r="NGW142" s="2"/>
      <c r="NGX142" s="2"/>
      <c r="NGY142" s="2"/>
      <c r="NGZ142" s="2"/>
      <c r="NHA142" s="2"/>
      <c r="NHB142" s="2"/>
      <c r="NHC142" s="2"/>
      <c r="NHD142" s="2"/>
      <c r="NHE142" s="2"/>
      <c r="NHF142" s="2"/>
      <c r="NHG142" s="2"/>
      <c r="NHH142" s="2"/>
      <c r="NHI142" s="2"/>
      <c r="NHJ142" s="2"/>
      <c r="NHK142" s="2"/>
      <c r="NHL142" s="2"/>
      <c r="NHM142" s="2"/>
      <c r="NHN142" s="2"/>
      <c r="NHO142" s="2"/>
      <c r="NHP142" s="2"/>
      <c r="NHQ142" s="2"/>
      <c r="NHR142" s="2"/>
      <c r="NHS142" s="2"/>
      <c r="NHT142" s="2"/>
      <c r="NHU142" s="2"/>
      <c r="NHV142" s="2"/>
      <c r="NHW142" s="2"/>
      <c r="NHX142" s="2"/>
      <c r="NHY142" s="2"/>
      <c r="NHZ142" s="2"/>
      <c r="NIA142" s="2"/>
      <c r="NIB142" s="2"/>
      <c r="NIC142" s="2"/>
      <c r="NID142" s="2"/>
      <c r="NIE142" s="2"/>
      <c r="NIF142" s="2"/>
      <c r="NIG142" s="2"/>
      <c r="NIH142" s="2"/>
      <c r="NII142" s="2"/>
      <c r="NIJ142" s="2"/>
      <c r="NIK142" s="2"/>
      <c r="NIL142" s="2"/>
      <c r="NIM142" s="2"/>
      <c r="NIN142" s="2"/>
      <c r="NIO142" s="2"/>
      <c r="NIP142" s="2"/>
      <c r="NIQ142" s="2"/>
      <c r="NIR142" s="2"/>
      <c r="NIS142" s="2"/>
      <c r="NIT142" s="2"/>
      <c r="NIU142" s="2"/>
      <c r="NIV142" s="2"/>
      <c r="NIW142" s="2"/>
      <c r="NIX142" s="2"/>
      <c r="NIY142" s="2"/>
      <c r="NIZ142" s="2"/>
      <c r="NJA142" s="2"/>
      <c r="NJB142" s="2"/>
      <c r="NJC142" s="2"/>
      <c r="NJD142" s="2"/>
      <c r="NJE142" s="2"/>
      <c r="NJF142" s="2"/>
      <c r="NJG142" s="2"/>
      <c r="NJH142" s="2"/>
      <c r="NJI142" s="2"/>
      <c r="NJJ142" s="2"/>
      <c r="NJK142" s="2"/>
      <c r="NJL142" s="2"/>
      <c r="NJM142" s="2"/>
      <c r="NJN142" s="2"/>
      <c r="NJO142" s="2"/>
      <c r="NJP142" s="2"/>
      <c r="NJQ142" s="2"/>
      <c r="NJR142" s="2"/>
      <c r="NJS142" s="2"/>
      <c r="NJT142" s="2"/>
      <c r="NJU142" s="2"/>
      <c r="NJV142" s="2"/>
      <c r="NJW142" s="2"/>
      <c r="NJX142" s="2"/>
      <c r="NJY142" s="2"/>
      <c r="NJZ142" s="2"/>
      <c r="NKA142" s="2"/>
      <c r="NKB142" s="2"/>
      <c r="NKC142" s="2"/>
      <c r="NKD142" s="2"/>
      <c r="NKE142" s="2"/>
      <c r="NKF142" s="2"/>
      <c r="NKG142" s="2"/>
      <c r="NKH142" s="2"/>
      <c r="NKI142" s="2"/>
      <c r="NKJ142" s="2"/>
      <c r="NKK142" s="2"/>
      <c r="NKL142" s="2"/>
      <c r="NKM142" s="2"/>
      <c r="NKN142" s="2"/>
      <c r="NKO142" s="2"/>
      <c r="NKP142" s="2"/>
      <c r="NKQ142" s="2"/>
      <c r="NKR142" s="2"/>
      <c r="NKS142" s="2"/>
      <c r="NKT142" s="2"/>
      <c r="NKU142" s="2"/>
      <c r="NKV142" s="2"/>
      <c r="NKW142" s="2"/>
      <c r="NKX142" s="2"/>
      <c r="NKY142" s="2"/>
      <c r="NKZ142" s="2"/>
      <c r="NLA142" s="2"/>
      <c r="NLB142" s="2"/>
      <c r="NLC142" s="2"/>
      <c r="NLD142" s="2"/>
      <c r="NLE142" s="2"/>
      <c r="NLF142" s="2"/>
      <c r="NLG142" s="2"/>
      <c r="NLH142" s="2"/>
      <c r="NLI142" s="2"/>
      <c r="NLJ142" s="2"/>
      <c r="NLK142" s="2"/>
      <c r="NLL142" s="2"/>
      <c r="NLM142" s="2"/>
      <c r="NLN142" s="2"/>
      <c r="NLO142" s="2"/>
      <c r="NLP142" s="2"/>
      <c r="NLQ142" s="2"/>
      <c r="NLR142" s="2"/>
      <c r="NLS142" s="2"/>
      <c r="NLT142" s="2"/>
      <c r="NLU142" s="2"/>
      <c r="NLV142" s="2"/>
      <c r="NLW142" s="2"/>
      <c r="NLX142" s="2"/>
      <c r="NLY142" s="2"/>
      <c r="NLZ142" s="2"/>
      <c r="NMA142" s="2"/>
      <c r="NMB142" s="2"/>
      <c r="NMC142" s="2"/>
      <c r="NMD142" s="2"/>
      <c r="NME142" s="2"/>
      <c r="NMF142" s="2"/>
      <c r="NMG142" s="2"/>
      <c r="NMH142" s="2"/>
      <c r="NMI142" s="2"/>
      <c r="NMJ142" s="2"/>
      <c r="NMK142" s="2"/>
      <c r="NML142" s="2"/>
      <c r="NMM142" s="2"/>
      <c r="NMN142" s="2"/>
      <c r="NMO142" s="2"/>
      <c r="NMP142" s="2"/>
      <c r="NMQ142" s="2"/>
      <c r="NMR142" s="2"/>
      <c r="NMS142" s="2"/>
      <c r="NMT142" s="2"/>
      <c r="NMU142" s="2"/>
      <c r="NMV142" s="2"/>
      <c r="NMW142" s="2"/>
      <c r="NMX142" s="2"/>
      <c r="NMY142" s="2"/>
      <c r="NMZ142" s="2"/>
      <c r="NNA142" s="2"/>
      <c r="NNB142" s="2"/>
      <c r="NNC142" s="2"/>
      <c r="NND142" s="2"/>
      <c r="NNE142" s="2"/>
      <c r="NNF142" s="2"/>
      <c r="NNG142" s="2"/>
      <c r="NNH142" s="2"/>
      <c r="NNI142" s="2"/>
      <c r="NNJ142" s="2"/>
      <c r="NNK142" s="2"/>
      <c r="NNL142" s="2"/>
      <c r="NNM142" s="2"/>
      <c r="NNN142" s="2"/>
      <c r="NNO142" s="2"/>
      <c r="NNP142" s="2"/>
      <c r="NNQ142" s="2"/>
      <c r="NNR142" s="2"/>
      <c r="NNS142" s="2"/>
      <c r="NNT142" s="2"/>
      <c r="NNU142" s="2"/>
      <c r="NNV142" s="2"/>
      <c r="NNW142" s="2"/>
      <c r="NNX142" s="2"/>
      <c r="NNY142" s="2"/>
      <c r="NNZ142" s="2"/>
      <c r="NOA142" s="2"/>
      <c r="NOB142" s="2"/>
      <c r="NOC142" s="2"/>
      <c r="NOD142" s="2"/>
      <c r="NOE142" s="2"/>
      <c r="NOF142" s="2"/>
      <c r="NOG142" s="2"/>
      <c r="NOH142" s="2"/>
      <c r="NOI142" s="2"/>
      <c r="NOJ142" s="2"/>
      <c r="NOK142" s="2"/>
      <c r="NOL142" s="2"/>
      <c r="NOM142" s="2"/>
      <c r="NON142" s="2"/>
      <c r="NOO142" s="2"/>
      <c r="NOP142" s="2"/>
      <c r="NOQ142" s="2"/>
      <c r="NOR142" s="2"/>
      <c r="NOS142" s="2"/>
      <c r="NOT142" s="2"/>
      <c r="NOU142" s="2"/>
      <c r="NOV142" s="2"/>
      <c r="NOW142" s="2"/>
      <c r="NOX142" s="2"/>
      <c r="NOY142" s="2"/>
      <c r="NOZ142" s="2"/>
      <c r="NPA142" s="2"/>
      <c r="NPB142" s="2"/>
      <c r="NPC142" s="2"/>
      <c r="NPD142" s="2"/>
      <c r="NPE142" s="2"/>
      <c r="NPF142" s="2"/>
      <c r="NPG142" s="2"/>
      <c r="NPH142" s="2"/>
      <c r="NPI142" s="2"/>
      <c r="NPJ142" s="2"/>
      <c r="NPK142" s="2"/>
      <c r="NPL142" s="2"/>
      <c r="NPM142" s="2"/>
      <c r="NPN142" s="2"/>
      <c r="NPO142" s="2"/>
      <c r="NPP142" s="2"/>
      <c r="NPQ142" s="2"/>
      <c r="NPR142" s="2"/>
      <c r="NPS142" s="2"/>
      <c r="NPT142" s="2"/>
      <c r="NPU142" s="2"/>
      <c r="NPV142" s="2"/>
      <c r="NPW142" s="2"/>
      <c r="NPX142" s="2"/>
      <c r="NPY142" s="2"/>
      <c r="NPZ142" s="2"/>
      <c r="NQA142" s="2"/>
      <c r="NQB142" s="2"/>
      <c r="NQC142" s="2"/>
      <c r="NQD142" s="2"/>
      <c r="NQE142" s="2"/>
      <c r="NQF142" s="2"/>
      <c r="NQG142" s="2"/>
      <c r="NQH142" s="2"/>
      <c r="NQI142" s="2"/>
      <c r="NQJ142" s="2"/>
      <c r="NQK142" s="2"/>
      <c r="NQL142" s="2"/>
      <c r="NQM142" s="2"/>
      <c r="NQN142" s="2"/>
      <c r="NQO142" s="2"/>
      <c r="NQP142" s="2"/>
      <c r="NQQ142" s="2"/>
      <c r="NQR142" s="2"/>
      <c r="NQS142" s="2"/>
      <c r="NQT142" s="2"/>
      <c r="NQU142" s="2"/>
      <c r="NQV142" s="2"/>
      <c r="NQW142" s="2"/>
      <c r="NQX142" s="2"/>
      <c r="NQY142" s="2"/>
      <c r="NQZ142" s="2"/>
      <c r="NRA142" s="2"/>
      <c r="NRB142" s="2"/>
      <c r="NRC142" s="2"/>
      <c r="NRD142" s="2"/>
      <c r="NRE142" s="2"/>
      <c r="NRF142" s="2"/>
      <c r="NRG142" s="2"/>
      <c r="NRH142" s="2"/>
      <c r="NRI142" s="2"/>
      <c r="NRJ142" s="2"/>
      <c r="NRK142" s="2"/>
      <c r="NRL142" s="2"/>
      <c r="NRM142" s="2"/>
      <c r="NRN142" s="2"/>
      <c r="NRO142" s="2"/>
      <c r="NRP142" s="2"/>
      <c r="NRQ142" s="2"/>
      <c r="NRR142" s="2"/>
      <c r="NRS142" s="2"/>
      <c r="NRT142" s="2"/>
      <c r="NRU142" s="2"/>
      <c r="NRV142" s="2"/>
      <c r="NRW142" s="2"/>
      <c r="NRX142" s="2"/>
      <c r="NRY142" s="2"/>
      <c r="NRZ142" s="2"/>
      <c r="NSA142" s="2"/>
      <c r="NSB142" s="2"/>
      <c r="NSC142" s="2"/>
      <c r="NSD142" s="2"/>
      <c r="NSE142" s="2"/>
      <c r="NSF142" s="2"/>
      <c r="NSG142" s="2"/>
      <c r="NSH142" s="2"/>
      <c r="NSI142" s="2"/>
      <c r="NSJ142" s="2"/>
      <c r="NSK142" s="2"/>
      <c r="NSL142" s="2"/>
      <c r="NSM142" s="2"/>
      <c r="NSN142" s="2"/>
      <c r="NSO142" s="2"/>
      <c r="NSP142" s="2"/>
      <c r="NSQ142" s="2"/>
      <c r="NSR142" s="2"/>
      <c r="NSS142" s="2"/>
      <c r="NST142" s="2"/>
      <c r="NSU142" s="2"/>
      <c r="NSV142" s="2"/>
      <c r="NSW142" s="2"/>
      <c r="NSX142" s="2"/>
      <c r="NSY142" s="2"/>
      <c r="NSZ142" s="2"/>
      <c r="NTA142" s="2"/>
      <c r="NTB142" s="2"/>
      <c r="NTC142" s="2"/>
      <c r="NTD142" s="2"/>
      <c r="NTE142" s="2"/>
      <c r="NTF142" s="2"/>
      <c r="NTG142" s="2"/>
      <c r="NTH142" s="2"/>
      <c r="NTI142" s="2"/>
      <c r="NTJ142" s="2"/>
      <c r="NTK142" s="2"/>
      <c r="NTL142" s="2"/>
      <c r="NTM142" s="2"/>
      <c r="NTN142" s="2"/>
      <c r="NTO142" s="2"/>
      <c r="NTP142" s="2"/>
      <c r="NTQ142" s="2"/>
      <c r="NTR142" s="2"/>
      <c r="NTS142" s="2"/>
      <c r="NTT142" s="2"/>
      <c r="NTU142" s="2"/>
      <c r="NTV142" s="2"/>
      <c r="NTW142" s="2"/>
      <c r="NTX142" s="2"/>
      <c r="NTY142" s="2"/>
      <c r="NTZ142" s="2"/>
      <c r="NUA142" s="2"/>
      <c r="NUB142" s="2"/>
      <c r="NUC142" s="2"/>
      <c r="NUD142" s="2"/>
      <c r="NUE142" s="2"/>
      <c r="NUF142" s="2"/>
      <c r="NUG142" s="2"/>
      <c r="NUH142" s="2"/>
      <c r="NUI142" s="2"/>
      <c r="NUJ142" s="2"/>
      <c r="NUK142" s="2"/>
      <c r="NUL142" s="2"/>
      <c r="NUM142" s="2"/>
      <c r="NUN142" s="2"/>
      <c r="NUO142" s="2"/>
      <c r="NUP142" s="2"/>
      <c r="NUQ142" s="2"/>
      <c r="NUR142" s="2"/>
      <c r="NUS142" s="2"/>
      <c r="NUT142" s="2"/>
      <c r="NUU142" s="2"/>
      <c r="NUV142" s="2"/>
      <c r="NUW142" s="2"/>
      <c r="NUX142" s="2"/>
      <c r="NUY142" s="2"/>
      <c r="NUZ142" s="2"/>
      <c r="NVA142" s="2"/>
      <c r="NVB142" s="2"/>
      <c r="NVC142" s="2"/>
      <c r="NVD142" s="2"/>
      <c r="NVE142" s="2"/>
      <c r="NVF142" s="2"/>
      <c r="NVG142" s="2"/>
      <c r="NVH142" s="2"/>
      <c r="NVI142" s="2"/>
      <c r="NVJ142" s="2"/>
      <c r="NVK142" s="2"/>
      <c r="NVL142" s="2"/>
      <c r="NVM142" s="2"/>
      <c r="NVN142" s="2"/>
      <c r="NVO142" s="2"/>
      <c r="NVP142" s="2"/>
      <c r="NVQ142" s="2"/>
      <c r="NVR142" s="2"/>
      <c r="NVS142" s="2"/>
      <c r="NVT142" s="2"/>
      <c r="NVU142" s="2"/>
      <c r="NVV142" s="2"/>
      <c r="NVW142" s="2"/>
      <c r="NVX142" s="2"/>
      <c r="NVY142" s="2"/>
      <c r="NVZ142" s="2"/>
      <c r="NWA142" s="2"/>
      <c r="NWB142" s="2"/>
      <c r="NWC142" s="2"/>
      <c r="NWD142" s="2"/>
      <c r="NWE142" s="2"/>
      <c r="NWF142" s="2"/>
      <c r="NWG142" s="2"/>
      <c r="NWH142" s="2"/>
      <c r="NWI142" s="2"/>
      <c r="NWJ142" s="2"/>
      <c r="NWK142" s="2"/>
      <c r="NWL142" s="2"/>
      <c r="NWM142" s="2"/>
      <c r="NWN142" s="2"/>
      <c r="NWO142" s="2"/>
      <c r="NWP142" s="2"/>
      <c r="NWQ142" s="2"/>
      <c r="NWR142" s="2"/>
      <c r="NWS142" s="2"/>
      <c r="NWT142" s="2"/>
      <c r="NWU142" s="2"/>
      <c r="NWV142" s="2"/>
      <c r="NWW142" s="2"/>
      <c r="NWX142" s="2"/>
      <c r="NWY142" s="2"/>
      <c r="NWZ142" s="2"/>
      <c r="NXA142" s="2"/>
      <c r="NXB142" s="2"/>
      <c r="NXC142" s="2"/>
      <c r="NXD142" s="2"/>
      <c r="NXE142" s="2"/>
      <c r="NXF142" s="2"/>
      <c r="NXG142" s="2"/>
      <c r="NXH142" s="2"/>
      <c r="NXI142" s="2"/>
      <c r="NXJ142" s="2"/>
      <c r="NXK142" s="2"/>
      <c r="NXL142" s="2"/>
      <c r="NXM142" s="2"/>
      <c r="NXN142" s="2"/>
      <c r="NXO142" s="2"/>
      <c r="NXP142" s="2"/>
      <c r="NXQ142" s="2"/>
      <c r="NXR142" s="2"/>
      <c r="NXS142" s="2"/>
      <c r="NXT142" s="2"/>
      <c r="NXU142" s="2"/>
      <c r="NXV142" s="2"/>
      <c r="NXW142" s="2"/>
      <c r="NXX142" s="2"/>
      <c r="NXY142" s="2"/>
      <c r="NXZ142" s="2"/>
      <c r="NYA142" s="2"/>
      <c r="NYB142" s="2"/>
      <c r="NYC142" s="2"/>
      <c r="NYD142" s="2"/>
      <c r="NYE142" s="2"/>
      <c r="NYF142" s="2"/>
      <c r="NYG142" s="2"/>
      <c r="NYH142" s="2"/>
      <c r="NYI142" s="2"/>
      <c r="NYJ142" s="2"/>
      <c r="NYK142" s="2"/>
      <c r="NYL142" s="2"/>
      <c r="NYM142" s="2"/>
      <c r="NYN142" s="2"/>
      <c r="NYO142" s="2"/>
      <c r="NYP142" s="2"/>
      <c r="NYQ142" s="2"/>
      <c r="NYR142" s="2"/>
      <c r="NYS142" s="2"/>
      <c r="NYT142" s="2"/>
      <c r="NYU142" s="2"/>
      <c r="NYV142" s="2"/>
      <c r="NYW142" s="2"/>
      <c r="NYX142" s="2"/>
      <c r="NYY142" s="2"/>
      <c r="NYZ142" s="2"/>
      <c r="NZA142" s="2"/>
      <c r="NZB142" s="2"/>
      <c r="NZC142" s="2"/>
      <c r="NZD142" s="2"/>
      <c r="NZE142" s="2"/>
      <c r="NZF142" s="2"/>
      <c r="NZG142" s="2"/>
      <c r="NZH142" s="2"/>
      <c r="NZI142" s="2"/>
      <c r="NZJ142" s="2"/>
      <c r="NZK142" s="2"/>
      <c r="NZL142" s="2"/>
      <c r="NZM142" s="2"/>
      <c r="NZN142" s="2"/>
      <c r="NZO142" s="2"/>
      <c r="NZP142" s="2"/>
      <c r="NZQ142" s="2"/>
      <c r="NZR142" s="2"/>
      <c r="NZS142" s="2"/>
      <c r="NZT142" s="2"/>
      <c r="NZU142" s="2"/>
      <c r="NZV142" s="2"/>
      <c r="NZW142" s="2"/>
      <c r="NZX142" s="2"/>
      <c r="NZY142" s="2"/>
      <c r="NZZ142" s="2"/>
      <c r="OAA142" s="2"/>
      <c r="OAB142" s="2"/>
      <c r="OAC142" s="2"/>
      <c r="OAD142" s="2"/>
      <c r="OAE142" s="2"/>
      <c r="OAF142" s="2"/>
      <c r="OAG142" s="2"/>
      <c r="OAH142" s="2"/>
      <c r="OAI142" s="2"/>
      <c r="OAJ142" s="2"/>
      <c r="OAK142" s="2"/>
      <c r="OAL142" s="2"/>
      <c r="OAM142" s="2"/>
      <c r="OAN142" s="2"/>
      <c r="OAO142" s="2"/>
      <c r="OAP142" s="2"/>
      <c r="OAQ142" s="2"/>
      <c r="OAR142" s="2"/>
      <c r="OAS142" s="2"/>
      <c r="OAT142" s="2"/>
      <c r="OAU142" s="2"/>
      <c r="OAV142" s="2"/>
      <c r="OAW142" s="2"/>
      <c r="OAX142" s="2"/>
      <c r="OAY142" s="2"/>
      <c r="OAZ142" s="2"/>
      <c r="OBA142" s="2"/>
      <c r="OBB142" s="2"/>
      <c r="OBC142" s="2"/>
      <c r="OBD142" s="2"/>
      <c r="OBE142" s="2"/>
      <c r="OBF142" s="2"/>
      <c r="OBG142" s="2"/>
      <c r="OBH142" s="2"/>
      <c r="OBI142" s="2"/>
      <c r="OBJ142" s="2"/>
      <c r="OBK142" s="2"/>
      <c r="OBL142" s="2"/>
      <c r="OBM142" s="2"/>
      <c r="OBN142" s="2"/>
      <c r="OBO142" s="2"/>
      <c r="OBP142" s="2"/>
      <c r="OBQ142" s="2"/>
      <c r="OBR142" s="2"/>
      <c r="OBS142" s="2"/>
      <c r="OBT142" s="2"/>
      <c r="OBU142" s="2"/>
      <c r="OBV142" s="2"/>
      <c r="OBW142" s="2"/>
      <c r="OBX142" s="2"/>
      <c r="OBY142" s="2"/>
      <c r="OBZ142" s="2"/>
      <c r="OCA142" s="2"/>
      <c r="OCB142" s="2"/>
      <c r="OCC142" s="2"/>
      <c r="OCD142" s="2"/>
      <c r="OCE142" s="2"/>
      <c r="OCF142" s="2"/>
      <c r="OCG142" s="2"/>
      <c r="OCH142" s="2"/>
      <c r="OCI142" s="2"/>
      <c r="OCJ142" s="2"/>
      <c r="OCK142" s="2"/>
      <c r="OCL142" s="2"/>
      <c r="OCM142" s="2"/>
      <c r="OCN142" s="2"/>
      <c r="OCO142" s="2"/>
      <c r="OCP142" s="2"/>
      <c r="OCQ142" s="2"/>
      <c r="OCR142" s="2"/>
      <c r="OCS142" s="2"/>
      <c r="OCT142" s="2"/>
      <c r="OCU142" s="2"/>
      <c r="OCV142" s="2"/>
      <c r="OCW142" s="2"/>
      <c r="OCX142" s="2"/>
      <c r="OCY142" s="2"/>
      <c r="OCZ142" s="2"/>
      <c r="ODA142" s="2"/>
      <c r="ODB142" s="2"/>
      <c r="ODC142" s="2"/>
      <c r="ODD142" s="2"/>
      <c r="ODE142" s="2"/>
      <c r="ODF142" s="2"/>
      <c r="ODG142" s="2"/>
      <c r="ODH142" s="2"/>
      <c r="ODI142" s="2"/>
      <c r="ODJ142" s="2"/>
      <c r="ODK142" s="2"/>
      <c r="ODL142" s="2"/>
      <c r="ODM142" s="2"/>
      <c r="ODN142" s="2"/>
      <c r="ODO142" s="2"/>
      <c r="ODP142" s="2"/>
      <c r="ODQ142" s="2"/>
      <c r="ODR142" s="2"/>
      <c r="ODS142" s="2"/>
      <c r="ODT142" s="2"/>
      <c r="ODU142" s="2"/>
      <c r="ODV142" s="2"/>
      <c r="ODW142" s="2"/>
      <c r="ODX142" s="2"/>
      <c r="ODY142" s="2"/>
      <c r="ODZ142" s="2"/>
      <c r="OEA142" s="2"/>
      <c r="OEB142" s="2"/>
      <c r="OEC142" s="2"/>
      <c r="OED142" s="2"/>
      <c r="OEE142" s="2"/>
      <c r="OEF142" s="2"/>
      <c r="OEG142" s="2"/>
      <c r="OEH142" s="2"/>
      <c r="OEI142" s="2"/>
      <c r="OEJ142" s="2"/>
      <c r="OEK142" s="2"/>
      <c r="OEL142" s="2"/>
      <c r="OEM142" s="2"/>
      <c r="OEN142" s="2"/>
      <c r="OEO142" s="2"/>
      <c r="OEP142" s="2"/>
      <c r="OEQ142" s="2"/>
      <c r="OER142" s="2"/>
      <c r="OES142" s="2"/>
      <c r="OET142" s="2"/>
      <c r="OEU142" s="2"/>
      <c r="OEV142" s="2"/>
      <c r="OEW142" s="2"/>
      <c r="OEX142" s="2"/>
      <c r="OEY142" s="2"/>
      <c r="OEZ142" s="2"/>
      <c r="OFA142" s="2"/>
      <c r="OFB142" s="2"/>
      <c r="OFC142" s="2"/>
      <c r="OFD142" s="2"/>
      <c r="OFE142" s="2"/>
      <c r="OFF142" s="2"/>
      <c r="OFG142" s="2"/>
      <c r="OFH142" s="2"/>
      <c r="OFI142" s="2"/>
      <c r="OFJ142" s="2"/>
      <c r="OFK142" s="2"/>
      <c r="OFL142" s="2"/>
      <c r="OFM142" s="2"/>
      <c r="OFN142" s="2"/>
      <c r="OFO142" s="2"/>
      <c r="OFP142" s="2"/>
      <c r="OFQ142" s="2"/>
      <c r="OFR142" s="2"/>
      <c r="OFS142" s="2"/>
      <c r="OFT142" s="2"/>
      <c r="OFU142" s="2"/>
      <c r="OFV142" s="2"/>
      <c r="OFW142" s="2"/>
      <c r="OFX142" s="2"/>
      <c r="OFY142" s="2"/>
      <c r="OFZ142" s="2"/>
      <c r="OGA142" s="2"/>
      <c r="OGB142" s="2"/>
      <c r="OGC142" s="2"/>
      <c r="OGD142" s="2"/>
      <c r="OGE142" s="2"/>
      <c r="OGF142" s="2"/>
      <c r="OGG142" s="2"/>
      <c r="OGH142" s="2"/>
      <c r="OGI142" s="2"/>
      <c r="OGJ142" s="2"/>
      <c r="OGK142" s="2"/>
      <c r="OGL142" s="2"/>
      <c r="OGM142" s="2"/>
      <c r="OGN142" s="2"/>
      <c r="OGO142" s="2"/>
      <c r="OGP142" s="2"/>
      <c r="OGQ142" s="2"/>
      <c r="OGR142" s="2"/>
      <c r="OGS142" s="2"/>
      <c r="OGT142" s="2"/>
      <c r="OGU142" s="2"/>
      <c r="OGV142" s="2"/>
      <c r="OGW142" s="2"/>
      <c r="OGX142" s="2"/>
      <c r="OGY142" s="2"/>
      <c r="OGZ142" s="2"/>
      <c r="OHA142" s="2"/>
      <c r="OHB142" s="2"/>
      <c r="OHC142" s="2"/>
      <c r="OHD142" s="2"/>
      <c r="OHE142" s="2"/>
      <c r="OHF142" s="2"/>
      <c r="OHG142" s="2"/>
      <c r="OHH142" s="2"/>
      <c r="OHI142" s="2"/>
      <c r="OHJ142" s="2"/>
      <c r="OHK142" s="2"/>
      <c r="OHL142" s="2"/>
      <c r="OHM142" s="2"/>
      <c r="OHN142" s="2"/>
      <c r="OHO142" s="2"/>
      <c r="OHP142" s="2"/>
      <c r="OHQ142" s="2"/>
      <c r="OHR142" s="2"/>
      <c r="OHS142" s="2"/>
      <c r="OHT142" s="2"/>
      <c r="OHU142" s="2"/>
      <c r="OHV142" s="2"/>
      <c r="OHW142" s="2"/>
      <c r="OHX142" s="2"/>
      <c r="OHY142" s="2"/>
      <c r="OHZ142" s="2"/>
      <c r="OIA142" s="2"/>
      <c r="OIB142" s="2"/>
      <c r="OIC142" s="2"/>
      <c r="OID142" s="2"/>
      <c r="OIE142" s="2"/>
      <c r="OIF142" s="2"/>
      <c r="OIG142" s="2"/>
      <c r="OIH142" s="2"/>
      <c r="OII142" s="2"/>
      <c r="OIJ142" s="2"/>
      <c r="OIK142" s="2"/>
      <c r="OIL142" s="2"/>
      <c r="OIM142" s="2"/>
      <c r="OIN142" s="2"/>
      <c r="OIO142" s="2"/>
      <c r="OIP142" s="2"/>
      <c r="OIQ142" s="2"/>
      <c r="OIR142" s="2"/>
      <c r="OIS142" s="2"/>
      <c r="OIT142" s="2"/>
      <c r="OIU142" s="2"/>
      <c r="OIV142" s="2"/>
      <c r="OIW142" s="2"/>
      <c r="OIX142" s="2"/>
      <c r="OIY142" s="2"/>
      <c r="OIZ142" s="2"/>
      <c r="OJA142" s="2"/>
      <c r="OJB142" s="2"/>
      <c r="OJC142" s="2"/>
      <c r="OJD142" s="2"/>
      <c r="OJE142" s="2"/>
      <c r="OJF142" s="2"/>
      <c r="OJG142" s="2"/>
      <c r="OJH142" s="2"/>
      <c r="OJI142" s="2"/>
      <c r="OJJ142" s="2"/>
      <c r="OJK142" s="2"/>
      <c r="OJL142" s="2"/>
      <c r="OJM142" s="2"/>
      <c r="OJN142" s="2"/>
      <c r="OJO142" s="2"/>
      <c r="OJP142" s="2"/>
      <c r="OJQ142" s="2"/>
      <c r="OJR142" s="2"/>
      <c r="OJS142" s="2"/>
      <c r="OJT142" s="2"/>
      <c r="OJU142" s="2"/>
      <c r="OJV142" s="2"/>
      <c r="OJW142" s="2"/>
      <c r="OJX142" s="2"/>
      <c r="OJY142" s="2"/>
      <c r="OJZ142" s="2"/>
      <c r="OKA142" s="2"/>
      <c r="OKB142" s="2"/>
      <c r="OKC142" s="2"/>
      <c r="OKD142" s="2"/>
      <c r="OKE142" s="2"/>
      <c r="OKF142" s="2"/>
      <c r="OKG142" s="2"/>
      <c r="OKH142" s="2"/>
      <c r="OKI142" s="2"/>
      <c r="OKJ142" s="2"/>
      <c r="OKK142" s="2"/>
      <c r="OKL142" s="2"/>
      <c r="OKM142" s="2"/>
      <c r="OKN142" s="2"/>
      <c r="OKO142" s="2"/>
      <c r="OKP142" s="2"/>
      <c r="OKQ142" s="2"/>
      <c r="OKR142" s="2"/>
      <c r="OKS142" s="2"/>
      <c r="OKT142" s="2"/>
      <c r="OKU142" s="2"/>
      <c r="OKV142" s="2"/>
      <c r="OKW142" s="2"/>
      <c r="OKX142" s="2"/>
      <c r="OKY142" s="2"/>
      <c r="OKZ142" s="2"/>
      <c r="OLA142" s="2"/>
      <c r="OLB142" s="2"/>
      <c r="OLC142" s="2"/>
      <c r="OLD142" s="2"/>
      <c r="OLE142" s="2"/>
      <c r="OLF142" s="2"/>
      <c r="OLG142" s="2"/>
      <c r="OLH142" s="2"/>
      <c r="OLI142" s="2"/>
      <c r="OLJ142" s="2"/>
      <c r="OLK142" s="2"/>
      <c r="OLL142" s="2"/>
      <c r="OLM142" s="2"/>
      <c r="OLN142" s="2"/>
      <c r="OLO142" s="2"/>
      <c r="OLP142" s="2"/>
      <c r="OLQ142" s="2"/>
      <c r="OLR142" s="2"/>
      <c r="OLS142" s="2"/>
      <c r="OLT142" s="2"/>
      <c r="OLU142" s="2"/>
      <c r="OLV142" s="2"/>
      <c r="OLW142" s="2"/>
      <c r="OLX142" s="2"/>
      <c r="OLY142" s="2"/>
      <c r="OLZ142" s="2"/>
      <c r="OMA142" s="2"/>
      <c r="OMB142" s="2"/>
      <c r="OMC142" s="2"/>
      <c r="OMD142" s="2"/>
      <c r="OME142" s="2"/>
      <c r="OMF142" s="2"/>
      <c r="OMG142" s="2"/>
      <c r="OMH142" s="2"/>
      <c r="OMI142" s="2"/>
      <c r="OMJ142" s="2"/>
      <c r="OMK142" s="2"/>
      <c r="OML142" s="2"/>
      <c r="OMM142" s="2"/>
      <c r="OMN142" s="2"/>
      <c r="OMO142" s="2"/>
      <c r="OMP142" s="2"/>
      <c r="OMQ142" s="2"/>
      <c r="OMR142" s="2"/>
      <c r="OMS142" s="2"/>
      <c r="OMT142" s="2"/>
      <c r="OMU142" s="2"/>
      <c r="OMV142" s="2"/>
      <c r="OMW142" s="2"/>
      <c r="OMX142" s="2"/>
      <c r="OMY142" s="2"/>
      <c r="OMZ142" s="2"/>
      <c r="ONA142" s="2"/>
      <c r="ONB142" s="2"/>
      <c r="ONC142" s="2"/>
      <c r="OND142" s="2"/>
      <c r="ONE142" s="2"/>
      <c r="ONF142" s="2"/>
      <c r="ONG142" s="2"/>
      <c r="ONH142" s="2"/>
      <c r="ONI142" s="2"/>
      <c r="ONJ142" s="2"/>
      <c r="ONK142" s="2"/>
      <c r="ONL142" s="2"/>
      <c r="ONM142" s="2"/>
      <c r="ONN142" s="2"/>
      <c r="ONO142" s="2"/>
      <c r="ONP142" s="2"/>
      <c r="ONQ142" s="2"/>
      <c r="ONR142" s="2"/>
      <c r="ONS142" s="2"/>
      <c r="ONT142" s="2"/>
      <c r="ONU142" s="2"/>
      <c r="ONV142" s="2"/>
      <c r="ONW142" s="2"/>
      <c r="ONX142" s="2"/>
      <c r="ONY142" s="2"/>
      <c r="ONZ142" s="2"/>
      <c r="OOA142" s="2"/>
      <c r="OOB142" s="2"/>
      <c r="OOC142" s="2"/>
      <c r="OOD142" s="2"/>
      <c r="OOE142" s="2"/>
      <c r="OOF142" s="2"/>
      <c r="OOG142" s="2"/>
      <c r="OOH142" s="2"/>
      <c r="OOI142" s="2"/>
      <c r="OOJ142" s="2"/>
      <c r="OOK142" s="2"/>
      <c r="OOL142" s="2"/>
      <c r="OOM142" s="2"/>
      <c r="OON142" s="2"/>
      <c r="OOO142" s="2"/>
      <c r="OOP142" s="2"/>
      <c r="OOQ142" s="2"/>
      <c r="OOR142" s="2"/>
      <c r="OOS142" s="2"/>
      <c r="OOT142" s="2"/>
      <c r="OOU142" s="2"/>
      <c r="OOV142" s="2"/>
      <c r="OOW142" s="2"/>
      <c r="OOX142" s="2"/>
      <c r="OOY142" s="2"/>
      <c r="OOZ142" s="2"/>
      <c r="OPA142" s="2"/>
      <c r="OPB142" s="2"/>
      <c r="OPC142" s="2"/>
      <c r="OPD142" s="2"/>
      <c r="OPE142" s="2"/>
      <c r="OPF142" s="2"/>
      <c r="OPG142" s="2"/>
      <c r="OPH142" s="2"/>
      <c r="OPI142" s="2"/>
      <c r="OPJ142" s="2"/>
      <c r="OPK142" s="2"/>
      <c r="OPL142" s="2"/>
      <c r="OPM142" s="2"/>
      <c r="OPN142" s="2"/>
      <c r="OPO142" s="2"/>
      <c r="OPP142" s="2"/>
      <c r="OPQ142" s="2"/>
      <c r="OPR142" s="2"/>
      <c r="OPS142" s="2"/>
      <c r="OPT142" s="2"/>
      <c r="OPU142" s="2"/>
      <c r="OPV142" s="2"/>
      <c r="OPW142" s="2"/>
      <c r="OPX142" s="2"/>
      <c r="OPY142" s="2"/>
      <c r="OPZ142" s="2"/>
      <c r="OQA142" s="2"/>
      <c r="OQB142" s="2"/>
      <c r="OQC142" s="2"/>
      <c r="OQD142" s="2"/>
      <c r="OQE142" s="2"/>
      <c r="OQF142" s="2"/>
      <c r="OQG142" s="2"/>
      <c r="OQH142" s="2"/>
      <c r="OQI142" s="2"/>
      <c r="OQJ142" s="2"/>
      <c r="OQK142" s="2"/>
      <c r="OQL142" s="2"/>
      <c r="OQM142" s="2"/>
      <c r="OQN142" s="2"/>
      <c r="OQO142" s="2"/>
      <c r="OQP142" s="2"/>
      <c r="OQQ142" s="2"/>
      <c r="OQR142" s="2"/>
      <c r="OQS142" s="2"/>
      <c r="OQT142" s="2"/>
      <c r="OQU142" s="2"/>
      <c r="OQV142" s="2"/>
      <c r="OQW142" s="2"/>
      <c r="OQX142" s="2"/>
      <c r="OQY142" s="2"/>
      <c r="OQZ142" s="2"/>
      <c r="ORA142" s="2"/>
      <c r="ORB142" s="2"/>
      <c r="ORC142" s="2"/>
      <c r="ORD142" s="2"/>
      <c r="ORE142" s="2"/>
      <c r="ORF142" s="2"/>
      <c r="ORG142" s="2"/>
      <c r="ORH142" s="2"/>
      <c r="ORI142" s="2"/>
      <c r="ORJ142" s="2"/>
      <c r="ORK142" s="2"/>
      <c r="ORL142" s="2"/>
      <c r="ORM142" s="2"/>
      <c r="ORN142" s="2"/>
      <c r="ORO142" s="2"/>
      <c r="ORP142" s="2"/>
      <c r="ORQ142" s="2"/>
      <c r="ORR142" s="2"/>
      <c r="ORS142" s="2"/>
      <c r="ORT142" s="2"/>
      <c r="ORU142" s="2"/>
      <c r="ORV142" s="2"/>
      <c r="ORW142" s="2"/>
      <c r="ORX142" s="2"/>
      <c r="ORY142" s="2"/>
      <c r="ORZ142" s="2"/>
      <c r="OSA142" s="2"/>
      <c r="OSB142" s="2"/>
      <c r="OSC142" s="2"/>
      <c r="OSD142" s="2"/>
      <c r="OSE142" s="2"/>
      <c r="OSF142" s="2"/>
      <c r="OSG142" s="2"/>
      <c r="OSH142" s="2"/>
      <c r="OSI142" s="2"/>
      <c r="OSJ142" s="2"/>
      <c r="OSK142" s="2"/>
      <c r="OSL142" s="2"/>
      <c r="OSM142" s="2"/>
      <c r="OSN142" s="2"/>
      <c r="OSO142" s="2"/>
      <c r="OSP142" s="2"/>
      <c r="OSQ142" s="2"/>
      <c r="OSR142" s="2"/>
      <c r="OSS142" s="2"/>
      <c r="OST142" s="2"/>
      <c r="OSU142" s="2"/>
      <c r="OSV142" s="2"/>
      <c r="OSW142" s="2"/>
      <c r="OSX142" s="2"/>
      <c r="OSY142" s="2"/>
      <c r="OSZ142" s="2"/>
      <c r="OTA142" s="2"/>
      <c r="OTB142" s="2"/>
      <c r="OTC142" s="2"/>
      <c r="OTD142" s="2"/>
      <c r="OTE142" s="2"/>
      <c r="OTF142" s="2"/>
      <c r="OTG142" s="2"/>
      <c r="OTH142" s="2"/>
      <c r="OTI142" s="2"/>
      <c r="OTJ142" s="2"/>
      <c r="OTK142" s="2"/>
      <c r="OTL142" s="2"/>
      <c r="OTM142" s="2"/>
      <c r="OTN142" s="2"/>
      <c r="OTO142" s="2"/>
      <c r="OTP142" s="2"/>
      <c r="OTQ142" s="2"/>
      <c r="OTR142" s="2"/>
      <c r="OTS142" s="2"/>
      <c r="OTT142" s="2"/>
      <c r="OTU142" s="2"/>
      <c r="OTV142" s="2"/>
      <c r="OTW142" s="2"/>
      <c r="OTX142" s="2"/>
      <c r="OTY142" s="2"/>
      <c r="OTZ142" s="2"/>
      <c r="OUA142" s="2"/>
      <c r="OUB142" s="2"/>
      <c r="OUC142" s="2"/>
      <c r="OUD142" s="2"/>
      <c r="OUE142" s="2"/>
      <c r="OUF142" s="2"/>
      <c r="OUG142" s="2"/>
      <c r="OUH142" s="2"/>
      <c r="OUI142" s="2"/>
      <c r="OUJ142" s="2"/>
      <c r="OUK142" s="2"/>
      <c r="OUL142" s="2"/>
      <c r="OUM142" s="2"/>
      <c r="OUN142" s="2"/>
      <c r="OUO142" s="2"/>
      <c r="OUP142" s="2"/>
      <c r="OUQ142" s="2"/>
      <c r="OUR142" s="2"/>
      <c r="OUS142" s="2"/>
      <c r="OUT142" s="2"/>
      <c r="OUU142" s="2"/>
      <c r="OUV142" s="2"/>
      <c r="OUW142" s="2"/>
      <c r="OUX142" s="2"/>
      <c r="OUY142" s="2"/>
      <c r="OUZ142" s="2"/>
      <c r="OVA142" s="2"/>
      <c r="OVB142" s="2"/>
      <c r="OVC142" s="2"/>
      <c r="OVD142" s="2"/>
      <c r="OVE142" s="2"/>
      <c r="OVF142" s="2"/>
      <c r="OVG142" s="2"/>
      <c r="OVH142" s="2"/>
      <c r="OVI142" s="2"/>
      <c r="OVJ142" s="2"/>
      <c r="OVK142" s="2"/>
      <c r="OVL142" s="2"/>
      <c r="OVM142" s="2"/>
      <c r="OVN142" s="2"/>
      <c r="OVO142" s="2"/>
      <c r="OVP142" s="2"/>
      <c r="OVQ142" s="2"/>
      <c r="OVR142" s="2"/>
      <c r="OVS142" s="2"/>
      <c r="OVT142" s="2"/>
      <c r="OVU142" s="2"/>
      <c r="OVV142" s="2"/>
      <c r="OVW142" s="2"/>
      <c r="OVX142" s="2"/>
      <c r="OVY142" s="2"/>
      <c r="OVZ142" s="2"/>
      <c r="OWA142" s="2"/>
      <c r="OWB142" s="2"/>
      <c r="OWC142" s="2"/>
      <c r="OWD142" s="2"/>
      <c r="OWE142" s="2"/>
      <c r="OWF142" s="2"/>
      <c r="OWG142" s="2"/>
      <c r="OWH142" s="2"/>
      <c r="OWI142" s="2"/>
      <c r="OWJ142" s="2"/>
      <c r="OWK142" s="2"/>
      <c r="OWL142" s="2"/>
      <c r="OWM142" s="2"/>
      <c r="OWN142" s="2"/>
      <c r="OWO142" s="2"/>
      <c r="OWP142" s="2"/>
      <c r="OWQ142" s="2"/>
      <c r="OWR142" s="2"/>
      <c r="OWS142" s="2"/>
      <c r="OWT142" s="2"/>
      <c r="OWU142" s="2"/>
      <c r="OWV142" s="2"/>
      <c r="OWW142" s="2"/>
      <c r="OWX142" s="2"/>
      <c r="OWY142" s="2"/>
      <c r="OWZ142" s="2"/>
      <c r="OXA142" s="2"/>
      <c r="OXB142" s="2"/>
      <c r="OXC142" s="2"/>
      <c r="OXD142" s="2"/>
      <c r="OXE142" s="2"/>
      <c r="OXF142" s="2"/>
      <c r="OXG142" s="2"/>
      <c r="OXH142" s="2"/>
      <c r="OXI142" s="2"/>
      <c r="OXJ142" s="2"/>
      <c r="OXK142" s="2"/>
      <c r="OXL142" s="2"/>
      <c r="OXM142" s="2"/>
      <c r="OXN142" s="2"/>
      <c r="OXO142" s="2"/>
      <c r="OXP142" s="2"/>
      <c r="OXQ142" s="2"/>
      <c r="OXR142" s="2"/>
      <c r="OXS142" s="2"/>
      <c r="OXT142" s="2"/>
      <c r="OXU142" s="2"/>
      <c r="OXV142" s="2"/>
      <c r="OXW142" s="2"/>
      <c r="OXX142" s="2"/>
      <c r="OXY142" s="2"/>
      <c r="OXZ142" s="2"/>
      <c r="OYA142" s="2"/>
      <c r="OYB142" s="2"/>
      <c r="OYC142" s="2"/>
      <c r="OYD142" s="2"/>
      <c r="OYE142" s="2"/>
      <c r="OYF142" s="2"/>
      <c r="OYG142" s="2"/>
      <c r="OYH142" s="2"/>
      <c r="OYI142" s="2"/>
      <c r="OYJ142" s="2"/>
      <c r="OYK142" s="2"/>
      <c r="OYL142" s="2"/>
      <c r="OYM142" s="2"/>
      <c r="OYN142" s="2"/>
      <c r="OYO142" s="2"/>
      <c r="OYP142" s="2"/>
      <c r="OYQ142" s="2"/>
      <c r="OYR142" s="2"/>
      <c r="OYS142" s="2"/>
      <c r="OYT142" s="2"/>
      <c r="OYU142" s="2"/>
      <c r="OYV142" s="2"/>
      <c r="OYW142" s="2"/>
      <c r="OYX142" s="2"/>
      <c r="OYY142" s="2"/>
      <c r="OYZ142" s="2"/>
      <c r="OZA142" s="2"/>
      <c r="OZB142" s="2"/>
      <c r="OZC142" s="2"/>
      <c r="OZD142" s="2"/>
      <c r="OZE142" s="2"/>
      <c r="OZF142" s="2"/>
      <c r="OZG142" s="2"/>
      <c r="OZH142" s="2"/>
      <c r="OZI142" s="2"/>
      <c r="OZJ142" s="2"/>
      <c r="OZK142" s="2"/>
      <c r="OZL142" s="2"/>
      <c r="OZM142" s="2"/>
      <c r="OZN142" s="2"/>
      <c r="OZO142" s="2"/>
      <c r="OZP142" s="2"/>
      <c r="OZQ142" s="2"/>
      <c r="OZR142" s="2"/>
      <c r="OZS142" s="2"/>
      <c r="OZT142" s="2"/>
      <c r="OZU142" s="2"/>
      <c r="OZV142" s="2"/>
      <c r="OZW142" s="2"/>
      <c r="OZX142" s="2"/>
      <c r="OZY142" s="2"/>
      <c r="OZZ142" s="2"/>
      <c r="PAA142" s="2"/>
      <c r="PAB142" s="2"/>
      <c r="PAC142" s="2"/>
      <c r="PAD142" s="2"/>
      <c r="PAE142" s="2"/>
      <c r="PAF142" s="2"/>
      <c r="PAG142" s="2"/>
      <c r="PAH142" s="2"/>
      <c r="PAI142" s="2"/>
      <c r="PAJ142" s="2"/>
      <c r="PAK142" s="2"/>
      <c r="PAL142" s="2"/>
      <c r="PAM142" s="2"/>
      <c r="PAN142" s="2"/>
      <c r="PAO142" s="2"/>
      <c r="PAP142" s="2"/>
      <c r="PAQ142" s="2"/>
      <c r="PAR142" s="2"/>
      <c r="PAS142" s="2"/>
      <c r="PAT142" s="2"/>
      <c r="PAU142" s="2"/>
      <c r="PAV142" s="2"/>
      <c r="PAW142" s="2"/>
      <c r="PAX142" s="2"/>
      <c r="PAY142" s="2"/>
      <c r="PAZ142" s="2"/>
      <c r="PBA142" s="2"/>
      <c r="PBB142" s="2"/>
      <c r="PBC142" s="2"/>
      <c r="PBD142" s="2"/>
      <c r="PBE142" s="2"/>
      <c r="PBF142" s="2"/>
      <c r="PBG142" s="2"/>
      <c r="PBH142" s="2"/>
      <c r="PBI142" s="2"/>
      <c r="PBJ142" s="2"/>
      <c r="PBK142" s="2"/>
      <c r="PBL142" s="2"/>
      <c r="PBM142" s="2"/>
      <c r="PBN142" s="2"/>
      <c r="PBO142" s="2"/>
      <c r="PBP142" s="2"/>
      <c r="PBQ142" s="2"/>
      <c r="PBR142" s="2"/>
      <c r="PBS142" s="2"/>
      <c r="PBT142" s="2"/>
      <c r="PBU142" s="2"/>
      <c r="PBV142" s="2"/>
      <c r="PBW142" s="2"/>
      <c r="PBX142" s="2"/>
      <c r="PBY142" s="2"/>
      <c r="PBZ142" s="2"/>
      <c r="PCA142" s="2"/>
      <c r="PCB142" s="2"/>
      <c r="PCC142" s="2"/>
      <c r="PCD142" s="2"/>
      <c r="PCE142" s="2"/>
      <c r="PCF142" s="2"/>
      <c r="PCG142" s="2"/>
      <c r="PCH142" s="2"/>
      <c r="PCI142" s="2"/>
      <c r="PCJ142" s="2"/>
      <c r="PCK142" s="2"/>
      <c r="PCL142" s="2"/>
      <c r="PCM142" s="2"/>
      <c r="PCN142" s="2"/>
      <c r="PCO142" s="2"/>
      <c r="PCP142" s="2"/>
      <c r="PCQ142" s="2"/>
      <c r="PCR142" s="2"/>
      <c r="PCS142" s="2"/>
      <c r="PCT142" s="2"/>
      <c r="PCU142" s="2"/>
      <c r="PCV142" s="2"/>
      <c r="PCW142" s="2"/>
      <c r="PCX142" s="2"/>
      <c r="PCY142" s="2"/>
      <c r="PCZ142" s="2"/>
      <c r="PDA142" s="2"/>
      <c r="PDB142" s="2"/>
      <c r="PDC142" s="2"/>
      <c r="PDD142" s="2"/>
      <c r="PDE142" s="2"/>
      <c r="PDF142" s="2"/>
      <c r="PDG142" s="2"/>
      <c r="PDH142" s="2"/>
      <c r="PDI142" s="2"/>
      <c r="PDJ142" s="2"/>
      <c r="PDK142" s="2"/>
      <c r="PDL142" s="2"/>
      <c r="PDM142" s="2"/>
      <c r="PDN142" s="2"/>
      <c r="PDO142" s="2"/>
      <c r="PDP142" s="2"/>
      <c r="PDQ142" s="2"/>
      <c r="PDR142" s="2"/>
      <c r="PDS142" s="2"/>
      <c r="PDT142" s="2"/>
      <c r="PDU142" s="2"/>
      <c r="PDV142" s="2"/>
      <c r="PDW142" s="2"/>
      <c r="PDX142" s="2"/>
      <c r="PDY142" s="2"/>
      <c r="PDZ142" s="2"/>
      <c r="PEA142" s="2"/>
      <c r="PEB142" s="2"/>
      <c r="PEC142" s="2"/>
      <c r="PED142" s="2"/>
      <c r="PEE142" s="2"/>
      <c r="PEF142" s="2"/>
      <c r="PEG142" s="2"/>
      <c r="PEH142" s="2"/>
      <c r="PEI142" s="2"/>
      <c r="PEJ142" s="2"/>
      <c r="PEK142" s="2"/>
      <c r="PEL142" s="2"/>
      <c r="PEM142" s="2"/>
      <c r="PEN142" s="2"/>
      <c r="PEO142" s="2"/>
      <c r="PEP142" s="2"/>
      <c r="PEQ142" s="2"/>
      <c r="PER142" s="2"/>
      <c r="PES142" s="2"/>
      <c r="PET142" s="2"/>
      <c r="PEU142" s="2"/>
      <c r="PEV142" s="2"/>
      <c r="PEW142" s="2"/>
      <c r="PEX142" s="2"/>
      <c r="PEY142" s="2"/>
      <c r="PEZ142" s="2"/>
      <c r="PFA142" s="2"/>
      <c r="PFB142" s="2"/>
      <c r="PFC142" s="2"/>
      <c r="PFD142" s="2"/>
      <c r="PFE142" s="2"/>
      <c r="PFF142" s="2"/>
      <c r="PFG142" s="2"/>
      <c r="PFH142" s="2"/>
      <c r="PFI142" s="2"/>
      <c r="PFJ142" s="2"/>
      <c r="PFK142" s="2"/>
      <c r="PFL142" s="2"/>
      <c r="PFM142" s="2"/>
      <c r="PFN142" s="2"/>
      <c r="PFO142" s="2"/>
      <c r="PFP142" s="2"/>
      <c r="PFQ142" s="2"/>
      <c r="PFR142" s="2"/>
      <c r="PFS142" s="2"/>
      <c r="PFT142" s="2"/>
      <c r="PFU142" s="2"/>
      <c r="PFV142" s="2"/>
      <c r="PFW142" s="2"/>
      <c r="PFX142" s="2"/>
      <c r="PFY142" s="2"/>
      <c r="PFZ142" s="2"/>
      <c r="PGA142" s="2"/>
      <c r="PGB142" s="2"/>
      <c r="PGC142" s="2"/>
      <c r="PGD142" s="2"/>
      <c r="PGE142" s="2"/>
      <c r="PGF142" s="2"/>
      <c r="PGG142" s="2"/>
      <c r="PGH142" s="2"/>
      <c r="PGI142" s="2"/>
      <c r="PGJ142" s="2"/>
      <c r="PGK142" s="2"/>
      <c r="PGL142" s="2"/>
      <c r="PGM142" s="2"/>
      <c r="PGN142" s="2"/>
      <c r="PGO142" s="2"/>
      <c r="PGP142" s="2"/>
      <c r="PGQ142" s="2"/>
      <c r="PGR142" s="2"/>
      <c r="PGS142" s="2"/>
      <c r="PGT142" s="2"/>
      <c r="PGU142" s="2"/>
      <c r="PGV142" s="2"/>
      <c r="PGW142" s="2"/>
      <c r="PGX142" s="2"/>
      <c r="PGY142" s="2"/>
      <c r="PGZ142" s="2"/>
      <c r="PHA142" s="2"/>
      <c r="PHB142" s="2"/>
      <c r="PHC142" s="2"/>
      <c r="PHD142" s="2"/>
      <c r="PHE142" s="2"/>
      <c r="PHF142" s="2"/>
      <c r="PHG142" s="2"/>
      <c r="PHH142" s="2"/>
      <c r="PHI142" s="2"/>
      <c r="PHJ142" s="2"/>
      <c r="PHK142" s="2"/>
      <c r="PHL142" s="2"/>
      <c r="PHM142" s="2"/>
      <c r="PHN142" s="2"/>
      <c r="PHO142" s="2"/>
      <c r="PHP142" s="2"/>
      <c r="PHQ142" s="2"/>
      <c r="PHR142" s="2"/>
      <c r="PHS142" s="2"/>
      <c r="PHT142" s="2"/>
      <c r="PHU142" s="2"/>
      <c r="PHV142" s="2"/>
      <c r="PHW142" s="2"/>
      <c r="PHX142" s="2"/>
      <c r="PHY142" s="2"/>
      <c r="PHZ142" s="2"/>
      <c r="PIA142" s="2"/>
      <c r="PIB142" s="2"/>
      <c r="PIC142" s="2"/>
      <c r="PID142" s="2"/>
      <c r="PIE142" s="2"/>
      <c r="PIF142" s="2"/>
      <c r="PIG142" s="2"/>
      <c r="PIH142" s="2"/>
      <c r="PII142" s="2"/>
      <c r="PIJ142" s="2"/>
      <c r="PIK142" s="2"/>
      <c r="PIL142" s="2"/>
      <c r="PIM142" s="2"/>
      <c r="PIN142" s="2"/>
      <c r="PIO142" s="2"/>
      <c r="PIP142" s="2"/>
      <c r="PIQ142" s="2"/>
      <c r="PIR142" s="2"/>
      <c r="PIS142" s="2"/>
      <c r="PIT142" s="2"/>
      <c r="PIU142" s="2"/>
      <c r="PIV142" s="2"/>
      <c r="PIW142" s="2"/>
      <c r="PIX142" s="2"/>
      <c r="PIY142" s="2"/>
      <c r="PIZ142" s="2"/>
      <c r="PJA142" s="2"/>
      <c r="PJB142" s="2"/>
      <c r="PJC142" s="2"/>
      <c r="PJD142" s="2"/>
      <c r="PJE142" s="2"/>
      <c r="PJF142" s="2"/>
      <c r="PJG142" s="2"/>
      <c r="PJH142" s="2"/>
      <c r="PJI142" s="2"/>
      <c r="PJJ142" s="2"/>
      <c r="PJK142" s="2"/>
      <c r="PJL142" s="2"/>
      <c r="PJM142" s="2"/>
      <c r="PJN142" s="2"/>
      <c r="PJO142" s="2"/>
      <c r="PJP142" s="2"/>
      <c r="PJQ142" s="2"/>
      <c r="PJR142" s="2"/>
      <c r="PJS142" s="2"/>
      <c r="PJT142" s="2"/>
      <c r="PJU142" s="2"/>
      <c r="PJV142" s="2"/>
      <c r="PJW142" s="2"/>
      <c r="PJX142" s="2"/>
      <c r="PJY142" s="2"/>
      <c r="PJZ142" s="2"/>
      <c r="PKA142" s="2"/>
      <c r="PKB142" s="2"/>
      <c r="PKC142" s="2"/>
      <c r="PKD142" s="2"/>
      <c r="PKE142" s="2"/>
      <c r="PKF142" s="2"/>
      <c r="PKG142" s="2"/>
      <c r="PKH142" s="2"/>
      <c r="PKI142" s="2"/>
      <c r="PKJ142" s="2"/>
      <c r="PKK142" s="2"/>
      <c r="PKL142" s="2"/>
      <c r="PKM142" s="2"/>
      <c r="PKN142" s="2"/>
      <c r="PKO142" s="2"/>
      <c r="PKP142" s="2"/>
      <c r="PKQ142" s="2"/>
      <c r="PKR142" s="2"/>
      <c r="PKS142" s="2"/>
      <c r="PKT142" s="2"/>
      <c r="PKU142" s="2"/>
      <c r="PKV142" s="2"/>
      <c r="PKW142" s="2"/>
      <c r="PKX142" s="2"/>
      <c r="PKY142" s="2"/>
      <c r="PKZ142" s="2"/>
      <c r="PLA142" s="2"/>
      <c r="PLB142" s="2"/>
      <c r="PLC142" s="2"/>
      <c r="PLD142" s="2"/>
      <c r="PLE142" s="2"/>
      <c r="PLF142" s="2"/>
      <c r="PLG142" s="2"/>
      <c r="PLH142" s="2"/>
      <c r="PLI142" s="2"/>
      <c r="PLJ142" s="2"/>
      <c r="PLK142" s="2"/>
      <c r="PLL142" s="2"/>
      <c r="PLM142" s="2"/>
      <c r="PLN142" s="2"/>
      <c r="PLO142" s="2"/>
      <c r="PLP142" s="2"/>
      <c r="PLQ142" s="2"/>
      <c r="PLR142" s="2"/>
      <c r="PLS142" s="2"/>
      <c r="PLT142" s="2"/>
      <c r="PLU142" s="2"/>
      <c r="PLV142" s="2"/>
      <c r="PLW142" s="2"/>
      <c r="PLX142" s="2"/>
      <c r="PLY142" s="2"/>
      <c r="PLZ142" s="2"/>
      <c r="PMA142" s="2"/>
      <c r="PMB142" s="2"/>
      <c r="PMC142" s="2"/>
      <c r="PMD142" s="2"/>
      <c r="PME142" s="2"/>
      <c r="PMF142" s="2"/>
      <c r="PMG142" s="2"/>
      <c r="PMH142" s="2"/>
      <c r="PMI142" s="2"/>
      <c r="PMJ142" s="2"/>
      <c r="PMK142" s="2"/>
      <c r="PML142" s="2"/>
      <c r="PMM142" s="2"/>
      <c r="PMN142" s="2"/>
      <c r="PMO142" s="2"/>
      <c r="PMP142" s="2"/>
      <c r="PMQ142" s="2"/>
      <c r="PMR142" s="2"/>
      <c r="PMS142" s="2"/>
      <c r="PMT142" s="2"/>
      <c r="PMU142" s="2"/>
      <c r="PMV142" s="2"/>
      <c r="PMW142" s="2"/>
      <c r="PMX142" s="2"/>
      <c r="PMY142" s="2"/>
      <c r="PMZ142" s="2"/>
      <c r="PNA142" s="2"/>
      <c r="PNB142" s="2"/>
      <c r="PNC142" s="2"/>
      <c r="PND142" s="2"/>
      <c r="PNE142" s="2"/>
      <c r="PNF142" s="2"/>
      <c r="PNG142" s="2"/>
      <c r="PNH142" s="2"/>
      <c r="PNI142" s="2"/>
      <c r="PNJ142" s="2"/>
      <c r="PNK142" s="2"/>
      <c r="PNL142" s="2"/>
      <c r="PNM142" s="2"/>
      <c r="PNN142" s="2"/>
      <c r="PNO142" s="2"/>
      <c r="PNP142" s="2"/>
      <c r="PNQ142" s="2"/>
      <c r="PNR142" s="2"/>
      <c r="PNS142" s="2"/>
      <c r="PNT142" s="2"/>
      <c r="PNU142" s="2"/>
      <c r="PNV142" s="2"/>
      <c r="PNW142" s="2"/>
      <c r="PNX142" s="2"/>
      <c r="PNY142" s="2"/>
      <c r="PNZ142" s="2"/>
      <c r="POA142" s="2"/>
      <c r="POB142" s="2"/>
      <c r="POC142" s="2"/>
      <c r="POD142" s="2"/>
      <c r="POE142" s="2"/>
      <c r="POF142" s="2"/>
      <c r="POG142" s="2"/>
      <c r="POH142" s="2"/>
      <c r="POI142" s="2"/>
      <c r="POJ142" s="2"/>
      <c r="POK142" s="2"/>
      <c r="POL142" s="2"/>
      <c r="POM142" s="2"/>
      <c r="PON142" s="2"/>
      <c r="POO142" s="2"/>
      <c r="POP142" s="2"/>
      <c r="POQ142" s="2"/>
      <c r="POR142" s="2"/>
      <c r="POS142" s="2"/>
      <c r="POT142" s="2"/>
      <c r="POU142" s="2"/>
      <c r="POV142" s="2"/>
      <c r="POW142" s="2"/>
      <c r="POX142" s="2"/>
      <c r="POY142" s="2"/>
      <c r="POZ142" s="2"/>
      <c r="PPA142" s="2"/>
      <c r="PPB142" s="2"/>
      <c r="PPC142" s="2"/>
      <c r="PPD142" s="2"/>
      <c r="PPE142" s="2"/>
      <c r="PPF142" s="2"/>
      <c r="PPG142" s="2"/>
      <c r="PPH142" s="2"/>
      <c r="PPI142" s="2"/>
      <c r="PPJ142" s="2"/>
      <c r="PPK142" s="2"/>
      <c r="PPL142" s="2"/>
      <c r="PPM142" s="2"/>
      <c r="PPN142" s="2"/>
      <c r="PPO142" s="2"/>
      <c r="PPP142" s="2"/>
      <c r="PPQ142" s="2"/>
      <c r="PPR142" s="2"/>
      <c r="PPS142" s="2"/>
      <c r="PPT142" s="2"/>
      <c r="PPU142" s="2"/>
      <c r="PPV142" s="2"/>
      <c r="PPW142" s="2"/>
      <c r="PPX142" s="2"/>
      <c r="PPY142" s="2"/>
      <c r="PPZ142" s="2"/>
      <c r="PQA142" s="2"/>
      <c r="PQB142" s="2"/>
      <c r="PQC142" s="2"/>
      <c r="PQD142" s="2"/>
      <c r="PQE142" s="2"/>
      <c r="PQF142" s="2"/>
      <c r="PQG142" s="2"/>
      <c r="PQH142" s="2"/>
      <c r="PQI142" s="2"/>
      <c r="PQJ142" s="2"/>
      <c r="PQK142" s="2"/>
      <c r="PQL142" s="2"/>
      <c r="PQM142" s="2"/>
      <c r="PQN142" s="2"/>
      <c r="PQO142" s="2"/>
      <c r="PQP142" s="2"/>
      <c r="PQQ142" s="2"/>
      <c r="PQR142" s="2"/>
      <c r="PQS142" s="2"/>
      <c r="PQT142" s="2"/>
      <c r="PQU142" s="2"/>
      <c r="PQV142" s="2"/>
      <c r="PQW142" s="2"/>
      <c r="PQX142" s="2"/>
      <c r="PQY142" s="2"/>
      <c r="PQZ142" s="2"/>
      <c r="PRA142" s="2"/>
      <c r="PRB142" s="2"/>
      <c r="PRC142" s="2"/>
      <c r="PRD142" s="2"/>
      <c r="PRE142" s="2"/>
      <c r="PRF142" s="2"/>
      <c r="PRG142" s="2"/>
      <c r="PRH142" s="2"/>
      <c r="PRI142" s="2"/>
      <c r="PRJ142" s="2"/>
      <c r="PRK142" s="2"/>
      <c r="PRL142" s="2"/>
      <c r="PRM142" s="2"/>
      <c r="PRN142" s="2"/>
      <c r="PRO142" s="2"/>
      <c r="PRP142" s="2"/>
      <c r="PRQ142" s="2"/>
      <c r="PRR142" s="2"/>
      <c r="PRS142" s="2"/>
      <c r="PRT142" s="2"/>
      <c r="PRU142" s="2"/>
      <c r="PRV142" s="2"/>
      <c r="PRW142" s="2"/>
      <c r="PRX142" s="2"/>
      <c r="PRY142" s="2"/>
      <c r="PRZ142" s="2"/>
      <c r="PSA142" s="2"/>
      <c r="PSB142" s="2"/>
      <c r="PSC142" s="2"/>
      <c r="PSD142" s="2"/>
      <c r="PSE142" s="2"/>
      <c r="PSF142" s="2"/>
      <c r="PSG142" s="2"/>
      <c r="PSH142" s="2"/>
      <c r="PSI142" s="2"/>
      <c r="PSJ142" s="2"/>
      <c r="PSK142" s="2"/>
      <c r="PSL142" s="2"/>
      <c r="PSM142" s="2"/>
      <c r="PSN142" s="2"/>
      <c r="PSO142" s="2"/>
      <c r="PSP142" s="2"/>
      <c r="PSQ142" s="2"/>
      <c r="PSR142" s="2"/>
      <c r="PSS142" s="2"/>
      <c r="PST142" s="2"/>
      <c r="PSU142" s="2"/>
      <c r="PSV142" s="2"/>
      <c r="PSW142" s="2"/>
      <c r="PSX142" s="2"/>
      <c r="PSY142" s="2"/>
      <c r="PSZ142" s="2"/>
      <c r="PTA142" s="2"/>
      <c r="PTB142" s="2"/>
      <c r="PTC142" s="2"/>
      <c r="PTD142" s="2"/>
      <c r="PTE142" s="2"/>
      <c r="PTF142" s="2"/>
      <c r="PTG142" s="2"/>
      <c r="PTH142" s="2"/>
      <c r="PTI142" s="2"/>
      <c r="PTJ142" s="2"/>
      <c r="PTK142" s="2"/>
      <c r="PTL142" s="2"/>
      <c r="PTM142" s="2"/>
      <c r="PTN142" s="2"/>
      <c r="PTO142" s="2"/>
      <c r="PTP142" s="2"/>
      <c r="PTQ142" s="2"/>
      <c r="PTR142" s="2"/>
      <c r="PTS142" s="2"/>
      <c r="PTT142" s="2"/>
      <c r="PTU142" s="2"/>
      <c r="PTV142" s="2"/>
      <c r="PTW142" s="2"/>
      <c r="PTX142" s="2"/>
      <c r="PTY142" s="2"/>
      <c r="PTZ142" s="2"/>
      <c r="PUA142" s="2"/>
      <c r="PUB142" s="2"/>
      <c r="PUC142" s="2"/>
      <c r="PUD142" s="2"/>
      <c r="PUE142" s="2"/>
      <c r="PUF142" s="2"/>
      <c r="PUG142" s="2"/>
      <c r="PUH142" s="2"/>
      <c r="PUI142" s="2"/>
      <c r="PUJ142" s="2"/>
      <c r="PUK142" s="2"/>
      <c r="PUL142" s="2"/>
      <c r="PUM142" s="2"/>
      <c r="PUN142" s="2"/>
      <c r="PUO142" s="2"/>
      <c r="PUP142" s="2"/>
      <c r="PUQ142" s="2"/>
      <c r="PUR142" s="2"/>
      <c r="PUS142" s="2"/>
      <c r="PUT142" s="2"/>
      <c r="PUU142" s="2"/>
      <c r="PUV142" s="2"/>
      <c r="PUW142" s="2"/>
      <c r="PUX142" s="2"/>
      <c r="PUY142" s="2"/>
      <c r="PUZ142" s="2"/>
      <c r="PVA142" s="2"/>
      <c r="PVB142" s="2"/>
      <c r="PVC142" s="2"/>
      <c r="PVD142" s="2"/>
      <c r="PVE142" s="2"/>
      <c r="PVF142" s="2"/>
      <c r="PVG142" s="2"/>
      <c r="PVH142" s="2"/>
      <c r="PVI142" s="2"/>
      <c r="PVJ142" s="2"/>
      <c r="PVK142" s="2"/>
      <c r="PVL142" s="2"/>
      <c r="PVM142" s="2"/>
      <c r="PVN142" s="2"/>
      <c r="PVO142" s="2"/>
      <c r="PVP142" s="2"/>
      <c r="PVQ142" s="2"/>
      <c r="PVR142" s="2"/>
      <c r="PVS142" s="2"/>
      <c r="PVT142" s="2"/>
      <c r="PVU142" s="2"/>
      <c r="PVV142" s="2"/>
      <c r="PVW142" s="2"/>
      <c r="PVX142" s="2"/>
      <c r="PVY142" s="2"/>
      <c r="PVZ142" s="2"/>
      <c r="PWA142" s="2"/>
      <c r="PWB142" s="2"/>
      <c r="PWC142" s="2"/>
      <c r="PWD142" s="2"/>
      <c r="PWE142" s="2"/>
      <c r="PWF142" s="2"/>
      <c r="PWG142" s="2"/>
      <c r="PWH142" s="2"/>
      <c r="PWI142" s="2"/>
      <c r="PWJ142" s="2"/>
      <c r="PWK142" s="2"/>
      <c r="PWL142" s="2"/>
      <c r="PWM142" s="2"/>
      <c r="PWN142" s="2"/>
      <c r="PWO142" s="2"/>
      <c r="PWP142" s="2"/>
      <c r="PWQ142" s="2"/>
      <c r="PWR142" s="2"/>
      <c r="PWS142" s="2"/>
      <c r="PWT142" s="2"/>
      <c r="PWU142" s="2"/>
      <c r="PWV142" s="2"/>
      <c r="PWW142" s="2"/>
      <c r="PWX142" s="2"/>
      <c r="PWY142" s="2"/>
      <c r="PWZ142" s="2"/>
      <c r="PXA142" s="2"/>
      <c r="PXB142" s="2"/>
      <c r="PXC142" s="2"/>
      <c r="PXD142" s="2"/>
      <c r="PXE142" s="2"/>
      <c r="PXF142" s="2"/>
      <c r="PXG142" s="2"/>
      <c r="PXH142" s="2"/>
      <c r="PXI142" s="2"/>
      <c r="PXJ142" s="2"/>
      <c r="PXK142" s="2"/>
      <c r="PXL142" s="2"/>
      <c r="PXM142" s="2"/>
      <c r="PXN142" s="2"/>
      <c r="PXO142" s="2"/>
      <c r="PXP142" s="2"/>
      <c r="PXQ142" s="2"/>
      <c r="PXR142" s="2"/>
      <c r="PXS142" s="2"/>
      <c r="PXT142" s="2"/>
      <c r="PXU142" s="2"/>
      <c r="PXV142" s="2"/>
      <c r="PXW142" s="2"/>
      <c r="PXX142" s="2"/>
      <c r="PXY142" s="2"/>
      <c r="PXZ142" s="2"/>
      <c r="PYA142" s="2"/>
      <c r="PYB142" s="2"/>
      <c r="PYC142" s="2"/>
      <c r="PYD142" s="2"/>
      <c r="PYE142" s="2"/>
      <c r="PYF142" s="2"/>
      <c r="PYG142" s="2"/>
      <c r="PYH142" s="2"/>
      <c r="PYI142" s="2"/>
      <c r="PYJ142" s="2"/>
      <c r="PYK142" s="2"/>
      <c r="PYL142" s="2"/>
      <c r="PYM142" s="2"/>
      <c r="PYN142" s="2"/>
      <c r="PYO142" s="2"/>
      <c r="PYP142" s="2"/>
      <c r="PYQ142" s="2"/>
      <c r="PYR142" s="2"/>
      <c r="PYS142" s="2"/>
      <c r="PYT142" s="2"/>
      <c r="PYU142" s="2"/>
      <c r="PYV142" s="2"/>
      <c r="PYW142" s="2"/>
      <c r="PYX142" s="2"/>
      <c r="PYY142" s="2"/>
      <c r="PYZ142" s="2"/>
      <c r="PZA142" s="2"/>
      <c r="PZB142" s="2"/>
      <c r="PZC142" s="2"/>
      <c r="PZD142" s="2"/>
      <c r="PZE142" s="2"/>
      <c r="PZF142" s="2"/>
      <c r="PZG142" s="2"/>
      <c r="PZH142" s="2"/>
      <c r="PZI142" s="2"/>
      <c r="PZJ142" s="2"/>
      <c r="PZK142" s="2"/>
      <c r="PZL142" s="2"/>
      <c r="PZM142" s="2"/>
      <c r="PZN142" s="2"/>
      <c r="PZO142" s="2"/>
      <c r="PZP142" s="2"/>
      <c r="PZQ142" s="2"/>
      <c r="PZR142" s="2"/>
      <c r="PZS142" s="2"/>
      <c r="PZT142" s="2"/>
      <c r="PZU142" s="2"/>
      <c r="PZV142" s="2"/>
      <c r="PZW142" s="2"/>
      <c r="PZX142" s="2"/>
      <c r="PZY142" s="2"/>
      <c r="PZZ142" s="2"/>
      <c r="QAA142" s="2"/>
      <c r="QAB142" s="2"/>
      <c r="QAC142" s="2"/>
      <c r="QAD142" s="2"/>
      <c r="QAE142" s="2"/>
      <c r="QAF142" s="2"/>
      <c r="QAG142" s="2"/>
      <c r="QAH142" s="2"/>
      <c r="QAI142" s="2"/>
      <c r="QAJ142" s="2"/>
      <c r="QAK142" s="2"/>
      <c r="QAL142" s="2"/>
      <c r="QAM142" s="2"/>
      <c r="QAN142" s="2"/>
      <c r="QAO142" s="2"/>
      <c r="QAP142" s="2"/>
      <c r="QAQ142" s="2"/>
      <c r="QAR142" s="2"/>
      <c r="QAS142" s="2"/>
      <c r="QAT142" s="2"/>
      <c r="QAU142" s="2"/>
      <c r="QAV142" s="2"/>
      <c r="QAW142" s="2"/>
      <c r="QAX142" s="2"/>
      <c r="QAY142" s="2"/>
      <c r="QAZ142" s="2"/>
      <c r="QBA142" s="2"/>
      <c r="QBB142" s="2"/>
      <c r="QBC142" s="2"/>
      <c r="QBD142" s="2"/>
      <c r="QBE142" s="2"/>
      <c r="QBF142" s="2"/>
      <c r="QBG142" s="2"/>
      <c r="QBH142" s="2"/>
      <c r="QBI142" s="2"/>
      <c r="QBJ142" s="2"/>
      <c r="QBK142" s="2"/>
      <c r="QBL142" s="2"/>
      <c r="QBM142" s="2"/>
      <c r="QBN142" s="2"/>
      <c r="QBO142" s="2"/>
      <c r="QBP142" s="2"/>
      <c r="QBQ142" s="2"/>
      <c r="QBR142" s="2"/>
      <c r="QBS142" s="2"/>
      <c r="QBT142" s="2"/>
      <c r="QBU142" s="2"/>
      <c r="QBV142" s="2"/>
      <c r="QBW142" s="2"/>
      <c r="QBX142" s="2"/>
      <c r="QBY142" s="2"/>
      <c r="QBZ142" s="2"/>
      <c r="QCA142" s="2"/>
      <c r="QCB142" s="2"/>
      <c r="QCC142" s="2"/>
      <c r="QCD142" s="2"/>
      <c r="QCE142" s="2"/>
      <c r="QCF142" s="2"/>
      <c r="QCG142" s="2"/>
      <c r="QCH142" s="2"/>
      <c r="QCI142" s="2"/>
      <c r="QCJ142" s="2"/>
      <c r="QCK142" s="2"/>
      <c r="QCL142" s="2"/>
      <c r="QCM142" s="2"/>
      <c r="QCN142" s="2"/>
      <c r="QCO142" s="2"/>
      <c r="QCP142" s="2"/>
      <c r="QCQ142" s="2"/>
      <c r="QCR142" s="2"/>
      <c r="QCS142" s="2"/>
      <c r="QCT142" s="2"/>
      <c r="QCU142" s="2"/>
      <c r="QCV142" s="2"/>
      <c r="QCW142" s="2"/>
      <c r="QCX142" s="2"/>
      <c r="QCY142" s="2"/>
      <c r="QCZ142" s="2"/>
      <c r="QDA142" s="2"/>
      <c r="QDB142" s="2"/>
      <c r="QDC142" s="2"/>
      <c r="QDD142" s="2"/>
      <c r="QDE142" s="2"/>
      <c r="QDF142" s="2"/>
      <c r="QDG142" s="2"/>
      <c r="QDH142" s="2"/>
      <c r="QDI142" s="2"/>
      <c r="QDJ142" s="2"/>
      <c r="QDK142" s="2"/>
      <c r="QDL142" s="2"/>
      <c r="QDM142" s="2"/>
      <c r="QDN142" s="2"/>
      <c r="QDO142" s="2"/>
      <c r="QDP142" s="2"/>
      <c r="QDQ142" s="2"/>
      <c r="QDR142" s="2"/>
      <c r="QDS142" s="2"/>
      <c r="QDT142" s="2"/>
      <c r="QDU142" s="2"/>
      <c r="QDV142" s="2"/>
      <c r="QDW142" s="2"/>
      <c r="QDX142" s="2"/>
      <c r="QDY142" s="2"/>
      <c r="QDZ142" s="2"/>
      <c r="QEA142" s="2"/>
      <c r="QEB142" s="2"/>
      <c r="QEC142" s="2"/>
      <c r="QED142" s="2"/>
      <c r="QEE142" s="2"/>
      <c r="QEF142" s="2"/>
      <c r="QEG142" s="2"/>
      <c r="QEH142" s="2"/>
      <c r="QEI142" s="2"/>
      <c r="QEJ142" s="2"/>
      <c r="QEK142" s="2"/>
      <c r="QEL142" s="2"/>
      <c r="QEM142" s="2"/>
      <c r="QEN142" s="2"/>
      <c r="QEO142" s="2"/>
      <c r="QEP142" s="2"/>
      <c r="QEQ142" s="2"/>
      <c r="QER142" s="2"/>
      <c r="QES142" s="2"/>
      <c r="QET142" s="2"/>
      <c r="QEU142" s="2"/>
      <c r="QEV142" s="2"/>
      <c r="QEW142" s="2"/>
      <c r="QEX142" s="2"/>
      <c r="QEY142" s="2"/>
      <c r="QEZ142" s="2"/>
      <c r="QFA142" s="2"/>
      <c r="QFB142" s="2"/>
      <c r="QFC142" s="2"/>
      <c r="QFD142" s="2"/>
      <c r="QFE142" s="2"/>
      <c r="QFF142" s="2"/>
      <c r="QFG142" s="2"/>
      <c r="QFH142" s="2"/>
      <c r="QFI142" s="2"/>
      <c r="QFJ142" s="2"/>
      <c r="QFK142" s="2"/>
      <c r="QFL142" s="2"/>
      <c r="QFM142" s="2"/>
      <c r="QFN142" s="2"/>
      <c r="QFO142" s="2"/>
      <c r="QFP142" s="2"/>
      <c r="QFQ142" s="2"/>
      <c r="QFR142" s="2"/>
      <c r="QFS142" s="2"/>
      <c r="QFT142" s="2"/>
      <c r="QFU142" s="2"/>
      <c r="QFV142" s="2"/>
      <c r="QFW142" s="2"/>
      <c r="QFX142" s="2"/>
      <c r="QFY142" s="2"/>
      <c r="QFZ142" s="2"/>
      <c r="QGA142" s="2"/>
      <c r="QGB142" s="2"/>
      <c r="QGC142" s="2"/>
      <c r="QGD142" s="2"/>
      <c r="QGE142" s="2"/>
      <c r="QGF142" s="2"/>
      <c r="QGG142" s="2"/>
      <c r="QGH142" s="2"/>
      <c r="QGI142" s="2"/>
      <c r="QGJ142" s="2"/>
      <c r="QGK142" s="2"/>
      <c r="QGL142" s="2"/>
      <c r="QGM142" s="2"/>
      <c r="QGN142" s="2"/>
      <c r="QGO142" s="2"/>
      <c r="QGP142" s="2"/>
      <c r="QGQ142" s="2"/>
      <c r="QGR142" s="2"/>
      <c r="QGS142" s="2"/>
      <c r="QGT142" s="2"/>
      <c r="QGU142" s="2"/>
      <c r="QGV142" s="2"/>
      <c r="QGW142" s="2"/>
      <c r="QGX142" s="2"/>
      <c r="QGY142" s="2"/>
      <c r="QGZ142" s="2"/>
      <c r="QHA142" s="2"/>
      <c r="QHB142" s="2"/>
      <c r="QHC142" s="2"/>
      <c r="QHD142" s="2"/>
      <c r="QHE142" s="2"/>
      <c r="QHF142" s="2"/>
      <c r="QHG142" s="2"/>
      <c r="QHH142" s="2"/>
      <c r="QHI142" s="2"/>
      <c r="QHJ142" s="2"/>
      <c r="QHK142" s="2"/>
      <c r="QHL142" s="2"/>
      <c r="QHM142" s="2"/>
      <c r="QHN142" s="2"/>
      <c r="QHO142" s="2"/>
      <c r="QHP142" s="2"/>
      <c r="QHQ142" s="2"/>
      <c r="QHR142" s="2"/>
      <c r="QHS142" s="2"/>
      <c r="QHT142" s="2"/>
      <c r="QHU142" s="2"/>
      <c r="QHV142" s="2"/>
      <c r="QHW142" s="2"/>
      <c r="QHX142" s="2"/>
      <c r="QHY142" s="2"/>
      <c r="QHZ142" s="2"/>
      <c r="QIA142" s="2"/>
      <c r="QIB142" s="2"/>
      <c r="QIC142" s="2"/>
      <c r="QID142" s="2"/>
      <c r="QIE142" s="2"/>
      <c r="QIF142" s="2"/>
      <c r="QIG142" s="2"/>
      <c r="QIH142" s="2"/>
      <c r="QII142" s="2"/>
      <c r="QIJ142" s="2"/>
      <c r="QIK142" s="2"/>
      <c r="QIL142" s="2"/>
      <c r="QIM142" s="2"/>
      <c r="QIN142" s="2"/>
      <c r="QIO142" s="2"/>
      <c r="QIP142" s="2"/>
      <c r="QIQ142" s="2"/>
      <c r="QIR142" s="2"/>
      <c r="QIS142" s="2"/>
      <c r="QIT142" s="2"/>
      <c r="QIU142" s="2"/>
      <c r="QIV142" s="2"/>
      <c r="QIW142" s="2"/>
      <c r="QIX142" s="2"/>
      <c r="QIY142" s="2"/>
      <c r="QIZ142" s="2"/>
      <c r="QJA142" s="2"/>
      <c r="QJB142" s="2"/>
      <c r="QJC142" s="2"/>
      <c r="QJD142" s="2"/>
      <c r="QJE142" s="2"/>
      <c r="QJF142" s="2"/>
      <c r="QJG142" s="2"/>
      <c r="QJH142" s="2"/>
      <c r="QJI142" s="2"/>
      <c r="QJJ142" s="2"/>
      <c r="QJK142" s="2"/>
      <c r="QJL142" s="2"/>
      <c r="QJM142" s="2"/>
      <c r="QJN142" s="2"/>
      <c r="QJO142" s="2"/>
      <c r="QJP142" s="2"/>
      <c r="QJQ142" s="2"/>
      <c r="QJR142" s="2"/>
      <c r="QJS142" s="2"/>
      <c r="QJT142" s="2"/>
      <c r="QJU142" s="2"/>
      <c r="QJV142" s="2"/>
      <c r="QJW142" s="2"/>
      <c r="QJX142" s="2"/>
      <c r="QJY142" s="2"/>
      <c r="QJZ142" s="2"/>
      <c r="QKA142" s="2"/>
      <c r="QKB142" s="2"/>
      <c r="QKC142" s="2"/>
      <c r="QKD142" s="2"/>
      <c r="QKE142" s="2"/>
      <c r="QKF142" s="2"/>
      <c r="QKG142" s="2"/>
      <c r="QKH142" s="2"/>
      <c r="QKI142" s="2"/>
      <c r="QKJ142" s="2"/>
      <c r="QKK142" s="2"/>
      <c r="QKL142" s="2"/>
      <c r="QKM142" s="2"/>
      <c r="QKN142" s="2"/>
      <c r="QKO142" s="2"/>
      <c r="QKP142" s="2"/>
      <c r="QKQ142" s="2"/>
      <c r="QKR142" s="2"/>
      <c r="QKS142" s="2"/>
      <c r="QKT142" s="2"/>
      <c r="QKU142" s="2"/>
      <c r="QKV142" s="2"/>
      <c r="QKW142" s="2"/>
      <c r="QKX142" s="2"/>
      <c r="QKY142" s="2"/>
      <c r="QKZ142" s="2"/>
      <c r="QLA142" s="2"/>
      <c r="QLB142" s="2"/>
      <c r="QLC142" s="2"/>
      <c r="QLD142" s="2"/>
      <c r="QLE142" s="2"/>
      <c r="QLF142" s="2"/>
      <c r="QLG142" s="2"/>
      <c r="QLH142" s="2"/>
      <c r="QLI142" s="2"/>
      <c r="QLJ142" s="2"/>
      <c r="QLK142" s="2"/>
      <c r="QLL142" s="2"/>
      <c r="QLM142" s="2"/>
      <c r="QLN142" s="2"/>
      <c r="QLO142" s="2"/>
      <c r="QLP142" s="2"/>
      <c r="QLQ142" s="2"/>
      <c r="QLR142" s="2"/>
      <c r="QLS142" s="2"/>
      <c r="QLT142" s="2"/>
      <c r="QLU142" s="2"/>
      <c r="QLV142" s="2"/>
      <c r="QLW142" s="2"/>
      <c r="QLX142" s="2"/>
      <c r="QLY142" s="2"/>
      <c r="QLZ142" s="2"/>
      <c r="QMA142" s="2"/>
      <c r="QMB142" s="2"/>
      <c r="QMC142" s="2"/>
      <c r="QMD142" s="2"/>
      <c r="QME142" s="2"/>
      <c r="QMF142" s="2"/>
      <c r="QMG142" s="2"/>
      <c r="QMH142" s="2"/>
      <c r="QMI142" s="2"/>
      <c r="QMJ142" s="2"/>
      <c r="QMK142" s="2"/>
      <c r="QML142" s="2"/>
      <c r="QMM142" s="2"/>
      <c r="QMN142" s="2"/>
      <c r="QMO142" s="2"/>
      <c r="QMP142" s="2"/>
      <c r="QMQ142" s="2"/>
      <c r="QMR142" s="2"/>
      <c r="QMS142" s="2"/>
      <c r="QMT142" s="2"/>
      <c r="QMU142" s="2"/>
      <c r="QMV142" s="2"/>
      <c r="QMW142" s="2"/>
      <c r="QMX142" s="2"/>
      <c r="QMY142" s="2"/>
      <c r="QMZ142" s="2"/>
      <c r="QNA142" s="2"/>
      <c r="QNB142" s="2"/>
      <c r="QNC142" s="2"/>
      <c r="QND142" s="2"/>
      <c r="QNE142" s="2"/>
      <c r="QNF142" s="2"/>
      <c r="QNG142" s="2"/>
      <c r="QNH142" s="2"/>
      <c r="QNI142" s="2"/>
      <c r="QNJ142" s="2"/>
      <c r="QNK142" s="2"/>
      <c r="QNL142" s="2"/>
      <c r="QNM142" s="2"/>
      <c r="QNN142" s="2"/>
      <c r="QNO142" s="2"/>
      <c r="QNP142" s="2"/>
      <c r="QNQ142" s="2"/>
      <c r="QNR142" s="2"/>
      <c r="QNS142" s="2"/>
      <c r="QNT142" s="2"/>
      <c r="QNU142" s="2"/>
      <c r="QNV142" s="2"/>
      <c r="QNW142" s="2"/>
      <c r="QNX142" s="2"/>
      <c r="QNY142" s="2"/>
      <c r="QNZ142" s="2"/>
      <c r="QOA142" s="2"/>
      <c r="QOB142" s="2"/>
      <c r="QOC142" s="2"/>
      <c r="QOD142" s="2"/>
      <c r="QOE142" s="2"/>
      <c r="QOF142" s="2"/>
      <c r="QOG142" s="2"/>
      <c r="QOH142" s="2"/>
      <c r="QOI142" s="2"/>
      <c r="QOJ142" s="2"/>
      <c r="QOK142" s="2"/>
      <c r="QOL142" s="2"/>
      <c r="QOM142" s="2"/>
      <c r="QON142" s="2"/>
      <c r="QOO142" s="2"/>
      <c r="QOP142" s="2"/>
      <c r="QOQ142" s="2"/>
      <c r="QOR142" s="2"/>
      <c r="QOS142" s="2"/>
      <c r="QOT142" s="2"/>
      <c r="QOU142" s="2"/>
      <c r="QOV142" s="2"/>
      <c r="QOW142" s="2"/>
      <c r="QOX142" s="2"/>
      <c r="QOY142" s="2"/>
      <c r="QOZ142" s="2"/>
      <c r="QPA142" s="2"/>
      <c r="QPB142" s="2"/>
      <c r="QPC142" s="2"/>
      <c r="QPD142" s="2"/>
      <c r="QPE142" s="2"/>
      <c r="QPF142" s="2"/>
      <c r="QPG142" s="2"/>
      <c r="QPH142" s="2"/>
      <c r="QPI142" s="2"/>
      <c r="QPJ142" s="2"/>
      <c r="QPK142" s="2"/>
      <c r="QPL142" s="2"/>
      <c r="QPM142" s="2"/>
      <c r="QPN142" s="2"/>
      <c r="QPO142" s="2"/>
      <c r="QPP142" s="2"/>
      <c r="QPQ142" s="2"/>
      <c r="QPR142" s="2"/>
      <c r="QPS142" s="2"/>
      <c r="QPT142" s="2"/>
      <c r="QPU142" s="2"/>
      <c r="QPV142" s="2"/>
      <c r="QPW142" s="2"/>
      <c r="QPX142" s="2"/>
      <c r="QPY142" s="2"/>
      <c r="QPZ142" s="2"/>
      <c r="QQA142" s="2"/>
      <c r="QQB142" s="2"/>
      <c r="QQC142" s="2"/>
      <c r="QQD142" s="2"/>
      <c r="QQE142" s="2"/>
      <c r="QQF142" s="2"/>
      <c r="QQG142" s="2"/>
      <c r="QQH142" s="2"/>
      <c r="QQI142" s="2"/>
      <c r="QQJ142" s="2"/>
      <c r="QQK142" s="2"/>
      <c r="QQL142" s="2"/>
      <c r="QQM142" s="2"/>
      <c r="QQN142" s="2"/>
      <c r="QQO142" s="2"/>
      <c r="QQP142" s="2"/>
      <c r="QQQ142" s="2"/>
      <c r="QQR142" s="2"/>
      <c r="QQS142" s="2"/>
      <c r="QQT142" s="2"/>
      <c r="QQU142" s="2"/>
      <c r="QQV142" s="2"/>
      <c r="QQW142" s="2"/>
      <c r="QQX142" s="2"/>
      <c r="QQY142" s="2"/>
      <c r="QQZ142" s="2"/>
      <c r="QRA142" s="2"/>
      <c r="QRB142" s="2"/>
      <c r="QRC142" s="2"/>
      <c r="QRD142" s="2"/>
      <c r="QRE142" s="2"/>
      <c r="QRF142" s="2"/>
      <c r="QRG142" s="2"/>
      <c r="QRH142" s="2"/>
      <c r="QRI142" s="2"/>
      <c r="QRJ142" s="2"/>
      <c r="QRK142" s="2"/>
      <c r="QRL142" s="2"/>
      <c r="QRM142" s="2"/>
      <c r="QRN142" s="2"/>
      <c r="QRO142" s="2"/>
      <c r="QRP142" s="2"/>
      <c r="QRQ142" s="2"/>
      <c r="QRR142" s="2"/>
      <c r="QRS142" s="2"/>
      <c r="QRT142" s="2"/>
      <c r="QRU142" s="2"/>
      <c r="QRV142" s="2"/>
      <c r="QRW142" s="2"/>
      <c r="QRX142" s="2"/>
      <c r="QRY142" s="2"/>
      <c r="QRZ142" s="2"/>
      <c r="QSA142" s="2"/>
      <c r="QSB142" s="2"/>
      <c r="QSC142" s="2"/>
      <c r="QSD142" s="2"/>
      <c r="QSE142" s="2"/>
      <c r="QSF142" s="2"/>
      <c r="QSG142" s="2"/>
      <c r="QSH142" s="2"/>
      <c r="QSI142" s="2"/>
      <c r="QSJ142" s="2"/>
      <c r="QSK142" s="2"/>
      <c r="QSL142" s="2"/>
      <c r="QSM142" s="2"/>
      <c r="QSN142" s="2"/>
      <c r="QSO142" s="2"/>
      <c r="QSP142" s="2"/>
      <c r="QSQ142" s="2"/>
      <c r="QSR142" s="2"/>
      <c r="QSS142" s="2"/>
      <c r="QST142" s="2"/>
      <c r="QSU142" s="2"/>
      <c r="QSV142" s="2"/>
      <c r="QSW142" s="2"/>
      <c r="QSX142" s="2"/>
      <c r="QSY142" s="2"/>
      <c r="QSZ142" s="2"/>
      <c r="QTA142" s="2"/>
      <c r="QTB142" s="2"/>
      <c r="QTC142" s="2"/>
      <c r="QTD142" s="2"/>
      <c r="QTE142" s="2"/>
      <c r="QTF142" s="2"/>
      <c r="QTG142" s="2"/>
      <c r="QTH142" s="2"/>
      <c r="QTI142" s="2"/>
      <c r="QTJ142" s="2"/>
      <c r="QTK142" s="2"/>
      <c r="QTL142" s="2"/>
      <c r="QTM142" s="2"/>
      <c r="QTN142" s="2"/>
      <c r="QTO142" s="2"/>
      <c r="QTP142" s="2"/>
      <c r="QTQ142" s="2"/>
      <c r="QTR142" s="2"/>
      <c r="QTS142" s="2"/>
      <c r="QTT142" s="2"/>
      <c r="QTU142" s="2"/>
      <c r="QTV142" s="2"/>
      <c r="QTW142" s="2"/>
      <c r="QTX142" s="2"/>
      <c r="QTY142" s="2"/>
      <c r="QTZ142" s="2"/>
      <c r="QUA142" s="2"/>
      <c r="QUB142" s="2"/>
      <c r="QUC142" s="2"/>
      <c r="QUD142" s="2"/>
      <c r="QUE142" s="2"/>
      <c r="QUF142" s="2"/>
      <c r="QUG142" s="2"/>
      <c r="QUH142" s="2"/>
      <c r="QUI142" s="2"/>
      <c r="QUJ142" s="2"/>
      <c r="QUK142" s="2"/>
      <c r="QUL142" s="2"/>
      <c r="QUM142" s="2"/>
      <c r="QUN142" s="2"/>
      <c r="QUO142" s="2"/>
      <c r="QUP142" s="2"/>
      <c r="QUQ142" s="2"/>
      <c r="QUR142" s="2"/>
      <c r="QUS142" s="2"/>
      <c r="QUT142" s="2"/>
      <c r="QUU142" s="2"/>
      <c r="QUV142" s="2"/>
      <c r="QUW142" s="2"/>
      <c r="QUX142" s="2"/>
      <c r="QUY142" s="2"/>
      <c r="QUZ142" s="2"/>
      <c r="QVA142" s="2"/>
      <c r="QVB142" s="2"/>
      <c r="QVC142" s="2"/>
      <c r="QVD142" s="2"/>
      <c r="QVE142" s="2"/>
      <c r="QVF142" s="2"/>
      <c r="QVG142" s="2"/>
      <c r="QVH142" s="2"/>
      <c r="QVI142" s="2"/>
      <c r="QVJ142" s="2"/>
      <c r="QVK142" s="2"/>
      <c r="QVL142" s="2"/>
      <c r="QVM142" s="2"/>
      <c r="QVN142" s="2"/>
      <c r="QVO142" s="2"/>
      <c r="QVP142" s="2"/>
      <c r="QVQ142" s="2"/>
      <c r="QVR142" s="2"/>
      <c r="QVS142" s="2"/>
      <c r="QVT142" s="2"/>
      <c r="QVU142" s="2"/>
      <c r="QVV142" s="2"/>
      <c r="QVW142" s="2"/>
      <c r="QVX142" s="2"/>
      <c r="QVY142" s="2"/>
      <c r="QVZ142" s="2"/>
      <c r="QWA142" s="2"/>
      <c r="QWB142" s="2"/>
      <c r="QWC142" s="2"/>
      <c r="QWD142" s="2"/>
      <c r="QWE142" s="2"/>
      <c r="QWF142" s="2"/>
      <c r="QWG142" s="2"/>
      <c r="QWH142" s="2"/>
      <c r="QWI142" s="2"/>
      <c r="QWJ142" s="2"/>
      <c r="QWK142" s="2"/>
      <c r="QWL142" s="2"/>
      <c r="QWM142" s="2"/>
      <c r="QWN142" s="2"/>
      <c r="QWO142" s="2"/>
      <c r="QWP142" s="2"/>
      <c r="QWQ142" s="2"/>
      <c r="QWR142" s="2"/>
      <c r="QWS142" s="2"/>
      <c r="QWT142" s="2"/>
      <c r="QWU142" s="2"/>
      <c r="QWV142" s="2"/>
      <c r="QWW142" s="2"/>
      <c r="QWX142" s="2"/>
      <c r="QWY142" s="2"/>
      <c r="QWZ142" s="2"/>
      <c r="QXA142" s="2"/>
      <c r="QXB142" s="2"/>
      <c r="QXC142" s="2"/>
      <c r="QXD142" s="2"/>
      <c r="QXE142" s="2"/>
      <c r="QXF142" s="2"/>
      <c r="QXG142" s="2"/>
      <c r="QXH142" s="2"/>
      <c r="QXI142" s="2"/>
      <c r="QXJ142" s="2"/>
      <c r="QXK142" s="2"/>
      <c r="QXL142" s="2"/>
      <c r="QXM142" s="2"/>
      <c r="QXN142" s="2"/>
      <c r="QXO142" s="2"/>
      <c r="QXP142" s="2"/>
      <c r="QXQ142" s="2"/>
      <c r="QXR142" s="2"/>
      <c r="QXS142" s="2"/>
      <c r="QXT142" s="2"/>
      <c r="QXU142" s="2"/>
      <c r="QXV142" s="2"/>
      <c r="QXW142" s="2"/>
      <c r="QXX142" s="2"/>
      <c r="QXY142" s="2"/>
      <c r="QXZ142" s="2"/>
      <c r="QYA142" s="2"/>
      <c r="QYB142" s="2"/>
      <c r="QYC142" s="2"/>
      <c r="QYD142" s="2"/>
      <c r="QYE142" s="2"/>
      <c r="QYF142" s="2"/>
      <c r="QYG142" s="2"/>
      <c r="QYH142" s="2"/>
      <c r="QYI142" s="2"/>
      <c r="QYJ142" s="2"/>
      <c r="QYK142" s="2"/>
      <c r="QYL142" s="2"/>
      <c r="QYM142" s="2"/>
      <c r="QYN142" s="2"/>
      <c r="QYO142" s="2"/>
      <c r="QYP142" s="2"/>
      <c r="QYQ142" s="2"/>
      <c r="QYR142" s="2"/>
      <c r="QYS142" s="2"/>
      <c r="QYT142" s="2"/>
      <c r="QYU142" s="2"/>
      <c r="QYV142" s="2"/>
      <c r="QYW142" s="2"/>
      <c r="QYX142" s="2"/>
      <c r="QYY142" s="2"/>
      <c r="QYZ142" s="2"/>
      <c r="QZA142" s="2"/>
      <c r="QZB142" s="2"/>
      <c r="QZC142" s="2"/>
      <c r="QZD142" s="2"/>
      <c r="QZE142" s="2"/>
      <c r="QZF142" s="2"/>
      <c r="QZG142" s="2"/>
      <c r="QZH142" s="2"/>
      <c r="QZI142" s="2"/>
      <c r="QZJ142" s="2"/>
      <c r="QZK142" s="2"/>
      <c r="QZL142" s="2"/>
      <c r="QZM142" s="2"/>
      <c r="QZN142" s="2"/>
      <c r="QZO142" s="2"/>
      <c r="QZP142" s="2"/>
      <c r="QZQ142" s="2"/>
      <c r="QZR142" s="2"/>
      <c r="QZS142" s="2"/>
      <c r="QZT142" s="2"/>
      <c r="QZU142" s="2"/>
      <c r="QZV142" s="2"/>
      <c r="QZW142" s="2"/>
      <c r="QZX142" s="2"/>
      <c r="QZY142" s="2"/>
      <c r="QZZ142" s="2"/>
      <c r="RAA142" s="2"/>
      <c r="RAB142" s="2"/>
      <c r="RAC142" s="2"/>
      <c r="RAD142" s="2"/>
      <c r="RAE142" s="2"/>
      <c r="RAF142" s="2"/>
      <c r="RAG142" s="2"/>
      <c r="RAH142" s="2"/>
      <c r="RAI142" s="2"/>
      <c r="RAJ142" s="2"/>
      <c r="RAK142" s="2"/>
      <c r="RAL142" s="2"/>
      <c r="RAM142" s="2"/>
      <c r="RAN142" s="2"/>
      <c r="RAO142" s="2"/>
      <c r="RAP142" s="2"/>
      <c r="RAQ142" s="2"/>
      <c r="RAR142" s="2"/>
      <c r="RAS142" s="2"/>
      <c r="RAT142" s="2"/>
      <c r="RAU142" s="2"/>
      <c r="RAV142" s="2"/>
      <c r="RAW142" s="2"/>
      <c r="RAX142" s="2"/>
      <c r="RAY142" s="2"/>
      <c r="RAZ142" s="2"/>
      <c r="RBA142" s="2"/>
      <c r="RBB142" s="2"/>
      <c r="RBC142" s="2"/>
      <c r="RBD142" s="2"/>
      <c r="RBE142" s="2"/>
      <c r="RBF142" s="2"/>
      <c r="RBG142" s="2"/>
      <c r="RBH142" s="2"/>
      <c r="RBI142" s="2"/>
      <c r="RBJ142" s="2"/>
      <c r="RBK142" s="2"/>
      <c r="RBL142" s="2"/>
      <c r="RBM142" s="2"/>
      <c r="RBN142" s="2"/>
      <c r="RBO142" s="2"/>
      <c r="RBP142" s="2"/>
      <c r="RBQ142" s="2"/>
      <c r="RBR142" s="2"/>
      <c r="RBS142" s="2"/>
      <c r="RBT142" s="2"/>
      <c r="RBU142" s="2"/>
      <c r="RBV142" s="2"/>
      <c r="RBW142" s="2"/>
      <c r="RBX142" s="2"/>
      <c r="RBY142" s="2"/>
      <c r="RBZ142" s="2"/>
      <c r="RCA142" s="2"/>
      <c r="RCB142" s="2"/>
      <c r="RCC142" s="2"/>
      <c r="RCD142" s="2"/>
      <c r="RCE142" s="2"/>
      <c r="RCF142" s="2"/>
      <c r="RCG142" s="2"/>
      <c r="RCH142" s="2"/>
      <c r="RCI142" s="2"/>
      <c r="RCJ142" s="2"/>
      <c r="RCK142" s="2"/>
      <c r="RCL142" s="2"/>
      <c r="RCM142" s="2"/>
      <c r="RCN142" s="2"/>
      <c r="RCO142" s="2"/>
      <c r="RCP142" s="2"/>
      <c r="RCQ142" s="2"/>
      <c r="RCR142" s="2"/>
      <c r="RCS142" s="2"/>
      <c r="RCT142" s="2"/>
      <c r="RCU142" s="2"/>
      <c r="RCV142" s="2"/>
      <c r="RCW142" s="2"/>
      <c r="RCX142" s="2"/>
      <c r="RCY142" s="2"/>
      <c r="RCZ142" s="2"/>
      <c r="RDA142" s="2"/>
      <c r="RDB142" s="2"/>
      <c r="RDC142" s="2"/>
      <c r="RDD142" s="2"/>
      <c r="RDE142" s="2"/>
      <c r="RDF142" s="2"/>
      <c r="RDG142" s="2"/>
      <c r="RDH142" s="2"/>
      <c r="RDI142" s="2"/>
      <c r="RDJ142" s="2"/>
      <c r="RDK142" s="2"/>
      <c r="RDL142" s="2"/>
      <c r="RDM142" s="2"/>
      <c r="RDN142" s="2"/>
      <c r="RDO142" s="2"/>
      <c r="RDP142" s="2"/>
      <c r="RDQ142" s="2"/>
      <c r="RDR142" s="2"/>
      <c r="RDS142" s="2"/>
      <c r="RDT142" s="2"/>
      <c r="RDU142" s="2"/>
      <c r="RDV142" s="2"/>
      <c r="RDW142" s="2"/>
      <c r="RDX142" s="2"/>
      <c r="RDY142" s="2"/>
      <c r="RDZ142" s="2"/>
      <c r="REA142" s="2"/>
      <c r="REB142" s="2"/>
      <c r="REC142" s="2"/>
      <c r="RED142" s="2"/>
      <c r="REE142" s="2"/>
      <c r="REF142" s="2"/>
      <c r="REG142" s="2"/>
      <c r="REH142" s="2"/>
      <c r="REI142" s="2"/>
      <c r="REJ142" s="2"/>
      <c r="REK142" s="2"/>
      <c r="REL142" s="2"/>
      <c r="REM142" s="2"/>
      <c r="REN142" s="2"/>
      <c r="REO142" s="2"/>
      <c r="REP142" s="2"/>
      <c r="REQ142" s="2"/>
      <c r="RER142" s="2"/>
      <c r="RES142" s="2"/>
      <c r="RET142" s="2"/>
      <c r="REU142" s="2"/>
      <c r="REV142" s="2"/>
      <c r="REW142" s="2"/>
      <c r="REX142" s="2"/>
      <c r="REY142" s="2"/>
      <c r="REZ142" s="2"/>
      <c r="RFA142" s="2"/>
      <c r="RFB142" s="2"/>
      <c r="RFC142" s="2"/>
      <c r="RFD142" s="2"/>
      <c r="RFE142" s="2"/>
      <c r="RFF142" s="2"/>
      <c r="RFG142" s="2"/>
      <c r="RFH142" s="2"/>
      <c r="RFI142" s="2"/>
      <c r="RFJ142" s="2"/>
      <c r="RFK142" s="2"/>
      <c r="RFL142" s="2"/>
      <c r="RFM142" s="2"/>
      <c r="RFN142" s="2"/>
      <c r="RFO142" s="2"/>
      <c r="RFP142" s="2"/>
      <c r="RFQ142" s="2"/>
      <c r="RFR142" s="2"/>
      <c r="RFS142" s="2"/>
      <c r="RFT142" s="2"/>
      <c r="RFU142" s="2"/>
      <c r="RFV142" s="2"/>
      <c r="RFW142" s="2"/>
      <c r="RFX142" s="2"/>
      <c r="RFY142" s="2"/>
      <c r="RFZ142" s="2"/>
      <c r="RGA142" s="2"/>
      <c r="RGB142" s="2"/>
      <c r="RGC142" s="2"/>
      <c r="RGD142" s="2"/>
      <c r="RGE142" s="2"/>
      <c r="RGF142" s="2"/>
      <c r="RGG142" s="2"/>
      <c r="RGH142" s="2"/>
      <c r="RGI142" s="2"/>
      <c r="RGJ142" s="2"/>
      <c r="RGK142" s="2"/>
      <c r="RGL142" s="2"/>
      <c r="RGM142" s="2"/>
      <c r="RGN142" s="2"/>
      <c r="RGO142" s="2"/>
      <c r="RGP142" s="2"/>
      <c r="RGQ142" s="2"/>
      <c r="RGR142" s="2"/>
      <c r="RGS142" s="2"/>
      <c r="RGT142" s="2"/>
      <c r="RGU142" s="2"/>
      <c r="RGV142" s="2"/>
      <c r="RGW142" s="2"/>
      <c r="RGX142" s="2"/>
      <c r="RGY142" s="2"/>
      <c r="RGZ142" s="2"/>
      <c r="RHA142" s="2"/>
      <c r="RHB142" s="2"/>
      <c r="RHC142" s="2"/>
      <c r="RHD142" s="2"/>
      <c r="RHE142" s="2"/>
      <c r="RHF142" s="2"/>
      <c r="RHG142" s="2"/>
      <c r="RHH142" s="2"/>
      <c r="RHI142" s="2"/>
      <c r="RHJ142" s="2"/>
      <c r="RHK142" s="2"/>
      <c r="RHL142" s="2"/>
      <c r="RHM142" s="2"/>
      <c r="RHN142" s="2"/>
      <c r="RHO142" s="2"/>
      <c r="RHP142" s="2"/>
      <c r="RHQ142" s="2"/>
      <c r="RHR142" s="2"/>
      <c r="RHS142" s="2"/>
      <c r="RHT142" s="2"/>
      <c r="RHU142" s="2"/>
      <c r="RHV142" s="2"/>
      <c r="RHW142" s="2"/>
      <c r="RHX142" s="2"/>
      <c r="RHY142" s="2"/>
      <c r="RHZ142" s="2"/>
      <c r="RIA142" s="2"/>
      <c r="RIB142" s="2"/>
      <c r="RIC142" s="2"/>
      <c r="RID142" s="2"/>
      <c r="RIE142" s="2"/>
      <c r="RIF142" s="2"/>
      <c r="RIG142" s="2"/>
      <c r="RIH142" s="2"/>
      <c r="RII142" s="2"/>
      <c r="RIJ142" s="2"/>
      <c r="RIK142" s="2"/>
      <c r="RIL142" s="2"/>
      <c r="RIM142" s="2"/>
      <c r="RIN142" s="2"/>
      <c r="RIO142" s="2"/>
      <c r="RIP142" s="2"/>
      <c r="RIQ142" s="2"/>
      <c r="RIR142" s="2"/>
      <c r="RIS142" s="2"/>
      <c r="RIT142" s="2"/>
      <c r="RIU142" s="2"/>
      <c r="RIV142" s="2"/>
      <c r="RIW142" s="2"/>
      <c r="RIX142" s="2"/>
      <c r="RIY142" s="2"/>
      <c r="RIZ142" s="2"/>
      <c r="RJA142" s="2"/>
      <c r="RJB142" s="2"/>
      <c r="RJC142" s="2"/>
      <c r="RJD142" s="2"/>
      <c r="RJE142" s="2"/>
      <c r="RJF142" s="2"/>
      <c r="RJG142" s="2"/>
      <c r="RJH142" s="2"/>
      <c r="RJI142" s="2"/>
      <c r="RJJ142" s="2"/>
      <c r="RJK142" s="2"/>
      <c r="RJL142" s="2"/>
      <c r="RJM142" s="2"/>
      <c r="RJN142" s="2"/>
      <c r="RJO142" s="2"/>
      <c r="RJP142" s="2"/>
      <c r="RJQ142" s="2"/>
      <c r="RJR142" s="2"/>
      <c r="RJS142" s="2"/>
      <c r="RJT142" s="2"/>
      <c r="RJU142" s="2"/>
      <c r="RJV142" s="2"/>
      <c r="RJW142" s="2"/>
      <c r="RJX142" s="2"/>
      <c r="RJY142" s="2"/>
      <c r="RJZ142" s="2"/>
      <c r="RKA142" s="2"/>
      <c r="RKB142" s="2"/>
      <c r="RKC142" s="2"/>
      <c r="RKD142" s="2"/>
      <c r="RKE142" s="2"/>
      <c r="RKF142" s="2"/>
      <c r="RKG142" s="2"/>
      <c r="RKH142" s="2"/>
      <c r="RKI142" s="2"/>
      <c r="RKJ142" s="2"/>
      <c r="RKK142" s="2"/>
      <c r="RKL142" s="2"/>
      <c r="RKM142" s="2"/>
      <c r="RKN142" s="2"/>
      <c r="RKO142" s="2"/>
      <c r="RKP142" s="2"/>
      <c r="RKQ142" s="2"/>
      <c r="RKR142" s="2"/>
      <c r="RKS142" s="2"/>
      <c r="RKT142" s="2"/>
      <c r="RKU142" s="2"/>
      <c r="RKV142" s="2"/>
      <c r="RKW142" s="2"/>
      <c r="RKX142" s="2"/>
      <c r="RKY142" s="2"/>
      <c r="RKZ142" s="2"/>
      <c r="RLA142" s="2"/>
      <c r="RLB142" s="2"/>
      <c r="RLC142" s="2"/>
      <c r="RLD142" s="2"/>
      <c r="RLE142" s="2"/>
      <c r="RLF142" s="2"/>
      <c r="RLG142" s="2"/>
      <c r="RLH142" s="2"/>
      <c r="RLI142" s="2"/>
      <c r="RLJ142" s="2"/>
      <c r="RLK142" s="2"/>
      <c r="RLL142" s="2"/>
      <c r="RLM142" s="2"/>
      <c r="RLN142" s="2"/>
      <c r="RLO142" s="2"/>
      <c r="RLP142" s="2"/>
      <c r="RLQ142" s="2"/>
      <c r="RLR142" s="2"/>
      <c r="RLS142" s="2"/>
      <c r="RLT142" s="2"/>
      <c r="RLU142" s="2"/>
      <c r="RLV142" s="2"/>
      <c r="RLW142" s="2"/>
      <c r="RLX142" s="2"/>
      <c r="RLY142" s="2"/>
      <c r="RLZ142" s="2"/>
      <c r="RMA142" s="2"/>
      <c r="RMB142" s="2"/>
      <c r="RMC142" s="2"/>
      <c r="RMD142" s="2"/>
      <c r="RME142" s="2"/>
      <c r="RMF142" s="2"/>
      <c r="RMG142" s="2"/>
      <c r="RMH142" s="2"/>
      <c r="RMI142" s="2"/>
      <c r="RMJ142" s="2"/>
      <c r="RMK142" s="2"/>
      <c r="RML142" s="2"/>
      <c r="RMM142" s="2"/>
      <c r="RMN142" s="2"/>
      <c r="RMO142" s="2"/>
      <c r="RMP142" s="2"/>
      <c r="RMQ142" s="2"/>
      <c r="RMR142" s="2"/>
      <c r="RMS142" s="2"/>
      <c r="RMT142" s="2"/>
      <c r="RMU142" s="2"/>
      <c r="RMV142" s="2"/>
      <c r="RMW142" s="2"/>
      <c r="RMX142" s="2"/>
      <c r="RMY142" s="2"/>
      <c r="RMZ142" s="2"/>
      <c r="RNA142" s="2"/>
      <c r="RNB142" s="2"/>
      <c r="RNC142" s="2"/>
      <c r="RND142" s="2"/>
      <c r="RNE142" s="2"/>
      <c r="RNF142" s="2"/>
      <c r="RNG142" s="2"/>
      <c r="RNH142" s="2"/>
      <c r="RNI142" s="2"/>
      <c r="RNJ142" s="2"/>
      <c r="RNK142" s="2"/>
      <c r="RNL142" s="2"/>
      <c r="RNM142" s="2"/>
      <c r="RNN142" s="2"/>
      <c r="RNO142" s="2"/>
      <c r="RNP142" s="2"/>
      <c r="RNQ142" s="2"/>
      <c r="RNR142" s="2"/>
      <c r="RNS142" s="2"/>
      <c r="RNT142" s="2"/>
      <c r="RNU142" s="2"/>
      <c r="RNV142" s="2"/>
      <c r="RNW142" s="2"/>
      <c r="RNX142" s="2"/>
      <c r="RNY142" s="2"/>
      <c r="RNZ142" s="2"/>
      <c r="ROA142" s="2"/>
      <c r="ROB142" s="2"/>
      <c r="ROC142" s="2"/>
      <c r="ROD142" s="2"/>
      <c r="ROE142" s="2"/>
      <c r="ROF142" s="2"/>
      <c r="ROG142" s="2"/>
      <c r="ROH142" s="2"/>
      <c r="ROI142" s="2"/>
      <c r="ROJ142" s="2"/>
      <c r="ROK142" s="2"/>
      <c r="ROL142" s="2"/>
      <c r="ROM142" s="2"/>
      <c r="RON142" s="2"/>
      <c r="ROO142" s="2"/>
      <c r="ROP142" s="2"/>
      <c r="ROQ142" s="2"/>
      <c r="ROR142" s="2"/>
      <c r="ROS142" s="2"/>
      <c r="ROT142" s="2"/>
      <c r="ROU142" s="2"/>
      <c r="ROV142" s="2"/>
      <c r="ROW142" s="2"/>
      <c r="ROX142" s="2"/>
      <c r="ROY142" s="2"/>
      <c r="ROZ142" s="2"/>
      <c r="RPA142" s="2"/>
      <c r="RPB142" s="2"/>
      <c r="RPC142" s="2"/>
      <c r="RPD142" s="2"/>
      <c r="RPE142" s="2"/>
      <c r="RPF142" s="2"/>
      <c r="RPG142" s="2"/>
      <c r="RPH142" s="2"/>
      <c r="RPI142" s="2"/>
      <c r="RPJ142" s="2"/>
      <c r="RPK142" s="2"/>
      <c r="RPL142" s="2"/>
      <c r="RPM142" s="2"/>
      <c r="RPN142" s="2"/>
      <c r="RPO142" s="2"/>
      <c r="RPP142" s="2"/>
      <c r="RPQ142" s="2"/>
      <c r="RPR142" s="2"/>
      <c r="RPS142" s="2"/>
      <c r="RPT142" s="2"/>
      <c r="RPU142" s="2"/>
      <c r="RPV142" s="2"/>
      <c r="RPW142" s="2"/>
      <c r="RPX142" s="2"/>
      <c r="RPY142" s="2"/>
      <c r="RPZ142" s="2"/>
      <c r="RQA142" s="2"/>
      <c r="RQB142" s="2"/>
      <c r="RQC142" s="2"/>
      <c r="RQD142" s="2"/>
      <c r="RQE142" s="2"/>
      <c r="RQF142" s="2"/>
      <c r="RQG142" s="2"/>
      <c r="RQH142" s="2"/>
      <c r="RQI142" s="2"/>
      <c r="RQJ142" s="2"/>
      <c r="RQK142" s="2"/>
      <c r="RQL142" s="2"/>
      <c r="RQM142" s="2"/>
      <c r="RQN142" s="2"/>
      <c r="RQO142" s="2"/>
      <c r="RQP142" s="2"/>
      <c r="RQQ142" s="2"/>
      <c r="RQR142" s="2"/>
      <c r="RQS142" s="2"/>
      <c r="RQT142" s="2"/>
      <c r="RQU142" s="2"/>
      <c r="RQV142" s="2"/>
      <c r="RQW142" s="2"/>
      <c r="RQX142" s="2"/>
      <c r="RQY142" s="2"/>
      <c r="RQZ142" s="2"/>
      <c r="RRA142" s="2"/>
      <c r="RRB142" s="2"/>
      <c r="RRC142" s="2"/>
      <c r="RRD142" s="2"/>
      <c r="RRE142" s="2"/>
      <c r="RRF142" s="2"/>
      <c r="RRG142" s="2"/>
      <c r="RRH142" s="2"/>
      <c r="RRI142" s="2"/>
      <c r="RRJ142" s="2"/>
      <c r="RRK142" s="2"/>
      <c r="RRL142" s="2"/>
      <c r="RRM142" s="2"/>
      <c r="RRN142" s="2"/>
      <c r="RRO142" s="2"/>
      <c r="RRP142" s="2"/>
      <c r="RRQ142" s="2"/>
      <c r="RRR142" s="2"/>
      <c r="RRS142" s="2"/>
      <c r="RRT142" s="2"/>
      <c r="RRU142" s="2"/>
      <c r="RRV142" s="2"/>
      <c r="RRW142" s="2"/>
      <c r="RRX142" s="2"/>
      <c r="RRY142" s="2"/>
      <c r="RRZ142" s="2"/>
      <c r="RSA142" s="2"/>
      <c r="RSB142" s="2"/>
      <c r="RSC142" s="2"/>
      <c r="RSD142" s="2"/>
      <c r="RSE142" s="2"/>
      <c r="RSF142" s="2"/>
      <c r="RSG142" s="2"/>
      <c r="RSH142" s="2"/>
      <c r="RSI142" s="2"/>
      <c r="RSJ142" s="2"/>
      <c r="RSK142" s="2"/>
      <c r="RSL142" s="2"/>
      <c r="RSM142" s="2"/>
      <c r="RSN142" s="2"/>
      <c r="RSO142" s="2"/>
      <c r="RSP142" s="2"/>
      <c r="RSQ142" s="2"/>
      <c r="RSR142" s="2"/>
      <c r="RSS142" s="2"/>
      <c r="RST142" s="2"/>
      <c r="RSU142" s="2"/>
      <c r="RSV142" s="2"/>
      <c r="RSW142" s="2"/>
      <c r="RSX142" s="2"/>
      <c r="RSY142" s="2"/>
      <c r="RSZ142" s="2"/>
      <c r="RTA142" s="2"/>
      <c r="RTB142" s="2"/>
      <c r="RTC142" s="2"/>
      <c r="RTD142" s="2"/>
      <c r="RTE142" s="2"/>
      <c r="RTF142" s="2"/>
      <c r="RTG142" s="2"/>
      <c r="RTH142" s="2"/>
      <c r="RTI142" s="2"/>
      <c r="RTJ142" s="2"/>
      <c r="RTK142" s="2"/>
      <c r="RTL142" s="2"/>
      <c r="RTM142" s="2"/>
      <c r="RTN142" s="2"/>
      <c r="RTO142" s="2"/>
      <c r="RTP142" s="2"/>
      <c r="RTQ142" s="2"/>
      <c r="RTR142" s="2"/>
      <c r="RTS142" s="2"/>
      <c r="RTT142" s="2"/>
      <c r="RTU142" s="2"/>
      <c r="RTV142" s="2"/>
      <c r="RTW142" s="2"/>
      <c r="RTX142" s="2"/>
      <c r="RTY142" s="2"/>
      <c r="RTZ142" s="2"/>
      <c r="RUA142" s="2"/>
      <c r="RUB142" s="2"/>
      <c r="RUC142" s="2"/>
      <c r="RUD142" s="2"/>
      <c r="RUE142" s="2"/>
      <c r="RUF142" s="2"/>
      <c r="RUG142" s="2"/>
      <c r="RUH142" s="2"/>
      <c r="RUI142" s="2"/>
      <c r="RUJ142" s="2"/>
      <c r="RUK142" s="2"/>
      <c r="RUL142" s="2"/>
      <c r="RUM142" s="2"/>
      <c r="RUN142" s="2"/>
      <c r="RUO142" s="2"/>
      <c r="RUP142" s="2"/>
      <c r="RUQ142" s="2"/>
      <c r="RUR142" s="2"/>
      <c r="RUS142" s="2"/>
      <c r="RUT142" s="2"/>
      <c r="RUU142" s="2"/>
      <c r="RUV142" s="2"/>
      <c r="RUW142" s="2"/>
      <c r="RUX142" s="2"/>
      <c r="RUY142" s="2"/>
      <c r="RUZ142" s="2"/>
      <c r="RVA142" s="2"/>
      <c r="RVB142" s="2"/>
      <c r="RVC142" s="2"/>
      <c r="RVD142" s="2"/>
      <c r="RVE142" s="2"/>
      <c r="RVF142" s="2"/>
      <c r="RVG142" s="2"/>
      <c r="RVH142" s="2"/>
      <c r="RVI142" s="2"/>
      <c r="RVJ142" s="2"/>
      <c r="RVK142" s="2"/>
      <c r="RVL142" s="2"/>
      <c r="RVM142" s="2"/>
      <c r="RVN142" s="2"/>
      <c r="RVO142" s="2"/>
      <c r="RVP142" s="2"/>
      <c r="RVQ142" s="2"/>
      <c r="RVR142" s="2"/>
      <c r="RVS142" s="2"/>
      <c r="RVT142" s="2"/>
      <c r="RVU142" s="2"/>
      <c r="RVV142" s="2"/>
      <c r="RVW142" s="2"/>
      <c r="RVX142" s="2"/>
      <c r="RVY142" s="2"/>
      <c r="RVZ142" s="2"/>
      <c r="RWA142" s="2"/>
      <c r="RWB142" s="2"/>
      <c r="RWC142" s="2"/>
      <c r="RWD142" s="2"/>
      <c r="RWE142" s="2"/>
      <c r="RWF142" s="2"/>
      <c r="RWG142" s="2"/>
      <c r="RWH142" s="2"/>
      <c r="RWI142" s="2"/>
      <c r="RWJ142" s="2"/>
      <c r="RWK142" s="2"/>
      <c r="RWL142" s="2"/>
      <c r="RWM142" s="2"/>
      <c r="RWN142" s="2"/>
      <c r="RWO142" s="2"/>
      <c r="RWP142" s="2"/>
      <c r="RWQ142" s="2"/>
      <c r="RWR142" s="2"/>
      <c r="RWS142" s="2"/>
      <c r="RWT142" s="2"/>
      <c r="RWU142" s="2"/>
      <c r="RWV142" s="2"/>
      <c r="RWW142" s="2"/>
      <c r="RWX142" s="2"/>
      <c r="RWY142" s="2"/>
      <c r="RWZ142" s="2"/>
      <c r="RXA142" s="2"/>
      <c r="RXB142" s="2"/>
      <c r="RXC142" s="2"/>
      <c r="RXD142" s="2"/>
      <c r="RXE142" s="2"/>
      <c r="RXF142" s="2"/>
      <c r="RXG142" s="2"/>
      <c r="RXH142" s="2"/>
      <c r="RXI142" s="2"/>
      <c r="RXJ142" s="2"/>
      <c r="RXK142" s="2"/>
      <c r="RXL142" s="2"/>
      <c r="RXM142" s="2"/>
      <c r="RXN142" s="2"/>
      <c r="RXO142" s="2"/>
      <c r="RXP142" s="2"/>
      <c r="RXQ142" s="2"/>
      <c r="RXR142" s="2"/>
      <c r="RXS142" s="2"/>
      <c r="RXT142" s="2"/>
      <c r="RXU142" s="2"/>
      <c r="RXV142" s="2"/>
      <c r="RXW142" s="2"/>
      <c r="RXX142" s="2"/>
      <c r="RXY142" s="2"/>
      <c r="RXZ142" s="2"/>
      <c r="RYA142" s="2"/>
      <c r="RYB142" s="2"/>
      <c r="RYC142" s="2"/>
      <c r="RYD142" s="2"/>
      <c r="RYE142" s="2"/>
      <c r="RYF142" s="2"/>
      <c r="RYG142" s="2"/>
      <c r="RYH142" s="2"/>
      <c r="RYI142" s="2"/>
      <c r="RYJ142" s="2"/>
      <c r="RYK142" s="2"/>
      <c r="RYL142" s="2"/>
      <c r="RYM142" s="2"/>
      <c r="RYN142" s="2"/>
      <c r="RYO142" s="2"/>
      <c r="RYP142" s="2"/>
      <c r="RYQ142" s="2"/>
      <c r="RYR142" s="2"/>
      <c r="RYS142" s="2"/>
      <c r="RYT142" s="2"/>
      <c r="RYU142" s="2"/>
      <c r="RYV142" s="2"/>
      <c r="RYW142" s="2"/>
      <c r="RYX142" s="2"/>
      <c r="RYY142" s="2"/>
      <c r="RYZ142" s="2"/>
      <c r="RZA142" s="2"/>
      <c r="RZB142" s="2"/>
      <c r="RZC142" s="2"/>
      <c r="RZD142" s="2"/>
      <c r="RZE142" s="2"/>
      <c r="RZF142" s="2"/>
      <c r="RZG142" s="2"/>
      <c r="RZH142" s="2"/>
      <c r="RZI142" s="2"/>
      <c r="RZJ142" s="2"/>
      <c r="RZK142" s="2"/>
      <c r="RZL142" s="2"/>
      <c r="RZM142" s="2"/>
      <c r="RZN142" s="2"/>
      <c r="RZO142" s="2"/>
      <c r="RZP142" s="2"/>
      <c r="RZQ142" s="2"/>
      <c r="RZR142" s="2"/>
      <c r="RZS142" s="2"/>
      <c r="RZT142" s="2"/>
      <c r="RZU142" s="2"/>
      <c r="RZV142" s="2"/>
      <c r="RZW142" s="2"/>
      <c r="RZX142" s="2"/>
      <c r="RZY142" s="2"/>
      <c r="RZZ142" s="2"/>
      <c r="SAA142" s="2"/>
      <c r="SAB142" s="2"/>
      <c r="SAC142" s="2"/>
      <c r="SAD142" s="2"/>
      <c r="SAE142" s="2"/>
      <c r="SAF142" s="2"/>
      <c r="SAG142" s="2"/>
      <c r="SAH142" s="2"/>
      <c r="SAI142" s="2"/>
      <c r="SAJ142" s="2"/>
      <c r="SAK142" s="2"/>
      <c r="SAL142" s="2"/>
      <c r="SAM142" s="2"/>
      <c r="SAN142" s="2"/>
      <c r="SAO142" s="2"/>
      <c r="SAP142" s="2"/>
      <c r="SAQ142" s="2"/>
      <c r="SAR142" s="2"/>
      <c r="SAS142" s="2"/>
      <c r="SAT142" s="2"/>
      <c r="SAU142" s="2"/>
      <c r="SAV142" s="2"/>
      <c r="SAW142" s="2"/>
      <c r="SAX142" s="2"/>
      <c r="SAY142" s="2"/>
      <c r="SAZ142" s="2"/>
      <c r="SBA142" s="2"/>
      <c r="SBB142" s="2"/>
      <c r="SBC142" s="2"/>
      <c r="SBD142" s="2"/>
      <c r="SBE142" s="2"/>
      <c r="SBF142" s="2"/>
      <c r="SBG142" s="2"/>
      <c r="SBH142" s="2"/>
      <c r="SBI142" s="2"/>
      <c r="SBJ142" s="2"/>
      <c r="SBK142" s="2"/>
      <c r="SBL142" s="2"/>
      <c r="SBM142" s="2"/>
      <c r="SBN142" s="2"/>
      <c r="SBO142" s="2"/>
      <c r="SBP142" s="2"/>
      <c r="SBQ142" s="2"/>
      <c r="SBR142" s="2"/>
      <c r="SBS142" s="2"/>
      <c r="SBT142" s="2"/>
      <c r="SBU142" s="2"/>
      <c r="SBV142" s="2"/>
      <c r="SBW142" s="2"/>
      <c r="SBX142" s="2"/>
      <c r="SBY142" s="2"/>
      <c r="SBZ142" s="2"/>
      <c r="SCA142" s="2"/>
      <c r="SCB142" s="2"/>
      <c r="SCC142" s="2"/>
      <c r="SCD142" s="2"/>
      <c r="SCE142" s="2"/>
      <c r="SCF142" s="2"/>
      <c r="SCG142" s="2"/>
      <c r="SCH142" s="2"/>
      <c r="SCI142" s="2"/>
      <c r="SCJ142" s="2"/>
      <c r="SCK142" s="2"/>
      <c r="SCL142" s="2"/>
      <c r="SCM142" s="2"/>
      <c r="SCN142" s="2"/>
      <c r="SCO142" s="2"/>
      <c r="SCP142" s="2"/>
      <c r="SCQ142" s="2"/>
      <c r="SCR142" s="2"/>
      <c r="SCS142" s="2"/>
      <c r="SCT142" s="2"/>
      <c r="SCU142" s="2"/>
      <c r="SCV142" s="2"/>
      <c r="SCW142" s="2"/>
      <c r="SCX142" s="2"/>
      <c r="SCY142" s="2"/>
      <c r="SCZ142" s="2"/>
      <c r="SDA142" s="2"/>
      <c r="SDB142" s="2"/>
      <c r="SDC142" s="2"/>
      <c r="SDD142" s="2"/>
      <c r="SDE142" s="2"/>
      <c r="SDF142" s="2"/>
      <c r="SDG142" s="2"/>
      <c r="SDH142" s="2"/>
      <c r="SDI142" s="2"/>
      <c r="SDJ142" s="2"/>
      <c r="SDK142" s="2"/>
      <c r="SDL142" s="2"/>
      <c r="SDM142" s="2"/>
      <c r="SDN142" s="2"/>
      <c r="SDO142" s="2"/>
      <c r="SDP142" s="2"/>
      <c r="SDQ142" s="2"/>
      <c r="SDR142" s="2"/>
      <c r="SDS142" s="2"/>
      <c r="SDT142" s="2"/>
      <c r="SDU142" s="2"/>
      <c r="SDV142" s="2"/>
      <c r="SDW142" s="2"/>
      <c r="SDX142" s="2"/>
      <c r="SDY142" s="2"/>
      <c r="SDZ142" s="2"/>
      <c r="SEA142" s="2"/>
      <c r="SEB142" s="2"/>
      <c r="SEC142" s="2"/>
      <c r="SED142" s="2"/>
      <c r="SEE142" s="2"/>
      <c r="SEF142" s="2"/>
      <c r="SEG142" s="2"/>
      <c r="SEH142" s="2"/>
      <c r="SEI142" s="2"/>
      <c r="SEJ142" s="2"/>
      <c r="SEK142" s="2"/>
      <c r="SEL142" s="2"/>
      <c r="SEM142" s="2"/>
      <c r="SEN142" s="2"/>
      <c r="SEO142" s="2"/>
      <c r="SEP142" s="2"/>
      <c r="SEQ142" s="2"/>
      <c r="SER142" s="2"/>
      <c r="SES142" s="2"/>
      <c r="SET142" s="2"/>
      <c r="SEU142" s="2"/>
      <c r="SEV142" s="2"/>
      <c r="SEW142" s="2"/>
      <c r="SEX142" s="2"/>
      <c r="SEY142" s="2"/>
      <c r="SEZ142" s="2"/>
      <c r="SFA142" s="2"/>
      <c r="SFB142" s="2"/>
      <c r="SFC142" s="2"/>
      <c r="SFD142" s="2"/>
      <c r="SFE142" s="2"/>
      <c r="SFF142" s="2"/>
      <c r="SFG142" s="2"/>
      <c r="SFH142" s="2"/>
      <c r="SFI142" s="2"/>
      <c r="SFJ142" s="2"/>
      <c r="SFK142" s="2"/>
      <c r="SFL142" s="2"/>
      <c r="SFM142" s="2"/>
      <c r="SFN142" s="2"/>
      <c r="SFO142" s="2"/>
      <c r="SFP142" s="2"/>
      <c r="SFQ142" s="2"/>
      <c r="SFR142" s="2"/>
      <c r="SFS142" s="2"/>
      <c r="SFT142" s="2"/>
      <c r="SFU142" s="2"/>
      <c r="SFV142" s="2"/>
      <c r="SFW142" s="2"/>
      <c r="SFX142" s="2"/>
      <c r="SFY142" s="2"/>
      <c r="SFZ142" s="2"/>
      <c r="SGA142" s="2"/>
      <c r="SGB142" s="2"/>
      <c r="SGC142" s="2"/>
      <c r="SGD142" s="2"/>
      <c r="SGE142" s="2"/>
      <c r="SGF142" s="2"/>
      <c r="SGG142" s="2"/>
      <c r="SGH142" s="2"/>
      <c r="SGI142" s="2"/>
      <c r="SGJ142" s="2"/>
      <c r="SGK142" s="2"/>
      <c r="SGL142" s="2"/>
      <c r="SGM142" s="2"/>
      <c r="SGN142" s="2"/>
      <c r="SGO142" s="2"/>
      <c r="SGP142" s="2"/>
      <c r="SGQ142" s="2"/>
      <c r="SGR142" s="2"/>
      <c r="SGS142" s="2"/>
      <c r="SGT142" s="2"/>
      <c r="SGU142" s="2"/>
      <c r="SGV142" s="2"/>
      <c r="SGW142" s="2"/>
      <c r="SGX142" s="2"/>
      <c r="SGY142" s="2"/>
      <c r="SGZ142" s="2"/>
      <c r="SHA142" s="2"/>
      <c r="SHB142" s="2"/>
      <c r="SHC142" s="2"/>
      <c r="SHD142" s="2"/>
      <c r="SHE142" s="2"/>
      <c r="SHF142" s="2"/>
      <c r="SHG142" s="2"/>
      <c r="SHH142" s="2"/>
      <c r="SHI142" s="2"/>
      <c r="SHJ142" s="2"/>
      <c r="SHK142" s="2"/>
      <c r="SHL142" s="2"/>
      <c r="SHM142" s="2"/>
      <c r="SHN142" s="2"/>
      <c r="SHO142" s="2"/>
      <c r="SHP142" s="2"/>
      <c r="SHQ142" s="2"/>
      <c r="SHR142" s="2"/>
      <c r="SHS142" s="2"/>
      <c r="SHT142" s="2"/>
      <c r="SHU142" s="2"/>
      <c r="SHV142" s="2"/>
      <c r="SHW142" s="2"/>
      <c r="SHX142" s="2"/>
      <c r="SHY142" s="2"/>
      <c r="SHZ142" s="2"/>
      <c r="SIA142" s="2"/>
      <c r="SIB142" s="2"/>
      <c r="SIC142" s="2"/>
      <c r="SID142" s="2"/>
      <c r="SIE142" s="2"/>
      <c r="SIF142" s="2"/>
      <c r="SIG142" s="2"/>
      <c r="SIH142" s="2"/>
      <c r="SII142" s="2"/>
      <c r="SIJ142" s="2"/>
      <c r="SIK142" s="2"/>
      <c r="SIL142" s="2"/>
      <c r="SIM142" s="2"/>
      <c r="SIN142" s="2"/>
      <c r="SIO142" s="2"/>
      <c r="SIP142" s="2"/>
      <c r="SIQ142" s="2"/>
      <c r="SIR142" s="2"/>
      <c r="SIS142" s="2"/>
      <c r="SIT142" s="2"/>
      <c r="SIU142" s="2"/>
      <c r="SIV142" s="2"/>
      <c r="SIW142" s="2"/>
      <c r="SIX142" s="2"/>
      <c r="SIY142" s="2"/>
      <c r="SIZ142" s="2"/>
      <c r="SJA142" s="2"/>
      <c r="SJB142" s="2"/>
      <c r="SJC142" s="2"/>
      <c r="SJD142" s="2"/>
      <c r="SJE142" s="2"/>
      <c r="SJF142" s="2"/>
      <c r="SJG142" s="2"/>
      <c r="SJH142" s="2"/>
      <c r="SJI142" s="2"/>
      <c r="SJJ142" s="2"/>
      <c r="SJK142" s="2"/>
      <c r="SJL142" s="2"/>
      <c r="SJM142" s="2"/>
      <c r="SJN142" s="2"/>
      <c r="SJO142" s="2"/>
      <c r="SJP142" s="2"/>
      <c r="SJQ142" s="2"/>
      <c r="SJR142" s="2"/>
      <c r="SJS142" s="2"/>
      <c r="SJT142" s="2"/>
      <c r="SJU142" s="2"/>
      <c r="SJV142" s="2"/>
      <c r="SJW142" s="2"/>
      <c r="SJX142" s="2"/>
      <c r="SJY142" s="2"/>
      <c r="SJZ142" s="2"/>
      <c r="SKA142" s="2"/>
      <c r="SKB142" s="2"/>
      <c r="SKC142" s="2"/>
      <c r="SKD142" s="2"/>
      <c r="SKE142" s="2"/>
      <c r="SKF142" s="2"/>
      <c r="SKG142" s="2"/>
      <c r="SKH142" s="2"/>
      <c r="SKI142" s="2"/>
      <c r="SKJ142" s="2"/>
      <c r="SKK142" s="2"/>
      <c r="SKL142" s="2"/>
      <c r="SKM142" s="2"/>
      <c r="SKN142" s="2"/>
      <c r="SKO142" s="2"/>
      <c r="SKP142" s="2"/>
      <c r="SKQ142" s="2"/>
      <c r="SKR142" s="2"/>
      <c r="SKS142" s="2"/>
      <c r="SKT142" s="2"/>
      <c r="SKU142" s="2"/>
      <c r="SKV142" s="2"/>
      <c r="SKW142" s="2"/>
      <c r="SKX142" s="2"/>
      <c r="SKY142" s="2"/>
      <c r="SKZ142" s="2"/>
      <c r="SLA142" s="2"/>
      <c r="SLB142" s="2"/>
      <c r="SLC142" s="2"/>
      <c r="SLD142" s="2"/>
      <c r="SLE142" s="2"/>
      <c r="SLF142" s="2"/>
      <c r="SLG142" s="2"/>
      <c r="SLH142" s="2"/>
      <c r="SLI142" s="2"/>
      <c r="SLJ142" s="2"/>
      <c r="SLK142" s="2"/>
      <c r="SLL142" s="2"/>
      <c r="SLM142" s="2"/>
      <c r="SLN142" s="2"/>
      <c r="SLO142" s="2"/>
      <c r="SLP142" s="2"/>
      <c r="SLQ142" s="2"/>
      <c r="SLR142" s="2"/>
      <c r="SLS142" s="2"/>
      <c r="SLT142" s="2"/>
      <c r="SLU142" s="2"/>
      <c r="SLV142" s="2"/>
      <c r="SLW142" s="2"/>
      <c r="SLX142" s="2"/>
      <c r="SLY142" s="2"/>
      <c r="SLZ142" s="2"/>
      <c r="SMA142" s="2"/>
      <c r="SMB142" s="2"/>
      <c r="SMC142" s="2"/>
      <c r="SMD142" s="2"/>
      <c r="SME142" s="2"/>
      <c r="SMF142" s="2"/>
      <c r="SMG142" s="2"/>
      <c r="SMH142" s="2"/>
      <c r="SMI142" s="2"/>
      <c r="SMJ142" s="2"/>
      <c r="SMK142" s="2"/>
      <c r="SML142" s="2"/>
      <c r="SMM142" s="2"/>
      <c r="SMN142" s="2"/>
      <c r="SMO142" s="2"/>
      <c r="SMP142" s="2"/>
      <c r="SMQ142" s="2"/>
      <c r="SMR142" s="2"/>
      <c r="SMS142" s="2"/>
      <c r="SMT142" s="2"/>
      <c r="SMU142" s="2"/>
      <c r="SMV142" s="2"/>
      <c r="SMW142" s="2"/>
      <c r="SMX142" s="2"/>
      <c r="SMY142" s="2"/>
      <c r="SMZ142" s="2"/>
      <c r="SNA142" s="2"/>
      <c r="SNB142" s="2"/>
      <c r="SNC142" s="2"/>
      <c r="SND142" s="2"/>
      <c r="SNE142" s="2"/>
      <c r="SNF142" s="2"/>
      <c r="SNG142" s="2"/>
      <c r="SNH142" s="2"/>
      <c r="SNI142" s="2"/>
      <c r="SNJ142" s="2"/>
      <c r="SNK142" s="2"/>
      <c r="SNL142" s="2"/>
      <c r="SNM142" s="2"/>
      <c r="SNN142" s="2"/>
      <c r="SNO142" s="2"/>
      <c r="SNP142" s="2"/>
      <c r="SNQ142" s="2"/>
      <c r="SNR142" s="2"/>
      <c r="SNS142" s="2"/>
      <c r="SNT142" s="2"/>
      <c r="SNU142" s="2"/>
      <c r="SNV142" s="2"/>
      <c r="SNW142" s="2"/>
      <c r="SNX142" s="2"/>
      <c r="SNY142" s="2"/>
      <c r="SNZ142" s="2"/>
      <c r="SOA142" s="2"/>
      <c r="SOB142" s="2"/>
      <c r="SOC142" s="2"/>
      <c r="SOD142" s="2"/>
      <c r="SOE142" s="2"/>
      <c r="SOF142" s="2"/>
      <c r="SOG142" s="2"/>
      <c r="SOH142" s="2"/>
      <c r="SOI142" s="2"/>
      <c r="SOJ142" s="2"/>
      <c r="SOK142" s="2"/>
      <c r="SOL142" s="2"/>
      <c r="SOM142" s="2"/>
      <c r="SON142" s="2"/>
      <c r="SOO142" s="2"/>
      <c r="SOP142" s="2"/>
      <c r="SOQ142" s="2"/>
      <c r="SOR142" s="2"/>
      <c r="SOS142" s="2"/>
      <c r="SOT142" s="2"/>
      <c r="SOU142" s="2"/>
      <c r="SOV142" s="2"/>
      <c r="SOW142" s="2"/>
      <c r="SOX142" s="2"/>
      <c r="SOY142" s="2"/>
      <c r="SOZ142" s="2"/>
      <c r="SPA142" s="2"/>
      <c r="SPB142" s="2"/>
      <c r="SPC142" s="2"/>
      <c r="SPD142" s="2"/>
      <c r="SPE142" s="2"/>
      <c r="SPF142" s="2"/>
      <c r="SPG142" s="2"/>
      <c r="SPH142" s="2"/>
      <c r="SPI142" s="2"/>
      <c r="SPJ142" s="2"/>
      <c r="SPK142" s="2"/>
      <c r="SPL142" s="2"/>
      <c r="SPM142" s="2"/>
      <c r="SPN142" s="2"/>
      <c r="SPO142" s="2"/>
      <c r="SPP142" s="2"/>
      <c r="SPQ142" s="2"/>
      <c r="SPR142" s="2"/>
      <c r="SPS142" s="2"/>
      <c r="SPT142" s="2"/>
      <c r="SPU142" s="2"/>
      <c r="SPV142" s="2"/>
      <c r="SPW142" s="2"/>
      <c r="SPX142" s="2"/>
      <c r="SPY142" s="2"/>
      <c r="SPZ142" s="2"/>
      <c r="SQA142" s="2"/>
      <c r="SQB142" s="2"/>
      <c r="SQC142" s="2"/>
      <c r="SQD142" s="2"/>
      <c r="SQE142" s="2"/>
      <c r="SQF142" s="2"/>
      <c r="SQG142" s="2"/>
      <c r="SQH142" s="2"/>
      <c r="SQI142" s="2"/>
      <c r="SQJ142" s="2"/>
      <c r="SQK142" s="2"/>
      <c r="SQL142" s="2"/>
      <c r="SQM142" s="2"/>
      <c r="SQN142" s="2"/>
      <c r="SQO142" s="2"/>
      <c r="SQP142" s="2"/>
      <c r="SQQ142" s="2"/>
      <c r="SQR142" s="2"/>
      <c r="SQS142" s="2"/>
      <c r="SQT142" s="2"/>
      <c r="SQU142" s="2"/>
      <c r="SQV142" s="2"/>
      <c r="SQW142" s="2"/>
      <c r="SQX142" s="2"/>
      <c r="SQY142" s="2"/>
      <c r="SQZ142" s="2"/>
      <c r="SRA142" s="2"/>
      <c r="SRB142" s="2"/>
      <c r="SRC142" s="2"/>
      <c r="SRD142" s="2"/>
      <c r="SRE142" s="2"/>
      <c r="SRF142" s="2"/>
      <c r="SRG142" s="2"/>
      <c r="SRH142" s="2"/>
      <c r="SRI142" s="2"/>
      <c r="SRJ142" s="2"/>
      <c r="SRK142" s="2"/>
      <c r="SRL142" s="2"/>
      <c r="SRM142" s="2"/>
      <c r="SRN142" s="2"/>
      <c r="SRO142" s="2"/>
      <c r="SRP142" s="2"/>
      <c r="SRQ142" s="2"/>
      <c r="SRR142" s="2"/>
      <c r="SRS142" s="2"/>
      <c r="SRT142" s="2"/>
      <c r="SRU142" s="2"/>
      <c r="SRV142" s="2"/>
      <c r="SRW142" s="2"/>
      <c r="SRX142" s="2"/>
      <c r="SRY142" s="2"/>
      <c r="SRZ142" s="2"/>
      <c r="SSA142" s="2"/>
      <c r="SSB142" s="2"/>
      <c r="SSC142" s="2"/>
      <c r="SSD142" s="2"/>
      <c r="SSE142" s="2"/>
      <c r="SSF142" s="2"/>
      <c r="SSG142" s="2"/>
      <c r="SSH142" s="2"/>
      <c r="SSI142" s="2"/>
      <c r="SSJ142" s="2"/>
      <c r="SSK142" s="2"/>
      <c r="SSL142" s="2"/>
      <c r="SSM142" s="2"/>
      <c r="SSN142" s="2"/>
      <c r="SSO142" s="2"/>
      <c r="SSP142" s="2"/>
      <c r="SSQ142" s="2"/>
      <c r="SSR142" s="2"/>
      <c r="SSS142" s="2"/>
      <c r="SST142" s="2"/>
      <c r="SSU142" s="2"/>
      <c r="SSV142" s="2"/>
      <c r="SSW142" s="2"/>
      <c r="SSX142" s="2"/>
      <c r="SSY142" s="2"/>
      <c r="SSZ142" s="2"/>
      <c r="STA142" s="2"/>
      <c r="STB142" s="2"/>
      <c r="STC142" s="2"/>
      <c r="STD142" s="2"/>
      <c r="STE142" s="2"/>
      <c r="STF142" s="2"/>
      <c r="STG142" s="2"/>
      <c r="STH142" s="2"/>
      <c r="STI142" s="2"/>
      <c r="STJ142" s="2"/>
      <c r="STK142" s="2"/>
      <c r="STL142" s="2"/>
      <c r="STM142" s="2"/>
      <c r="STN142" s="2"/>
      <c r="STO142" s="2"/>
      <c r="STP142" s="2"/>
      <c r="STQ142" s="2"/>
      <c r="STR142" s="2"/>
      <c r="STS142" s="2"/>
      <c r="STT142" s="2"/>
      <c r="STU142" s="2"/>
      <c r="STV142" s="2"/>
      <c r="STW142" s="2"/>
      <c r="STX142" s="2"/>
      <c r="STY142" s="2"/>
      <c r="STZ142" s="2"/>
      <c r="SUA142" s="2"/>
      <c r="SUB142" s="2"/>
      <c r="SUC142" s="2"/>
      <c r="SUD142" s="2"/>
      <c r="SUE142" s="2"/>
      <c r="SUF142" s="2"/>
      <c r="SUG142" s="2"/>
      <c r="SUH142" s="2"/>
      <c r="SUI142" s="2"/>
      <c r="SUJ142" s="2"/>
      <c r="SUK142" s="2"/>
      <c r="SUL142" s="2"/>
      <c r="SUM142" s="2"/>
      <c r="SUN142" s="2"/>
      <c r="SUO142" s="2"/>
      <c r="SUP142" s="2"/>
      <c r="SUQ142" s="2"/>
      <c r="SUR142" s="2"/>
      <c r="SUS142" s="2"/>
      <c r="SUT142" s="2"/>
      <c r="SUU142" s="2"/>
      <c r="SUV142" s="2"/>
      <c r="SUW142" s="2"/>
      <c r="SUX142" s="2"/>
      <c r="SUY142" s="2"/>
      <c r="SUZ142" s="2"/>
      <c r="SVA142" s="2"/>
      <c r="SVB142" s="2"/>
      <c r="SVC142" s="2"/>
      <c r="SVD142" s="2"/>
      <c r="SVE142" s="2"/>
      <c r="SVF142" s="2"/>
      <c r="SVG142" s="2"/>
      <c r="SVH142" s="2"/>
      <c r="SVI142" s="2"/>
      <c r="SVJ142" s="2"/>
      <c r="SVK142" s="2"/>
      <c r="SVL142" s="2"/>
      <c r="SVM142" s="2"/>
      <c r="SVN142" s="2"/>
      <c r="SVO142" s="2"/>
      <c r="SVP142" s="2"/>
      <c r="SVQ142" s="2"/>
      <c r="SVR142" s="2"/>
      <c r="SVS142" s="2"/>
      <c r="SVT142" s="2"/>
      <c r="SVU142" s="2"/>
      <c r="SVV142" s="2"/>
      <c r="SVW142" s="2"/>
      <c r="SVX142" s="2"/>
      <c r="SVY142" s="2"/>
      <c r="SVZ142" s="2"/>
      <c r="SWA142" s="2"/>
      <c r="SWB142" s="2"/>
      <c r="SWC142" s="2"/>
      <c r="SWD142" s="2"/>
      <c r="SWE142" s="2"/>
      <c r="SWF142" s="2"/>
      <c r="SWG142" s="2"/>
      <c r="SWH142" s="2"/>
      <c r="SWI142" s="2"/>
      <c r="SWJ142" s="2"/>
      <c r="SWK142" s="2"/>
      <c r="SWL142" s="2"/>
      <c r="SWM142" s="2"/>
      <c r="SWN142" s="2"/>
      <c r="SWO142" s="2"/>
      <c r="SWP142" s="2"/>
      <c r="SWQ142" s="2"/>
      <c r="SWR142" s="2"/>
      <c r="SWS142" s="2"/>
      <c r="SWT142" s="2"/>
      <c r="SWU142" s="2"/>
      <c r="SWV142" s="2"/>
      <c r="SWW142" s="2"/>
      <c r="SWX142" s="2"/>
      <c r="SWY142" s="2"/>
      <c r="SWZ142" s="2"/>
      <c r="SXA142" s="2"/>
      <c r="SXB142" s="2"/>
      <c r="SXC142" s="2"/>
      <c r="SXD142" s="2"/>
      <c r="SXE142" s="2"/>
      <c r="SXF142" s="2"/>
      <c r="SXG142" s="2"/>
      <c r="SXH142" s="2"/>
      <c r="SXI142" s="2"/>
      <c r="SXJ142" s="2"/>
      <c r="SXK142" s="2"/>
      <c r="SXL142" s="2"/>
      <c r="SXM142" s="2"/>
      <c r="SXN142" s="2"/>
      <c r="SXO142" s="2"/>
      <c r="SXP142" s="2"/>
      <c r="SXQ142" s="2"/>
      <c r="SXR142" s="2"/>
      <c r="SXS142" s="2"/>
      <c r="SXT142" s="2"/>
      <c r="SXU142" s="2"/>
      <c r="SXV142" s="2"/>
      <c r="SXW142" s="2"/>
      <c r="SXX142" s="2"/>
      <c r="SXY142" s="2"/>
      <c r="SXZ142" s="2"/>
      <c r="SYA142" s="2"/>
      <c r="SYB142" s="2"/>
      <c r="SYC142" s="2"/>
      <c r="SYD142" s="2"/>
      <c r="SYE142" s="2"/>
      <c r="SYF142" s="2"/>
      <c r="SYG142" s="2"/>
      <c r="SYH142" s="2"/>
      <c r="SYI142" s="2"/>
      <c r="SYJ142" s="2"/>
      <c r="SYK142" s="2"/>
      <c r="SYL142" s="2"/>
      <c r="SYM142" s="2"/>
      <c r="SYN142" s="2"/>
      <c r="SYO142" s="2"/>
      <c r="SYP142" s="2"/>
      <c r="SYQ142" s="2"/>
      <c r="SYR142" s="2"/>
      <c r="SYS142" s="2"/>
      <c r="SYT142" s="2"/>
      <c r="SYU142" s="2"/>
      <c r="SYV142" s="2"/>
      <c r="SYW142" s="2"/>
      <c r="SYX142" s="2"/>
      <c r="SYY142" s="2"/>
      <c r="SYZ142" s="2"/>
      <c r="SZA142" s="2"/>
      <c r="SZB142" s="2"/>
      <c r="SZC142" s="2"/>
      <c r="SZD142" s="2"/>
      <c r="SZE142" s="2"/>
      <c r="SZF142" s="2"/>
      <c r="SZG142" s="2"/>
      <c r="SZH142" s="2"/>
      <c r="SZI142" s="2"/>
      <c r="SZJ142" s="2"/>
      <c r="SZK142" s="2"/>
      <c r="SZL142" s="2"/>
      <c r="SZM142" s="2"/>
      <c r="SZN142" s="2"/>
      <c r="SZO142" s="2"/>
      <c r="SZP142" s="2"/>
      <c r="SZQ142" s="2"/>
      <c r="SZR142" s="2"/>
      <c r="SZS142" s="2"/>
      <c r="SZT142" s="2"/>
      <c r="SZU142" s="2"/>
      <c r="SZV142" s="2"/>
      <c r="SZW142" s="2"/>
      <c r="SZX142" s="2"/>
      <c r="SZY142" s="2"/>
      <c r="SZZ142" s="2"/>
      <c r="TAA142" s="2"/>
      <c r="TAB142" s="2"/>
      <c r="TAC142" s="2"/>
      <c r="TAD142" s="2"/>
      <c r="TAE142" s="2"/>
      <c r="TAF142" s="2"/>
      <c r="TAG142" s="2"/>
      <c r="TAH142" s="2"/>
      <c r="TAI142" s="2"/>
      <c r="TAJ142" s="2"/>
      <c r="TAK142" s="2"/>
      <c r="TAL142" s="2"/>
      <c r="TAM142" s="2"/>
      <c r="TAN142" s="2"/>
      <c r="TAO142" s="2"/>
      <c r="TAP142" s="2"/>
      <c r="TAQ142" s="2"/>
      <c r="TAR142" s="2"/>
      <c r="TAS142" s="2"/>
      <c r="TAT142" s="2"/>
      <c r="TAU142" s="2"/>
      <c r="TAV142" s="2"/>
      <c r="TAW142" s="2"/>
      <c r="TAX142" s="2"/>
      <c r="TAY142" s="2"/>
      <c r="TAZ142" s="2"/>
      <c r="TBA142" s="2"/>
      <c r="TBB142" s="2"/>
      <c r="TBC142" s="2"/>
      <c r="TBD142" s="2"/>
      <c r="TBE142" s="2"/>
      <c r="TBF142" s="2"/>
      <c r="TBG142" s="2"/>
      <c r="TBH142" s="2"/>
      <c r="TBI142" s="2"/>
      <c r="TBJ142" s="2"/>
      <c r="TBK142" s="2"/>
      <c r="TBL142" s="2"/>
      <c r="TBM142" s="2"/>
      <c r="TBN142" s="2"/>
      <c r="TBO142" s="2"/>
      <c r="TBP142" s="2"/>
      <c r="TBQ142" s="2"/>
      <c r="TBR142" s="2"/>
      <c r="TBS142" s="2"/>
      <c r="TBT142" s="2"/>
      <c r="TBU142" s="2"/>
      <c r="TBV142" s="2"/>
      <c r="TBW142" s="2"/>
      <c r="TBX142" s="2"/>
      <c r="TBY142" s="2"/>
      <c r="TBZ142" s="2"/>
      <c r="TCA142" s="2"/>
      <c r="TCB142" s="2"/>
      <c r="TCC142" s="2"/>
      <c r="TCD142" s="2"/>
      <c r="TCE142" s="2"/>
      <c r="TCF142" s="2"/>
      <c r="TCG142" s="2"/>
      <c r="TCH142" s="2"/>
      <c r="TCI142" s="2"/>
      <c r="TCJ142" s="2"/>
      <c r="TCK142" s="2"/>
      <c r="TCL142" s="2"/>
      <c r="TCM142" s="2"/>
      <c r="TCN142" s="2"/>
      <c r="TCO142" s="2"/>
      <c r="TCP142" s="2"/>
      <c r="TCQ142" s="2"/>
      <c r="TCR142" s="2"/>
      <c r="TCS142" s="2"/>
      <c r="TCT142" s="2"/>
      <c r="TCU142" s="2"/>
      <c r="TCV142" s="2"/>
      <c r="TCW142" s="2"/>
      <c r="TCX142" s="2"/>
      <c r="TCY142" s="2"/>
      <c r="TCZ142" s="2"/>
      <c r="TDA142" s="2"/>
      <c r="TDB142" s="2"/>
      <c r="TDC142" s="2"/>
      <c r="TDD142" s="2"/>
      <c r="TDE142" s="2"/>
      <c r="TDF142" s="2"/>
      <c r="TDG142" s="2"/>
      <c r="TDH142" s="2"/>
      <c r="TDI142" s="2"/>
      <c r="TDJ142" s="2"/>
      <c r="TDK142" s="2"/>
      <c r="TDL142" s="2"/>
      <c r="TDM142" s="2"/>
      <c r="TDN142" s="2"/>
      <c r="TDO142" s="2"/>
      <c r="TDP142" s="2"/>
      <c r="TDQ142" s="2"/>
      <c r="TDR142" s="2"/>
      <c r="TDS142" s="2"/>
      <c r="TDT142" s="2"/>
      <c r="TDU142" s="2"/>
      <c r="TDV142" s="2"/>
      <c r="TDW142" s="2"/>
      <c r="TDX142" s="2"/>
      <c r="TDY142" s="2"/>
      <c r="TDZ142" s="2"/>
      <c r="TEA142" s="2"/>
      <c r="TEB142" s="2"/>
      <c r="TEC142" s="2"/>
      <c r="TED142" s="2"/>
      <c r="TEE142" s="2"/>
      <c r="TEF142" s="2"/>
      <c r="TEG142" s="2"/>
      <c r="TEH142" s="2"/>
      <c r="TEI142" s="2"/>
      <c r="TEJ142" s="2"/>
      <c r="TEK142" s="2"/>
      <c r="TEL142" s="2"/>
      <c r="TEM142" s="2"/>
      <c r="TEN142" s="2"/>
      <c r="TEO142" s="2"/>
      <c r="TEP142" s="2"/>
      <c r="TEQ142" s="2"/>
      <c r="TER142" s="2"/>
      <c r="TES142" s="2"/>
      <c r="TET142" s="2"/>
      <c r="TEU142" s="2"/>
      <c r="TEV142" s="2"/>
      <c r="TEW142" s="2"/>
      <c r="TEX142" s="2"/>
      <c r="TEY142" s="2"/>
      <c r="TEZ142" s="2"/>
      <c r="TFA142" s="2"/>
      <c r="TFB142" s="2"/>
      <c r="TFC142" s="2"/>
      <c r="TFD142" s="2"/>
      <c r="TFE142" s="2"/>
      <c r="TFF142" s="2"/>
      <c r="TFG142" s="2"/>
      <c r="TFH142" s="2"/>
      <c r="TFI142" s="2"/>
      <c r="TFJ142" s="2"/>
      <c r="TFK142" s="2"/>
      <c r="TFL142" s="2"/>
      <c r="TFM142" s="2"/>
      <c r="TFN142" s="2"/>
      <c r="TFO142" s="2"/>
      <c r="TFP142" s="2"/>
      <c r="TFQ142" s="2"/>
      <c r="TFR142" s="2"/>
      <c r="TFS142" s="2"/>
      <c r="TFT142" s="2"/>
      <c r="TFU142" s="2"/>
      <c r="TFV142" s="2"/>
      <c r="TFW142" s="2"/>
      <c r="TFX142" s="2"/>
      <c r="TFY142" s="2"/>
      <c r="TFZ142" s="2"/>
      <c r="TGA142" s="2"/>
      <c r="TGB142" s="2"/>
      <c r="TGC142" s="2"/>
      <c r="TGD142" s="2"/>
      <c r="TGE142" s="2"/>
      <c r="TGF142" s="2"/>
      <c r="TGG142" s="2"/>
      <c r="TGH142" s="2"/>
      <c r="TGI142" s="2"/>
      <c r="TGJ142" s="2"/>
      <c r="TGK142" s="2"/>
      <c r="TGL142" s="2"/>
      <c r="TGM142" s="2"/>
      <c r="TGN142" s="2"/>
      <c r="TGO142" s="2"/>
      <c r="TGP142" s="2"/>
      <c r="TGQ142" s="2"/>
      <c r="TGR142" s="2"/>
      <c r="TGS142" s="2"/>
      <c r="TGT142" s="2"/>
      <c r="TGU142" s="2"/>
      <c r="TGV142" s="2"/>
      <c r="TGW142" s="2"/>
      <c r="TGX142" s="2"/>
      <c r="TGY142" s="2"/>
      <c r="TGZ142" s="2"/>
      <c r="THA142" s="2"/>
      <c r="THB142" s="2"/>
      <c r="THC142" s="2"/>
      <c r="THD142" s="2"/>
      <c r="THE142" s="2"/>
      <c r="THF142" s="2"/>
      <c r="THG142" s="2"/>
      <c r="THH142" s="2"/>
      <c r="THI142" s="2"/>
      <c r="THJ142" s="2"/>
      <c r="THK142" s="2"/>
      <c r="THL142" s="2"/>
      <c r="THM142" s="2"/>
      <c r="THN142" s="2"/>
      <c r="THO142" s="2"/>
      <c r="THP142" s="2"/>
      <c r="THQ142" s="2"/>
      <c r="THR142" s="2"/>
      <c r="THS142" s="2"/>
      <c r="THT142" s="2"/>
      <c r="THU142" s="2"/>
      <c r="THV142" s="2"/>
      <c r="THW142" s="2"/>
      <c r="THX142" s="2"/>
      <c r="THY142" s="2"/>
      <c r="THZ142" s="2"/>
      <c r="TIA142" s="2"/>
      <c r="TIB142" s="2"/>
      <c r="TIC142" s="2"/>
      <c r="TID142" s="2"/>
      <c r="TIE142" s="2"/>
      <c r="TIF142" s="2"/>
      <c r="TIG142" s="2"/>
      <c r="TIH142" s="2"/>
      <c r="TII142" s="2"/>
      <c r="TIJ142" s="2"/>
      <c r="TIK142" s="2"/>
      <c r="TIL142" s="2"/>
      <c r="TIM142" s="2"/>
      <c r="TIN142" s="2"/>
      <c r="TIO142" s="2"/>
      <c r="TIP142" s="2"/>
      <c r="TIQ142" s="2"/>
      <c r="TIR142" s="2"/>
      <c r="TIS142" s="2"/>
      <c r="TIT142" s="2"/>
      <c r="TIU142" s="2"/>
      <c r="TIV142" s="2"/>
      <c r="TIW142" s="2"/>
      <c r="TIX142" s="2"/>
      <c r="TIY142" s="2"/>
      <c r="TIZ142" s="2"/>
      <c r="TJA142" s="2"/>
      <c r="TJB142" s="2"/>
      <c r="TJC142" s="2"/>
      <c r="TJD142" s="2"/>
      <c r="TJE142" s="2"/>
      <c r="TJF142" s="2"/>
      <c r="TJG142" s="2"/>
      <c r="TJH142" s="2"/>
      <c r="TJI142" s="2"/>
      <c r="TJJ142" s="2"/>
      <c r="TJK142" s="2"/>
      <c r="TJL142" s="2"/>
      <c r="TJM142" s="2"/>
      <c r="TJN142" s="2"/>
      <c r="TJO142" s="2"/>
      <c r="TJP142" s="2"/>
      <c r="TJQ142" s="2"/>
      <c r="TJR142" s="2"/>
      <c r="TJS142" s="2"/>
      <c r="TJT142" s="2"/>
      <c r="TJU142" s="2"/>
      <c r="TJV142" s="2"/>
      <c r="TJW142" s="2"/>
      <c r="TJX142" s="2"/>
      <c r="TJY142" s="2"/>
      <c r="TJZ142" s="2"/>
      <c r="TKA142" s="2"/>
      <c r="TKB142" s="2"/>
      <c r="TKC142" s="2"/>
      <c r="TKD142" s="2"/>
      <c r="TKE142" s="2"/>
      <c r="TKF142" s="2"/>
      <c r="TKG142" s="2"/>
      <c r="TKH142" s="2"/>
      <c r="TKI142" s="2"/>
      <c r="TKJ142" s="2"/>
      <c r="TKK142" s="2"/>
      <c r="TKL142" s="2"/>
      <c r="TKM142" s="2"/>
      <c r="TKN142" s="2"/>
      <c r="TKO142" s="2"/>
      <c r="TKP142" s="2"/>
      <c r="TKQ142" s="2"/>
      <c r="TKR142" s="2"/>
      <c r="TKS142" s="2"/>
      <c r="TKT142" s="2"/>
      <c r="TKU142" s="2"/>
      <c r="TKV142" s="2"/>
      <c r="TKW142" s="2"/>
      <c r="TKX142" s="2"/>
      <c r="TKY142" s="2"/>
      <c r="TKZ142" s="2"/>
      <c r="TLA142" s="2"/>
      <c r="TLB142" s="2"/>
      <c r="TLC142" s="2"/>
      <c r="TLD142" s="2"/>
      <c r="TLE142" s="2"/>
      <c r="TLF142" s="2"/>
      <c r="TLG142" s="2"/>
      <c r="TLH142" s="2"/>
      <c r="TLI142" s="2"/>
      <c r="TLJ142" s="2"/>
      <c r="TLK142" s="2"/>
      <c r="TLL142" s="2"/>
      <c r="TLM142" s="2"/>
      <c r="TLN142" s="2"/>
      <c r="TLO142" s="2"/>
      <c r="TLP142" s="2"/>
      <c r="TLQ142" s="2"/>
      <c r="TLR142" s="2"/>
      <c r="TLS142" s="2"/>
      <c r="TLT142" s="2"/>
      <c r="TLU142" s="2"/>
      <c r="TLV142" s="2"/>
      <c r="TLW142" s="2"/>
      <c r="TLX142" s="2"/>
      <c r="TLY142" s="2"/>
      <c r="TLZ142" s="2"/>
      <c r="TMA142" s="2"/>
      <c r="TMB142" s="2"/>
      <c r="TMC142" s="2"/>
      <c r="TMD142" s="2"/>
      <c r="TME142" s="2"/>
      <c r="TMF142" s="2"/>
      <c r="TMG142" s="2"/>
      <c r="TMH142" s="2"/>
      <c r="TMI142" s="2"/>
      <c r="TMJ142" s="2"/>
      <c r="TMK142" s="2"/>
      <c r="TML142" s="2"/>
      <c r="TMM142" s="2"/>
      <c r="TMN142" s="2"/>
      <c r="TMO142" s="2"/>
      <c r="TMP142" s="2"/>
      <c r="TMQ142" s="2"/>
      <c r="TMR142" s="2"/>
      <c r="TMS142" s="2"/>
      <c r="TMT142" s="2"/>
      <c r="TMU142" s="2"/>
      <c r="TMV142" s="2"/>
      <c r="TMW142" s="2"/>
      <c r="TMX142" s="2"/>
      <c r="TMY142" s="2"/>
      <c r="TMZ142" s="2"/>
      <c r="TNA142" s="2"/>
      <c r="TNB142" s="2"/>
      <c r="TNC142" s="2"/>
      <c r="TND142" s="2"/>
      <c r="TNE142" s="2"/>
      <c r="TNF142" s="2"/>
      <c r="TNG142" s="2"/>
      <c r="TNH142" s="2"/>
      <c r="TNI142" s="2"/>
      <c r="TNJ142" s="2"/>
      <c r="TNK142" s="2"/>
      <c r="TNL142" s="2"/>
      <c r="TNM142" s="2"/>
      <c r="TNN142" s="2"/>
      <c r="TNO142" s="2"/>
      <c r="TNP142" s="2"/>
      <c r="TNQ142" s="2"/>
      <c r="TNR142" s="2"/>
      <c r="TNS142" s="2"/>
      <c r="TNT142" s="2"/>
      <c r="TNU142" s="2"/>
      <c r="TNV142" s="2"/>
      <c r="TNW142" s="2"/>
      <c r="TNX142" s="2"/>
      <c r="TNY142" s="2"/>
      <c r="TNZ142" s="2"/>
      <c r="TOA142" s="2"/>
      <c r="TOB142" s="2"/>
      <c r="TOC142" s="2"/>
      <c r="TOD142" s="2"/>
      <c r="TOE142" s="2"/>
      <c r="TOF142" s="2"/>
      <c r="TOG142" s="2"/>
      <c r="TOH142" s="2"/>
      <c r="TOI142" s="2"/>
      <c r="TOJ142" s="2"/>
      <c r="TOK142" s="2"/>
      <c r="TOL142" s="2"/>
      <c r="TOM142" s="2"/>
      <c r="TON142" s="2"/>
      <c r="TOO142" s="2"/>
      <c r="TOP142" s="2"/>
      <c r="TOQ142" s="2"/>
      <c r="TOR142" s="2"/>
      <c r="TOS142" s="2"/>
      <c r="TOT142" s="2"/>
      <c r="TOU142" s="2"/>
      <c r="TOV142" s="2"/>
      <c r="TOW142" s="2"/>
      <c r="TOX142" s="2"/>
      <c r="TOY142" s="2"/>
      <c r="TOZ142" s="2"/>
      <c r="TPA142" s="2"/>
      <c r="TPB142" s="2"/>
      <c r="TPC142" s="2"/>
      <c r="TPD142" s="2"/>
      <c r="TPE142" s="2"/>
      <c r="TPF142" s="2"/>
      <c r="TPG142" s="2"/>
      <c r="TPH142" s="2"/>
      <c r="TPI142" s="2"/>
      <c r="TPJ142" s="2"/>
      <c r="TPK142" s="2"/>
      <c r="TPL142" s="2"/>
      <c r="TPM142" s="2"/>
      <c r="TPN142" s="2"/>
      <c r="TPO142" s="2"/>
      <c r="TPP142" s="2"/>
      <c r="TPQ142" s="2"/>
      <c r="TPR142" s="2"/>
      <c r="TPS142" s="2"/>
      <c r="TPT142" s="2"/>
      <c r="TPU142" s="2"/>
      <c r="TPV142" s="2"/>
      <c r="TPW142" s="2"/>
      <c r="TPX142" s="2"/>
      <c r="TPY142" s="2"/>
      <c r="TPZ142" s="2"/>
      <c r="TQA142" s="2"/>
      <c r="TQB142" s="2"/>
      <c r="TQC142" s="2"/>
      <c r="TQD142" s="2"/>
      <c r="TQE142" s="2"/>
      <c r="TQF142" s="2"/>
      <c r="TQG142" s="2"/>
      <c r="TQH142" s="2"/>
      <c r="TQI142" s="2"/>
      <c r="TQJ142" s="2"/>
      <c r="TQK142" s="2"/>
      <c r="TQL142" s="2"/>
      <c r="TQM142" s="2"/>
      <c r="TQN142" s="2"/>
      <c r="TQO142" s="2"/>
      <c r="TQP142" s="2"/>
      <c r="TQQ142" s="2"/>
      <c r="TQR142" s="2"/>
      <c r="TQS142" s="2"/>
      <c r="TQT142" s="2"/>
      <c r="TQU142" s="2"/>
      <c r="TQV142" s="2"/>
      <c r="TQW142" s="2"/>
      <c r="TQX142" s="2"/>
      <c r="TQY142" s="2"/>
      <c r="TQZ142" s="2"/>
      <c r="TRA142" s="2"/>
      <c r="TRB142" s="2"/>
      <c r="TRC142" s="2"/>
      <c r="TRD142" s="2"/>
      <c r="TRE142" s="2"/>
      <c r="TRF142" s="2"/>
      <c r="TRG142" s="2"/>
      <c r="TRH142" s="2"/>
      <c r="TRI142" s="2"/>
      <c r="TRJ142" s="2"/>
      <c r="TRK142" s="2"/>
      <c r="TRL142" s="2"/>
      <c r="TRM142" s="2"/>
      <c r="TRN142" s="2"/>
      <c r="TRO142" s="2"/>
      <c r="TRP142" s="2"/>
      <c r="TRQ142" s="2"/>
      <c r="TRR142" s="2"/>
      <c r="TRS142" s="2"/>
      <c r="TRT142" s="2"/>
      <c r="TRU142" s="2"/>
      <c r="TRV142" s="2"/>
      <c r="TRW142" s="2"/>
      <c r="TRX142" s="2"/>
      <c r="TRY142" s="2"/>
      <c r="TRZ142" s="2"/>
      <c r="TSA142" s="2"/>
      <c r="TSB142" s="2"/>
      <c r="TSC142" s="2"/>
      <c r="TSD142" s="2"/>
      <c r="TSE142" s="2"/>
      <c r="TSF142" s="2"/>
      <c r="TSG142" s="2"/>
      <c r="TSH142" s="2"/>
      <c r="TSI142" s="2"/>
      <c r="TSJ142" s="2"/>
      <c r="TSK142" s="2"/>
      <c r="TSL142" s="2"/>
      <c r="TSM142" s="2"/>
      <c r="TSN142" s="2"/>
      <c r="TSO142" s="2"/>
      <c r="TSP142" s="2"/>
      <c r="TSQ142" s="2"/>
      <c r="TSR142" s="2"/>
      <c r="TSS142" s="2"/>
      <c r="TST142" s="2"/>
      <c r="TSU142" s="2"/>
      <c r="TSV142" s="2"/>
      <c r="TSW142" s="2"/>
      <c r="TSX142" s="2"/>
      <c r="TSY142" s="2"/>
      <c r="TSZ142" s="2"/>
      <c r="TTA142" s="2"/>
      <c r="TTB142" s="2"/>
      <c r="TTC142" s="2"/>
      <c r="TTD142" s="2"/>
      <c r="TTE142" s="2"/>
      <c r="TTF142" s="2"/>
      <c r="TTG142" s="2"/>
      <c r="TTH142" s="2"/>
      <c r="TTI142" s="2"/>
      <c r="TTJ142" s="2"/>
      <c r="TTK142" s="2"/>
      <c r="TTL142" s="2"/>
      <c r="TTM142" s="2"/>
      <c r="TTN142" s="2"/>
      <c r="TTO142" s="2"/>
      <c r="TTP142" s="2"/>
      <c r="TTQ142" s="2"/>
      <c r="TTR142" s="2"/>
      <c r="TTS142" s="2"/>
      <c r="TTT142" s="2"/>
      <c r="TTU142" s="2"/>
      <c r="TTV142" s="2"/>
      <c r="TTW142" s="2"/>
      <c r="TTX142" s="2"/>
      <c r="TTY142" s="2"/>
      <c r="TTZ142" s="2"/>
      <c r="TUA142" s="2"/>
      <c r="TUB142" s="2"/>
      <c r="TUC142" s="2"/>
      <c r="TUD142" s="2"/>
      <c r="TUE142" s="2"/>
      <c r="TUF142" s="2"/>
      <c r="TUG142" s="2"/>
      <c r="TUH142" s="2"/>
      <c r="TUI142" s="2"/>
      <c r="TUJ142" s="2"/>
      <c r="TUK142" s="2"/>
      <c r="TUL142" s="2"/>
      <c r="TUM142" s="2"/>
      <c r="TUN142" s="2"/>
      <c r="TUO142" s="2"/>
      <c r="TUP142" s="2"/>
      <c r="TUQ142" s="2"/>
      <c r="TUR142" s="2"/>
      <c r="TUS142" s="2"/>
      <c r="TUT142" s="2"/>
      <c r="TUU142" s="2"/>
      <c r="TUV142" s="2"/>
      <c r="TUW142" s="2"/>
      <c r="TUX142" s="2"/>
      <c r="TUY142" s="2"/>
      <c r="TUZ142" s="2"/>
      <c r="TVA142" s="2"/>
      <c r="TVB142" s="2"/>
      <c r="TVC142" s="2"/>
      <c r="TVD142" s="2"/>
      <c r="TVE142" s="2"/>
      <c r="TVF142" s="2"/>
      <c r="TVG142" s="2"/>
      <c r="TVH142" s="2"/>
      <c r="TVI142" s="2"/>
      <c r="TVJ142" s="2"/>
      <c r="TVK142" s="2"/>
      <c r="TVL142" s="2"/>
      <c r="TVM142" s="2"/>
      <c r="TVN142" s="2"/>
      <c r="TVO142" s="2"/>
      <c r="TVP142" s="2"/>
      <c r="TVQ142" s="2"/>
      <c r="TVR142" s="2"/>
      <c r="TVS142" s="2"/>
      <c r="TVT142" s="2"/>
      <c r="TVU142" s="2"/>
      <c r="TVV142" s="2"/>
      <c r="TVW142" s="2"/>
      <c r="TVX142" s="2"/>
      <c r="TVY142" s="2"/>
      <c r="TVZ142" s="2"/>
      <c r="TWA142" s="2"/>
      <c r="TWB142" s="2"/>
      <c r="TWC142" s="2"/>
      <c r="TWD142" s="2"/>
      <c r="TWE142" s="2"/>
      <c r="TWF142" s="2"/>
      <c r="TWG142" s="2"/>
      <c r="TWH142" s="2"/>
      <c r="TWI142" s="2"/>
      <c r="TWJ142" s="2"/>
      <c r="TWK142" s="2"/>
      <c r="TWL142" s="2"/>
      <c r="TWM142" s="2"/>
      <c r="TWN142" s="2"/>
      <c r="TWO142" s="2"/>
      <c r="TWP142" s="2"/>
      <c r="TWQ142" s="2"/>
      <c r="TWR142" s="2"/>
      <c r="TWS142" s="2"/>
      <c r="TWT142" s="2"/>
      <c r="TWU142" s="2"/>
      <c r="TWV142" s="2"/>
      <c r="TWW142" s="2"/>
      <c r="TWX142" s="2"/>
      <c r="TWY142" s="2"/>
      <c r="TWZ142" s="2"/>
      <c r="TXA142" s="2"/>
      <c r="TXB142" s="2"/>
      <c r="TXC142" s="2"/>
      <c r="TXD142" s="2"/>
      <c r="TXE142" s="2"/>
      <c r="TXF142" s="2"/>
      <c r="TXG142" s="2"/>
      <c r="TXH142" s="2"/>
      <c r="TXI142" s="2"/>
      <c r="TXJ142" s="2"/>
      <c r="TXK142" s="2"/>
      <c r="TXL142" s="2"/>
      <c r="TXM142" s="2"/>
      <c r="TXN142" s="2"/>
      <c r="TXO142" s="2"/>
      <c r="TXP142" s="2"/>
      <c r="TXQ142" s="2"/>
      <c r="TXR142" s="2"/>
      <c r="TXS142" s="2"/>
      <c r="TXT142" s="2"/>
      <c r="TXU142" s="2"/>
      <c r="TXV142" s="2"/>
      <c r="TXW142" s="2"/>
      <c r="TXX142" s="2"/>
      <c r="TXY142" s="2"/>
      <c r="TXZ142" s="2"/>
      <c r="TYA142" s="2"/>
      <c r="TYB142" s="2"/>
      <c r="TYC142" s="2"/>
      <c r="TYD142" s="2"/>
      <c r="TYE142" s="2"/>
      <c r="TYF142" s="2"/>
      <c r="TYG142" s="2"/>
      <c r="TYH142" s="2"/>
      <c r="TYI142" s="2"/>
      <c r="TYJ142" s="2"/>
      <c r="TYK142" s="2"/>
      <c r="TYL142" s="2"/>
      <c r="TYM142" s="2"/>
      <c r="TYN142" s="2"/>
      <c r="TYO142" s="2"/>
      <c r="TYP142" s="2"/>
      <c r="TYQ142" s="2"/>
      <c r="TYR142" s="2"/>
      <c r="TYS142" s="2"/>
      <c r="TYT142" s="2"/>
      <c r="TYU142" s="2"/>
      <c r="TYV142" s="2"/>
      <c r="TYW142" s="2"/>
      <c r="TYX142" s="2"/>
      <c r="TYY142" s="2"/>
      <c r="TYZ142" s="2"/>
      <c r="TZA142" s="2"/>
      <c r="TZB142" s="2"/>
      <c r="TZC142" s="2"/>
      <c r="TZD142" s="2"/>
      <c r="TZE142" s="2"/>
      <c r="TZF142" s="2"/>
      <c r="TZG142" s="2"/>
      <c r="TZH142" s="2"/>
      <c r="TZI142" s="2"/>
      <c r="TZJ142" s="2"/>
      <c r="TZK142" s="2"/>
      <c r="TZL142" s="2"/>
      <c r="TZM142" s="2"/>
      <c r="TZN142" s="2"/>
      <c r="TZO142" s="2"/>
      <c r="TZP142" s="2"/>
      <c r="TZQ142" s="2"/>
      <c r="TZR142" s="2"/>
      <c r="TZS142" s="2"/>
      <c r="TZT142" s="2"/>
      <c r="TZU142" s="2"/>
      <c r="TZV142" s="2"/>
      <c r="TZW142" s="2"/>
      <c r="TZX142" s="2"/>
      <c r="TZY142" s="2"/>
      <c r="TZZ142" s="2"/>
      <c r="UAA142" s="2"/>
      <c r="UAB142" s="2"/>
      <c r="UAC142" s="2"/>
      <c r="UAD142" s="2"/>
      <c r="UAE142" s="2"/>
      <c r="UAF142" s="2"/>
      <c r="UAG142" s="2"/>
      <c r="UAH142" s="2"/>
      <c r="UAI142" s="2"/>
      <c r="UAJ142" s="2"/>
      <c r="UAK142" s="2"/>
      <c r="UAL142" s="2"/>
      <c r="UAM142" s="2"/>
      <c r="UAN142" s="2"/>
      <c r="UAO142" s="2"/>
      <c r="UAP142" s="2"/>
      <c r="UAQ142" s="2"/>
      <c r="UAR142" s="2"/>
      <c r="UAS142" s="2"/>
      <c r="UAT142" s="2"/>
      <c r="UAU142" s="2"/>
      <c r="UAV142" s="2"/>
      <c r="UAW142" s="2"/>
      <c r="UAX142" s="2"/>
      <c r="UAY142" s="2"/>
      <c r="UAZ142" s="2"/>
      <c r="UBA142" s="2"/>
      <c r="UBB142" s="2"/>
      <c r="UBC142" s="2"/>
      <c r="UBD142" s="2"/>
      <c r="UBE142" s="2"/>
      <c r="UBF142" s="2"/>
      <c r="UBG142" s="2"/>
      <c r="UBH142" s="2"/>
      <c r="UBI142" s="2"/>
      <c r="UBJ142" s="2"/>
      <c r="UBK142" s="2"/>
      <c r="UBL142" s="2"/>
      <c r="UBM142" s="2"/>
      <c r="UBN142" s="2"/>
      <c r="UBO142" s="2"/>
      <c r="UBP142" s="2"/>
      <c r="UBQ142" s="2"/>
      <c r="UBR142" s="2"/>
      <c r="UBS142" s="2"/>
      <c r="UBT142" s="2"/>
      <c r="UBU142" s="2"/>
      <c r="UBV142" s="2"/>
      <c r="UBW142" s="2"/>
      <c r="UBX142" s="2"/>
      <c r="UBY142" s="2"/>
      <c r="UBZ142" s="2"/>
      <c r="UCA142" s="2"/>
      <c r="UCB142" s="2"/>
      <c r="UCC142" s="2"/>
      <c r="UCD142" s="2"/>
      <c r="UCE142" s="2"/>
      <c r="UCF142" s="2"/>
      <c r="UCG142" s="2"/>
      <c r="UCH142" s="2"/>
      <c r="UCI142" s="2"/>
      <c r="UCJ142" s="2"/>
      <c r="UCK142" s="2"/>
      <c r="UCL142" s="2"/>
      <c r="UCM142" s="2"/>
      <c r="UCN142" s="2"/>
      <c r="UCO142" s="2"/>
      <c r="UCP142" s="2"/>
      <c r="UCQ142" s="2"/>
      <c r="UCR142" s="2"/>
      <c r="UCS142" s="2"/>
      <c r="UCT142" s="2"/>
      <c r="UCU142" s="2"/>
      <c r="UCV142" s="2"/>
      <c r="UCW142" s="2"/>
      <c r="UCX142" s="2"/>
      <c r="UCY142" s="2"/>
      <c r="UCZ142" s="2"/>
      <c r="UDA142" s="2"/>
      <c r="UDB142" s="2"/>
      <c r="UDC142" s="2"/>
      <c r="UDD142" s="2"/>
      <c r="UDE142" s="2"/>
      <c r="UDF142" s="2"/>
      <c r="UDG142" s="2"/>
      <c r="UDH142" s="2"/>
      <c r="UDI142" s="2"/>
      <c r="UDJ142" s="2"/>
      <c r="UDK142" s="2"/>
      <c r="UDL142" s="2"/>
      <c r="UDM142" s="2"/>
      <c r="UDN142" s="2"/>
      <c r="UDO142" s="2"/>
      <c r="UDP142" s="2"/>
      <c r="UDQ142" s="2"/>
      <c r="UDR142" s="2"/>
      <c r="UDS142" s="2"/>
      <c r="UDT142" s="2"/>
      <c r="UDU142" s="2"/>
      <c r="UDV142" s="2"/>
      <c r="UDW142" s="2"/>
      <c r="UDX142" s="2"/>
      <c r="UDY142" s="2"/>
      <c r="UDZ142" s="2"/>
      <c r="UEA142" s="2"/>
      <c r="UEB142" s="2"/>
      <c r="UEC142" s="2"/>
      <c r="UED142" s="2"/>
      <c r="UEE142" s="2"/>
      <c r="UEF142" s="2"/>
      <c r="UEG142" s="2"/>
      <c r="UEH142" s="2"/>
      <c r="UEI142" s="2"/>
      <c r="UEJ142" s="2"/>
      <c r="UEK142" s="2"/>
      <c r="UEL142" s="2"/>
      <c r="UEM142" s="2"/>
      <c r="UEN142" s="2"/>
      <c r="UEO142" s="2"/>
      <c r="UEP142" s="2"/>
      <c r="UEQ142" s="2"/>
      <c r="UER142" s="2"/>
      <c r="UES142" s="2"/>
      <c r="UET142" s="2"/>
      <c r="UEU142" s="2"/>
      <c r="UEV142" s="2"/>
      <c r="UEW142" s="2"/>
      <c r="UEX142" s="2"/>
      <c r="UEY142" s="2"/>
      <c r="UEZ142" s="2"/>
      <c r="UFA142" s="2"/>
      <c r="UFB142" s="2"/>
      <c r="UFC142" s="2"/>
      <c r="UFD142" s="2"/>
      <c r="UFE142" s="2"/>
      <c r="UFF142" s="2"/>
      <c r="UFG142" s="2"/>
      <c r="UFH142" s="2"/>
      <c r="UFI142" s="2"/>
      <c r="UFJ142" s="2"/>
      <c r="UFK142" s="2"/>
      <c r="UFL142" s="2"/>
      <c r="UFM142" s="2"/>
      <c r="UFN142" s="2"/>
      <c r="UFO142" s="2"/>
      <c r="UFP142" s="2"/>
      <c r="UFQ142" s="2"/>
      <c r="UFR142" s="2"/>
      <c r="UFS142" s="2"/>
      <c r="UFT142" s="2"/>
      <c r="UFU142" s="2"/>
      <c r="UFV142" s="2"/>
      <c r="UFW142" s="2"/>
      <c r="UFX142" s="2"/>
      <c r="UFY142" s="2"/>
      <c r="UFZ142" s="2"/>
      <c r="UGA142" s="2"/>
      <c r="UGB142" s="2"/>
      <c r="UGC142" s="2"/>
      <c r="UGD142" s="2"/>
      <c r="UGE142" s="2"/>
      <c r="UGF142" s="2"/>
      <c r="UGG142" s="2"/>
      <c r="UGH142" s="2"/>
      <c r="UGI142" s="2"/>
      <c r="UGJ142" s="2"/>
      <c r="UGK142" s="2"/>
      <c r="UGL142" s="2"/>
      <c r="UGM142" s="2"/>
      <c r="UGN142" s="2"/>
      <c r="UGO142" s="2"/>
      <c r="UGP142" s="2"/>
      <c r="UGQ142" s="2"/>
      <c r="UGR142" s="2"/>
      <c r="UGS142" s="2"/>
      <c r="UGT142" s="2"/>
      <c r="UGU142" s="2"/>
      <c r="UGV142" s="2"/>
      <c r="UGW142" s="2"/>
      <c r="UGX142" s="2"/>
      <c r="UGY142" s="2"/>
      <c r="UGZ142" s="2"/>
      <c r="UHA142" s="2"/>
      <c r="UHB142" s="2"/>
      <c r="UHC142" s="2"/>
      <c r="UHD142" s="2"/>
      <c r="UHE142" s="2"/>
      <c r="UHF142" s="2"/>
      <c r="UHG142" s="2"/>
      <c r="UHH142" s="2"/>
      <c r="UHI142" s="2"/>
      <c r="UHJ142" s="2"/>
      <c r="UHK142" s="2"/>
      <c r="UHL142" s="2"/>
      <c r="UHM142" s="2"/>
      <c r="UHN142" s="2"/>
      <c r="UHO142" s="2"/>
      <c r="UHP142" s="2"/>
      <c r="UHQ142" s="2"/>
      <c r="UHR142" s="2"/>
      <c r="UHS142" s="2"/>
      <c r="UHT142" s="2"/>
      <c r="UHU142" s="2"/>
      <c r="UHV142" s="2"/>
      <c r="UHW142" s="2"/>
      <c r="UHX142" s="2"/>
      <c r="UHY142" s="2"/>
      <c r="UHZ142" s="2"/>
      <c r="UIA142" s="2"/>
      <c r="UIB142" s="2"/>
      <c r="UIC142" s="2"/>
      <c r="UID142" s="2"/>
      <c r="UIE142" s="2"/>
      <c r="UIF142" s="2"/>
      <c r="UIG142" s="2"/>
      <c r="UIH142" s="2"/>
      <c r="UII142" s="2"/>
      <c r="UIJ142" s="2"/>
      <c r="UIK142" s="2"/>
      <c r="UIL142" s="2"/>
      <c r="UIM142" s="2"/>
      <c r="UIN142" s="2"/>
      <c r="UIO142" s="2"/>
      <c r="UIP142" s="2"/>
      <c r="UIQ142" s="2"/>
      <c r="UIR142" s="2"/>
      <c r="UIS142" s="2"/>
      <c r="UIT142" s="2"/>
      <c r="UIU142" s="2"/>
      <c r="UIV142" s="2"/>
      <c r="UIW142" s="2"/>
      <c r="UIX142" s="2"/>
      <c r="UIY142" s="2"/>
      <c r="UIZ142" s="2"/>
      <c r="UJA142" s="2"/>
      <c r="UJB142" s="2"/>
      <c r="UJC142" s="2"/>
      <c r="UJD142" s="2"/>
      <c r="UJE142" s="2"/>
      <c r="UJF142" s="2"/>
      <c r="UJG142" s="2"/>
      <c r="UJH142" s="2"/>
      <c r="UJI142" s="2"/>
      <c r="UJJ142" s="2"/>
      <c r="UJK142" s="2"/>
      <c r="UJL142" s="2"/>
      <c r="UJM142" s="2"/>
      <c r="UJN142" s="2"/>
      <c r="UJO142" s="2"/>
      <c r="UJP142" s="2"/>
      <c r="UJQ142" s="2"/>
      <c r="UJR142" s="2"/>
      <c r="UJS142" s="2"/>
      <c r="UJT142" s="2"/>
      <c r="UJU142" s="2"/>
      <c r="UJV142" s="2"/>
      <c r="UJW142" s="2"/>
      <c r="UJX142" s="2"/>
      <c r="UJY142" s="2"/>
      <c r="UJZ142" s="2"/>
      <c r="UKA142" s="2"/>
      <c r="UKB142" s="2"/>
      <c r="UKC142" s="2"/>
      <c r="UKD142" s="2"/>
      <c r="UKE142" s="2"/>
      <c r="UKF142" s="2"/>
      <c r="UKG142" s="2"/>
      <c r="UKH142" s="2"/>
      <c r="UKI142" s="2"/>
      <c r="UKJ142" s="2"/>
      <c r="UKK142" s="2"/>
      <c r="UKL142" s="2"/>
      <c r="UKM142" s="2"/>
      <c r="UKN142" s="2"/>
      <c r="UKO142" s="2"/>
      <c r="UKP142" s="2"/>
      <c r="UKQ142" s="2"/>
      <c r="UKR142" s="2"/>
      <c r="UKS142" s="2"/>
      <c r="UKT142" s="2"/>
      <c r="UKU142" s="2"/>
      <c r="UKV142" s="2"/>
      <c r="UKW142" s="2"/>
      <c r="UKX142" s="2"/>
      <c r="UKY142" s="2"/>
      <c r="UKZ142" s="2"/>
      <c r="ULA142" s="2"/>
      <c r="ULB142" s="2"/>
      <c r="ULC142" s="2"/>
      <c r="ULD142" s="2"/>
      <c r="ULE142" s="2"/>
      <c r="ULF142" s="2"/>
      <c r="ULG142" s="2"/>
      <c r="ULH142" s="2"/>
      <c r="ULI142" s="2"/>
      <c r="ULJ142" s="2"/>
      <c r="ULK142" s="2"/>
      <c r="ULL142" s="2"/>
      <c r="ULM142" s="2"/>
      <c r="ULN142" s="2"/>
      <c r="ULO142" s="2"/>
      <c r="ULP142" s="2"/>
      <c r="ULQ142" s="2"/>
      <c r="ULR142" s="2"/>
      <c r="ULS142" s="2"/>
      <c r="ULT142" s="2"/>
      <c r="ULU142" s="2"/>
      <c r="ULV142" s="2"/>
      <c r="ULW142" s="2"/>
      <c r="ULX142" s="2"/>
      <c r="ULY142" s="2"/>
      <c r="ULZ142" s="2"/>
      <c r="UMA142" s="2"/>
      <c r="UMB142" s="2"/>
      <c r="UMC142" s="2"/>
      <c r="UMD142" s="2"/>
      <c r="UME142" s="2"/>
      <c r="UMF142" s="2"/>
      <c r="UMG142" s="2"/>
      <c r="UMH142" s="2"/>
      <c r="UMI142" s="2"/>
      <c r="UMJ142" s="2"/>
      <c r="UMK142" s="2"/>
      <c r="UML142" s="2"/>
      <c r="UMM142" s="2"/>
      <c r="UMN142" s="2"/>
      <c r="UMO142" s="2"/>
      <c r="UMP142" s="2"/>
      <c r="UMQ142" s="2"/>
      <c r="UMR142" s="2"/>
      <c r="UMS142" s="2"/>
      <c r="UMT142" s="2"/>
      <c r="UMU142" s="2"/>
      <c r="UMV142" s="2"/>
      <c r="UMW142" s="2"/>
      <c r="UMX142" s="2"/>
      <c r="UMY142" s="2"/>
      <c r="UMZ142" s="2"/>
      <c r="UNA142" s="2"/>
      <c r="UNB142" s="2"/>
      <c r="UNC142" s="2"/>
      <c r="UND142" s="2"/>
      <c r="UNE142" s="2"/>
      <c r="UNF142" s="2"/>
      <c r="UNG142" s="2"/>
      <c r="UNH142" s="2"/>
      <c r="UNI142" s="2"/>
      <c r="UNJ142" s="2"/>
      <c r="UNK142" s="2"/>
      <c r="UNL142" s="2"/>
      <c r="UNM142" s="2"/>
      <c r="UNN142" s="2"/>
      <c r="UNO142" s="2"/>
      <c r="UNP142" s="2"/>
      <c r="UNQ142" s="2"/>
      <c r="UNR142" s="2"/>
      <c r="UNS142" s="2"/>
      <c r="UNT142" s="2"/>
      <c r="UNU142" s="2"/>
      <c r="UNV142" s="2"/>
      <c r="UNW142" s="2"/>
      <c r="UNX142" s="2"/>
      <c r="UNY142" s="2"/>
      <c r="UNZ142" s="2"/>
      <c r="UOA142" s="2"/>
      <c r="UOB142" s="2"/>
      <c r="UOC142" s="2"/>
      <c r="UOD142" s="2"/>
      <c r="UOE142" s="2"/>
      <c r="UOF142" s="2"/>
      <c r="UOG142" s="2"/>
      <c r="UOH142" s="2"/>
      <c r="UOI142" s="2"/>
      <c r="UOJ142" s="2"/>
      <c r="UOK142" s="2"/>
      <c r="UOL142" s="2"/>
      <c r="UOM142" s="2"/>
      <c r="UON142" s="2"/>
      <c r="UOO142" s="2"/>
      <c r="UOP142" s="2"/>
      <c r="UOQ142" s="2"/>
      <c r="UOR142" s="2"/>
      <c r="UOS142" s="2"/>
      <c r="UOT142" s="2"/>
      <c r="UOU142" s="2"/>
      <c r="UOV142" s="2"/>
      <c r="UOW142" s="2"/>
      <c r="UOX142" s="2"/>
      <c r="UOY142" s="2"/>
      <c r="UOZ142" s="2"/>
      <c r="UPA142" s="2"/>
      <c r="UPB142" s="2"/>
      <c r="UPC142" s="2"/>
      <c r="UPD142" s="2"/>
      <c r="UPE142" s="2"/>
      <c r="UPF142" s="2"/>
      <c r="UPG142" s="2"/>
      <c r="UPH142" s="2"/>
      <c r="UPI142" s="2"/>
      <c r="UPJ142" s="2"/>
      <c r="UPK142" s="2"/>
      <c r="UPL142" s="2"/>
      <c r="UPM142" s="2"/>
      <c r="UPN142" s="2"/>
      <c r="UPO142" s="2"/>
      <c r="UPP142" s="2"/>
      <c r="UPQ142" s="2"/>
      <c r="UPR142" s="2"/>
      <c r="UPS142" s="2"/>
      <c r="UPT142" s="2"/>
      <c r="UPU142" s="2"/>
      <c r="UPV142" s="2"/>
      <c r="UPW142" s="2"/>
      <c r="UPX142" s="2"/>
      <c r="UPY142" s="2"/>
      <c r="UPZ142" s="2"/>
      <c r="UQA142" s="2"/>
      <c r="UQB142" s="2"/>
      <c r="UQC142" s="2"/>
      <c r="UQD142" s="2"/>
      <c r="UQE142" s="2"/>
      <c r="UQF142" s="2"/>
      <c r="UQG142" s="2"/>
      <c r="UQH142" s="2"/>
      <c r="UQI142" s="2"/>
      <c r="UQJ142" s="2"/>
      <c r="UQK142" s="2"/>
      <c r="UQL142" s="2"/>
      <c r="UQM142" s="2"/>
      <c r="UQN142" s="2"/>
      <c r="UQO142" s="2"/>
      <c r="UQP142" s="2"/>
      <c r="UQQ142" s="2"/>
      <c r="UQR142" s="2"/>
      <c r="UQS142" s="2"/>
      <c r="UQT142" s="2"/>
      <c r="UQU142" s="2"/>
      <c r="UQV142" s="2"/>
      <c r="UQW142" s="2"/>
      <c r="UQX142" s="2"/>
      <c r="UQY142" s="2"/>
      <c r="UQZ142" s="2"/>
      <c r="URA142" s="2"/>
      <c r="URB142" s="2"/>
      <c r="URC142" s="2"/>
      <c r="URD142" s="2"/>
      <c r="URE142" s="2"/>
      <c r="URF142" s="2"/>
      <c r="URG142" s="2"/>
      <c r="URH142" s="2"/>
      <c r="URI142" s="2"/>
      <c r="URJ142" s="2"/>
      <c r="URK142" s="2"/>
      <c r="URL142" s="2"/>
      <c r="URM142" s="2"/>
      <c r="URN142" s="2"/>
      <c r="URO142" s="2"/>
      <c r="URP142" s="2"/>
      <c r="URQ142" s="2"/>
      <c r="URR142" s="2"/>
      <c r="URS142" s="2"/>
      <c r="URT142" s="2"/>
      <c r="URU142" s="2"/>
      <c r="URV142" s="2"/>
      <c r="URW142" s="2"/>
      <c r="URX142" s="2"/>
      <c r="URY142" s="2"/>
      <c r="URZ142" s="2"/>
      <c r="USA142" s="2"/>
      <c r="USB142" s="2"/>
      <c r="USC142" s="2"/>
      <c r="USD142" s="2"/>
      <c r="USE142" s="2"/>
      <c r="USF142" s="2"/>
      <c r="USG142" s="2"/>
      <c r="USH142" s="2"/>
      <c r="USI142" s="2"/>
      <c r="USJ142" s="2"/>
      <c r="USK142" s="2"/>
      <c r="USL142" s="2"/>
      <c r="USM142" s="2"/>
      <c r="USN142" s="2"/>
      <c r="USO142" s="2"/>
      <c r="USP142" s="2"/>
      <c r="USQ142" s="2"/>
      <c r="USR142" s="2"/>
      <c r="USS142" s="2"/>
      <c r="UST142" s="2"/>
      <c r="USU142" s="2"/>
      <c r="USV142" s="2"/>
      <c r="USW142" s="2"/>
      <c r="USX142" s="2"/>
      <c r="USY142" s="2"/>
      <c r="USZ142" s="2"/>
      <c r="UTA142" s="2"/>
      <c r="UTB142" s="2"/>
      <c r="UTC142" s="2"/>
      <c r="UTD142" s="2"/>
      <c r="UTE142" s="2"/>
      <c r="UTF142" s="2"/>
      <c r="UTG142" s="2"/>
      <c r="UTH142" s="2"/>
      <c r="UTI142" s="2"/>
      <c r="UTJ142" s="2"/>
      <c r="UTK142" s="2"/>
      <c r="UTL142" s="2"/>
      <c r="UTM142" s="2"/>
      <c r="UTN142" s="2"/>
      <c r="UTO142" s="2"/>
      <c r="UTP142" s="2"/>
      <c r="UTQ142" s="2"/>
      <c r="UTR142" s="2"/>
      <c r="UTS142" s="2"/>
      <c r="UTT142" s="2"/>
      <c r="UTU142" s="2"/>
      <c r="UTV142" s="2"/>
      <c r="UTW142" s="2"/>
      <c r="UTX142" s="2"/>
      <c r="UTY142" s="2"/>
      <c r="UTZ142" s="2"/>
      <c r="UUA142" s="2"/>
      <c r="UUB142" s="2"/>
      <c r="UUC142" s="2"/>
      <c r="UUD142" s="2"/>
      <c r="UUE142" s="2"/>
      <c r="UUF142" s="2"/>
      <c r="UUG142" s="2"/>
      <c r="UUH142" s="2"/>
      <c r="UUI142" s="2"/>
      <c r="UUJ142" s="2"/>
      <c r="UUK142" s="2"/>
      <c r="UUL142" s="2"/>
      <c r="UUM142" s="2"/>
      <c r="UUN142" s="2"/>
      <c r="UUO142" s="2"/>
      <c r="UUP142" s="2"/>
      <c r="UUQ142" s="2"/>
      <c r="UUR142" s="2"/>
      <c r="UUS142" s="2"/>
      <c r="UUT142" s="2"/>
      <c r="UUU142" s="2"/>
      <c r="UUV142" s="2"/>
      <c r="UUW142" s="2"/>
      <c r="UUX142" s="2"/>
      <c r="UUY142" s="2"/>
      <c r="UUZ142" s="2"/>
      <c r="UVA142" s="2"/>
      <c r="UVB142" s="2"/>
      <c r="UVC142" s="2"/>
      <c r="UVD142" s="2"/>
      <c r="UVE142" s="2"/>
      <c r="UVF142" s="2"/>
      <c r="UVG142" s="2"/>
      <c r="UVH142" s="2"/>
      <c r="UVI142" s="2"/>
      <c r="UVJ142" s="2"/>
      <c r="UVK142" s="2"/>
      <c r="UVL142" s="2"/>
      <c r="UVM142" s="2"/>
      <c r="UVN142" s="2"/>
      <c r="UVO142" s="2"/>
      <c r="UVP142" s="2"/>
      <c r="UVQ142" s="2"/>
      <c r="UVR142" s="2"/>
      <c r="UVS142" s="2"/>
      <c r="UVT142" s="2"/>
      <c r="UVU142" s="2"/>
      <c r="UVV142" s="2"/>
      <c r="UVW142" s="2"/>
      <c r="UVX142" s="2"/>
      <c r="UVY142" s="2"/>
      <c r="UVZ142" s="2"/>
      <c r="UWA142" s="2"/>
      <c r="UWB142" s="2"/>
      <c r="UWC142" s="2"/>
      <c r="UWD142" s="2"/>
      <c r="UWE142" s="2"/>
      <c r="UWF142" s="2"/>
      <c r="UWG142" s="2"/>
      <c r="UWH142" s="2"/>
      <c r="UWI142" s="2"/>
      <c r="UWJ142" s="2"/>
      <c r="UWK142" s="2"/>
      <c r="UWL142" s="2"/>
      <c r="UWM142" s="2"/>
      <c r="UWN142" s="2"/>
      <c r="UWO142" s="2"/>
      <c r="UWP142" s="2"/>
      <c r="UWQ142" s="2"/>
      <c r="UWR142" s="2"/>
      <c r="UWS142" s="2"/>
      <c r="UWT142" s="2"/>
      <c r="UWU142" s="2"/>
      <c r="UWV142" s="2"/>
      <c r="UWW142" s="2"/>
      <c r="UWX142" s="2"/>
      <c r="UWY142" s="2"/>
      <c r="UWZ142" s="2"/>
      <c r="UXA142" s="2"/>
      <c r="UXB142" s="2"/>
      <c r="UXC142" s="2"/>
      <c r="UXD142" s="2"/>
      <c r="UXE142" s="2"/>
      <c r="UXF142" s="2"/>
      <c r="UXG142" s="2"/>
      <c r="UXH142" s="2"/>
      <c r="UXI142" s="2"/>
      <c r="UXJ142" s="2"/>
      <c r="UXK142" s="2"/>
      <c r="UXL142" s="2"/>
      <c r="UXM142" s="2"/>
      <c r="UXN142" s="2"/>
      <c r="UXO142" s="2"/>
      <c r="UXP142" s="2"/>
      <c r="UXQ142" s="2"/>
      <c r="UXR142" s="2"/>
      <c r="UXS142" s="2"/>
      <c r="UXT142" s="2"/>
      <c r="UXU142" s="2"/>
      <c r="UXV142" s="2"/>
      <c r="UXW142" s="2"/>
      <c r="UXX142" s="2"/>
      <c r="UXY142" s="2"/>
      <c r="UXZ142" s="2"/>
      <c r="UYA142" s="2"/>
      <c r="UYB142" s="2"/>
      <c r="UYC142" s="2"/>
      <c r="UYD142" s="2"/>
      <c r="UYE142" s="2"/>
      <c r="UYF142" s="2"/>
      <c r="UYG142" s="2"/>
      <c r="UYH142" s="2"/>
      <c r="UYI142" s="2"/>
      <c r="UYJ142" s="2"/>
      <c r="UYK142" s="2"/>
      <c r="UYL142" s="2"/>
      <c r="UYM142" s="2"/>
      <c r="UYN142" s="2"/>
      <c r="UYO142" s="2"/>
      <c r="UYP142" s="2"/>
      <c r="UYQ142" s="2"/>
      <c r="UYR142" s="2"/>
      <c r="UYS142" s="2"/>
      <c r="UYT142" s="2"/>
      <c r="UYU142" s="2"/>
      <c r="UYV142" s="2"/>
      <c r="UYW142" s="2"/>
      <c r="UYX142" s="2"/>
      <c r="UYY142" s="2"/>
      <c r="UYZ142" s="2"/>
      <c r="UZA142" s="2"/>
      <c r="UZB142" s="2"/>
      <c r="UZC142" s="2"/>
      <c r="UZD142" s="2"/>
      <c r="UZE142" s="2"/>
      <c r="UZF142" s="2"/>
      <c r="UZG142" s="2"/>
      <c r="UZH142" s="2"/>
      <c r="UZI142" s="2"/>
      <c r="UZJ142" s="2"/>
      <c r="UZK142" s="2"/>
      <c r="UZL142" s="2"/>
      <c r="UZM142" s="2"/>
      <c r="UZN142" s="2"/>
      <c r="UZO142" s="2"/>
      <c r="UZP142" s="2"/>
      <c r="UZQ142" s="2"/>
      <c r="UZR142" s="2"/>
      <c r="UZS142" s="2"/>
      <c r="UZT142" s="2"/>
      <c r="UZU142" s="2"/>
      <c r="UZV142" s="2"/>
      <c r="UZW142" s="2"/>
      <c r="UZX142" s="2"/>
      <c r="UZY142" s="2"/>
      <c r="UZZ142" s="2"/>
      <c r="VAA142" s="2"/>
      <c r="VAB142" s="2"/>
      <c r="VAC142" s="2"/>
      <c r="VAD142" s="2"/>
      <c r="VAE142" s="2"/>
      <c r="VAF142" s="2"/>
      <c r="VAG142" s="2"/>
      <c r="VAH142" s="2"/>
      <c r="VAI142" s="2"/>
      <c r="VAJ142" s="2"/>
      <c r="VAK142" s="2"/>
      <c r="VAL142" s="2"/>
      <c r="VAM142" s="2"/>
      <c r="VAN142" s="2"/>
      <c r="VAO142" s="2"/>
      <c r="VAP142" s="2"/>
      <c r="VAQ142" s="2"/>
      <c r="VAR142" s="2"/>
      <c r="VAS142" s="2"/>
      <c r="VAT142" s="2"/>
      <c r="VAU142" s="2"/>
      <c r="VAV142" s="2"/>
      <c r="VAW142" s="2"/>
      <c r="VAX142" s="2"/>
      <c r="VAY142" s="2"/>
      <c r="VAZ142" s="2"/>
      <c r="VBA142" s="2"/>
      <c r="VBB142" s="2"/>
      <c r="VBC142" s="2"/>
      <c r="VBD142" s="2"/>
      <c r="VBE142" s="2"/>
      <c r="VBF142" s="2"/>
      <c r="VBG142" s="2"/>
      <c r="VBH142" s="2"/>
      <c r="VBI142" s="2"/>
      <c r="VBJ142" s="2"/>
      <c r="VBK142" s="2"/>
      <c r="VBL142" s="2"/>
      <c r="VBM142" s="2"/>
      <c r="VBN142" s="2"/>
      <c r="VBO142" s="2"/>
      <c r="VBP142" s="2"/>
      <c r="VBQ142" s="2"/>
      <c r="VBR142" s="2"/>
      <c r="VBS142" s="2"/>
      <c r="VBT142" s="2"/>
      <c r="VBU142" s="2"/>
      <c r="VBV142" s="2"/>
      <c r="VBW142" s="2"/>
      <c r="VBX142" s="2"/>
      <c r="VBY142" s="2"/>
      <c r="VBZ142" s="2"/>
      <c r="VCA142" s="2"/>
      <c r="VCB142" s="2"/>
      <c r="VCC142" s="2"/>
      <c r="VCD142" s="2"/>
      <c r="VCE142" s="2"/>
      <c r="VCF142" s="2"/>
      <c r="VCG142" s="2"/>
      <c r="VCH142" s="2"/>
      <c r="VCI142" s="2"/>
      <c r="VCJ142" s="2"/>
      <c r="VCK142" s="2"/>
      <c r="VCL142" s="2"/>
      <c r="VCM142" s="2"/>
      <c r="VCN142" s="2"/>
      <c r="VCO142" s="2"/>
      <c r="VCP142" s="2"/>
      <c r="VCQ142" s="2"/>
      <c r="VCR142" s="2"/>
      <c r="VCS142" s="2"/>
      <c r="VCT142" s="2"/>
      <c r="VCU142" s="2"/>
      <c r="VCV142" s="2"/>
      <c r="VCW142" s="2"/>
      <c r="VCX142" s="2"/>
      <c r="VCY142" s="2"/>
      <c r="VCZ142" s="2"/>
      <c r="VDA142" s="2"/>
      <c r="VDB142" s="2"/>
      <c r="VDC142" s="2"/>
      <c r="VDD142" s="2"/>
      <c r="VDE142" s="2"/>
      <c r="VDF142" s="2"/>
      <c r="VDG142" s="2"/>
      <c r="VDH142" s="2"/>
      <c r="VDI142" s="2"/>
      <c r="VDJ142" s="2"/>
      <c r="VDK142" s="2"/>
      <c r="VDL142" s="2"/>
      <c r="VDM142" s="2"/>
      <c r="VDN142" s="2"/>
      <c r="VDO142" s="2"/>
      <c r="VDP142" s="2"/>
      <c r="VDQ142" s="2"/>
      <c r="VDR142" s="2"/>
      <c r="VDS142" s="2"/>
      <c r="VDT142" s="2"/>
      <c r="VDU142" s="2"/>
      <c r="VDV142" s="2"/>
      <c r="VDW142" s="2"/>
      <c r="VDX142" s="2"/>
      <c r="VDY142" s="2"/>
      <c r="VDZ142" s="2"/>
      <c r="VEA142" s="2"/>
      <c r="VEB142" s="2"/>
      <c r="VEC142" s="2"/>
      <c r="VED142" s="2"/>
      <c r="VEE142" s="2"/>
      <c r="VEF142" s="2"/>
      <c r="VEG142" s="2"/>
      <c r="VEH142" s="2"/>
      <c r="VEI142" s="2"/>
      <c r="VEJ142" s="2"/>
      <c r="VEK142" s="2"/>
      <c r="VEL142" s="2"/>
      <c r="VEM142" s="2"/>
      <c r="VEN142" s="2"/>
      <c r="VEO142" s="2"/>
      <c r="VEP142" s="2"/>
      <c r="VEQ142" s="2"/>
      <c r="VER142" s="2"/>
      <c r="VES142" s="2"/>
      <c r="VET142" s="2"/>
      <c r="VEU142" s="2"/>
      <c r="VEV142" s="2"/>
      <c r="VEW142" s="2"/>
      <c r="VEX142" s="2"/>
      <c r="VEY142" s="2"/>
      <c r="VEZ142" s="2"/>
      <c r="VFA142" s="2"/>
      <c r="VFB142" s="2"/>
      <c r="VFC142" s="2"/>
      <c r="VFD142" s="2"/>
      <c r="VFE142" s="2"/>
      <c r="VFF142" s="2"/>
      <c r="VFG142" s="2"/>
      <c r="VFH142" s="2"/>
      <c r="VFI142" s="2"/>
      <c r="VFJ142" s="2"/>
      <c r="VFK142" s="2"/>
      <c r="VFL142" s="2"/>
      <c r="VFM142" s="2"/>
      <c r="VFN142" s="2"/>
      <c r="VFO142" s="2"/>
      <c r="VFP142" s="2"/>
      <c r="VFQ142" s="2"/>
      <c r="VFR142" s="2"/>
      <c r="VFS142" s="2"/>
      <c r="VFT142" s="2"/>
      <c r="VFU142" s="2"/>
      <c r="VFV142" s="2"/>
      <c r="VFW142" s="2"/>
      <c r="VFX142" s="2"/>
      <c r="VFY142" s="2"/>
      <c r="VFZ142" s="2"/>
      <c r="VGA142" s="2"/>
      <c r="VGB142" s="2"/>
      <c r="VGC142" s="2"/>
      <c r="VGD142" s="2"/>
      <c r="VGE142" s="2"/>
      <c r="VGF142" s="2"/>
      <c r="VGG142" s="2"/>
      <c r="VGH142" s="2"/>
      <c r="VGI142" s="2"/>
      <c r="VGJ142" s="2"/>
      <c r="VGK142" s="2"/>
      <c r="VGL142" s="2"/>
      <c r="VGM142" s="2"/>
      <c r="VGN142" s="2"/>
      <c r="VGO142" s="2"/>
      <c r="VGP142" s="2"/>
      <c r="VGQ142" s="2"/>
      <c r="VGR142" s="2"/>
      <c r="VGS142" s="2"/>
      <c r="VGT142" s="2"/>
      <c r="VGU142" s="2"/>
      <c r="VGV142" s="2"/>
      <c r="VGW142" s="2"/>
      <c r="VGX142" s="2"/>
      <c r="VGY142" s="2"/>
      <c r="VGZ142" s="2"/>
      <c r="VHA142" s="2"/>
      <c r="VHB142" s="2"/>
      <c r="VHC142" s="2"/>
      <c r="VHD142" s="2"/>
      <c r="VHE142" s="2"/>
      <c r="VHF142" s="2"/>
      <c r="VHG142" s="2"/>
      <c r="VHH142" s="2"/>
      <c r="VHI142" s="2"/>
      <c r="VHJ142" s="2"/>
      <c r="VHK142" s="2"/>
      <c r="VHL142" s="2"/>
      <c r="VHM142" s="2"/>
      <c r="VHN142" s="2"/>
      <c r="VHO142" s="2"/>
      <c r="VHP142" s="2"/>
      <c r="VHQ142" s="2"/>
      <c r="VHR142" s="2"/>
      <c r="VHS142" s="2"/>
      <c r="VHT142" s="2"/>
      <c r="VHU142" s="2"/>
      <c r="VHV142" s="2"/>
      <c r="VHW142" s="2"/>
      <c r="VHX142" s="2"/>
      <c r="VHY142" s="2"/>
      <c r="VHZ142" s="2"/>
      <c r="VIA142" s="2"/>
      <c r="VIB142" s="2"/>
      <c r="VIC142" s="2"/>
      <c r="VID142" s="2"/>
      <c r="VIE142" s="2"/>
      <c r="VIF142" s="2"/>
      <c r="VIG142" s="2"/>
      <c r="VIH142" s="2"/>
      <c r="VII142" s="2"/>
      <c r="VIJ142" s="2"/>
      <c r="VIK142" s="2"/>
      <c r="VIL142" s="2"/>
      <c r="VIM142" s="2"/>
      <c r="VIN142" s="2"/>
      <c r="VIO142" s="2"/>
      <c r="VIP142" s="2"/>
      <c r="VIQ142" s="2"/>
      <c r="VIR142" s="2"/>
      <c r="VIS142" s="2"/>
      <c r="VIT142" s="2"/>
      <c r="VIU142" s="2"/>
      <c r="VIV142" s="2"/>
      <c r="VIW142" s="2"/>
      <c r="VIX142" s="2"/>
      <c r="VIY142" s="2"/>
      <c r="VIZ142" s="2"/>
      <c r="VJA142" s="2"/>
      <c r="VJB142" s="2"/>
      <c r="VJC142" s="2"/>
      <c r="VJD142" s="2"/>
      <c r="VJE142" s="2"/>
      <c r="VJF142" s="2"/>
      <c r="VJG142" s="2"/>
      <c r="VJH142" s="2"/>
      <c r="VJI142" s="2"/>
      <c r="VJJ142" s="2"/>
      <c r="VJK142" s="2"/>
      <c r="VJL142" s="2"/>
      <c r="VJM142" s="2"/>
      <c r="VJN142" s="2"/>
      <c r="VJO142" s="2"/>
      <c r="VJP142" s="2"/>
      <c r="VJQ142" s="2"/>
      <c r="VJR142" s="2"/>
      <c r="VJS142" s="2"/>
      <c r="VJT142" s="2"/>
      <c r="VJU142" s="2"/>
      <c r="VJV142" s="2"/>
      <c r="VJW142" s="2"/>
      <c r="VJX142" s="2"/>
      <c r="VJY142" s="2"/>
      <c r="VJZ142" s="2"/>
      <c r="VKA142" s="2"/>
      <c r="VKB142" s="2"/>
      <c r="VKC142" s="2"/>
      <c r="VKD142" s="2"/>
      <c r="VKE142" s="2"/>
      <c r="VKF142" s="2"/>
      <c r="VKG142" s="2"/>
      <c r="VKH142" s="2"/>
      <c r="VKI142" s="2"/>
      <c r="VKJ142" s="2"/>
      <c r="VKK142" s="2"/>
      <c r="VKL142" s="2"/>
      <c r="VKM142" s="2"/>
      <c r="VKN142" s="2"/>
      <c r="VKO142" s="2"/>
      <c r="VKP142" s="2"/>
      <c r="VKQ142" s="2"/>
      <c r="VKR142" s="2"/>
      <c r="VKS142" s="2"/>
      <c r="VKT142" s="2"/>
      <c r="VKU142" s="2"/>
      <c r="VKV142" s="2"/>
      <c r="VKW142" s="2"/>
      <c r="VKX142" s="2"/>
      <c r="VKY142" s="2"/>
      <c r="VKZ142" s="2"/>
      <c r="VLA142" s="2"/>
      <c r="VLB142" s="2"/>
      <c r="VLC142" s="2"/>
      <c r="VLD142" s="2"/>
      <c r="VLE142" s="2"/>
      <c r="VLF142" s="2"/>
      <c r="VLG142" s="2"/>
      <c r="VLH142" s="2"/>
      <c r="VLI142" s="2"/>
      <c r="VLJ142" s="2"/>
      <c r="VLK142" s="2"/>
      <c r="VLL142" s="2"/>
      <c r="VLM142" s="2"/>
      <c r="VLN142" s="2"/>
      <c r="VLO142" s="2"/>
      <c r="VLP142" s="2"/>
      <c r="VLQ142" s="2"/>
      <c r="VLR142" s="2"/>
      <c r="VLS142" s="2"/>
      <c r="VLT142" s="2"/>
      <c r="VLU142" s="2"/>
      <c r="VLV142" s="2"/>
      <c r="VLW142" s="2"/>
      <c r="VLX142" s="2"/>
      <c r="VLY142" s="2"/>
      <c r="VLZ142" s="2"/>
      <c r="VMA142" s="2"/>
      <c r="VMB142" s="2"/>
      <c r="VMC142" s="2"/>
      <c r="VMD142" s="2"/>
      <c r="VME142" s="2"/>
      <c r="VMF142" s="2"/>
      <c r="VMG142" s="2"/>
      <c r="VMH142" s="2"/>
      <c r="VMI142" s="2"/>
      <c r="VMJ142" s="2"/>
      <c r="VMK142" s="2"/>
      <c r="VML142" s="2"/>
      <c r="VMM142" s="2"/>
      <c r="VMN142" s="2"/>
      <c r="VMO142" s="2"/>
      <c r="VMP142" s="2"/>
      <c r="VMQ142" s="2"/>
      <c r="VMR142" s="2"/>
      <c r="VMS142" s="2"/>
      <c r="VMT142" s="2"/>
      <c r="VMU142" s="2"/>
      <c r="VMV142" s="2"/>
      <c r="VMW142" s="2"/>
      <c r="VMX142" s="2"/>
      <c r="VMY142" s="2"/>
      <c r="VMZ142" s="2"/>
      <c r="VNA142" s="2"/>
      <c r="VNB142" s="2"/>
      <c r="VNC142" s="2"/>
      <c r="VND142" s="2"/>
      <c r="VNE142" s="2"/>
      <c r="VNF142" s="2"/>
      <c r="VNG142" s="2"/>
      <c r="VNH142" s="2"/>
      <c r="VNI142" s="2"/>
      <c r="VNJ142" s="2"/>
      <c r="VNK142" s="2"/>
      <c r="VNL142" s="2"/>
      <c r="VNM142" s="2"/>
      <c r="VNN142" s="2"/>
      <c r="VNO142" s="2"/>
      <c r="VNP142" s="2"/>
      <c r="VNQ142" s="2"/>
      <c r="VNR142" s="2"/>
      <c r="VNS142" s="2"/>
      <c r="VNT142" s="2"/>
      <c r="VNU142" s="2"/>
      <c r="VNV142" s="2"/>
      <c r="VNW142" s="2"/>
      <c r="VNX142" s="2"/>
      <c r="VNY142" s="2"/>
      <c r="VNZ142" s="2"/>
      <c r="VOA142" s="2"/>
      <c r="VOB142" s="2"/>
      <c r="VOC142" s="2"/>
      <c r="VOD142" s="2"/>
      <c r="VOE142" s="2"/>
      <c r="VOF142" s="2"/>
      <c r="VOG142" s="2"/>
      <c r="VOH142" s="2"/>
      <c r="VOI142" s="2"/>
      <c r="VOJ142" s="2"/>
      <c r="VOK142" s="2"/>
      <c r="VOL142" s="2"/>
      <c r="VOM142" s="2"/>
      <c r="VON142" s="2"/>
      <c r="VOO142" s="2"/>
      <c r="VOP142" s="2"/>
      <c r="VOQ142" s="2"/>
      <c r="VOR142" s="2"/>
      <c r="VOS142" s="2"/>
      <c r="VOT142" s="2"/>
      <c r="VOU142" s="2"/>
      <c r="VOV142" s="2"/>
      <c r="VOW142" s="2"/>
      <c r="VOX142" s="2"/>
      <c r="VOY142" s="2"/>
      <c r="VOZ142" s="2"/>
      <c r="VPA142" s="2"/>
      <c r="VPB142" s="2"/>
      <c r="VPC142" s="2"/>
      <c r="VPD142" s="2"/>
      <c r="VPE142" s="2"/>
      <c r="VPF142" s="2"/>
      <c r="VPG142" s="2"/>
      <c r="VPH142" s="2"/>
      <c r="VPI142" s="2"/>
      <c r="VPJ142" s="2"/>
      <c r="VPK142" s="2"/>
      <c r="VPL142" s="2"/>
      <c r="VPM142" s="2"/>
      <c r="VPN142" s="2"/>
      <c r="VPO142" s="2"/>
      <c r="VPP142" s="2"/>
      <c r="VPQ142" s="2"/>
      <c r="VPR142" s="2"/>
      <c r="VPS142" s="2"/>
      <c r="VPT142" s="2"/>
      <c r="VPU142" s="2"/>
      <c r="VPV142" s="2"/>
      <c r="VPW142" s="2"/>
      <c r="VPX142" s="2"/>
      <c r="VPY142" s="2"/>
      <c r="VPZ142" s="2"/>
      <c r="VQA142" s="2"/>
      <c r="VQB142" s="2"/>
      <c r="VQC142" s="2"/>
      <c r="VQD142" s="2"/>
      <c r="VQE142" s="2"/>
      <c r="VQF142" s="2"/>
      <c r="VQG142" s="2"/>
      <c r="VQH142" s="2"/>
      <c r="VQI142" s="2"/>
      <c r="VQJ142" s="2"/>
      <c r="VQK142" s="2"/>
      <c r="VQL142" s="2"/>
      <c r="VQM142" s="2"/>
      <c r="VQN142" s="2"/>
      <c r="VQO142" s="2"/>
      <c r="VQP142" s="2"/>
      <c r="VQQ142" s="2"/>
      <c r="VQR142" s="2"/>
      <c r="VQS142" s="2"/>
      <c r="VQT142" s="2"/>
      <c r="VQU142" s="2"/>
      <c r="VQV142" s="2"/>
      <c r="VQW142" s="2"/>
      <c r="VQX142" s="2"/>
      <c r="VQY142" s="2"/>
      <c r="VQZ142" s="2"/>
      <c r="VRA142" s="2"/>
      <c r="VRB142" s="2"/>
      <c r="VRC142" s="2"/>
      <c r="VRD142" s="2"/>
      <c r="VRE142" s="2"/>
      <c r="VRF142" s="2"/>
      <c r="VRG142" s="2"/>
      <c r="VRH142" s="2"/>
      <c r="VRI142" s="2"/>
      <c r="VRJ142" s="2"/>
      <c r="VRK142" s="2"/>
      <c r="VRL142" s="2"/>
      <c r="VRM142" s="2"/>
      <c r="VRN142" s="2"/>
      <c r="VRO142" s="2"/>
      <c r="VRP142" s="2"/>
      <c r="VRQ142" s="2"/>
      <c r="VRR142" s="2"/>
      <c r="VRS142" s="2"/>
      <c r="VRT142" s="2"/>
      <c r="VRU142" s="2"/>
      <c r="VRV142" s="2"/>
      <c r="VRW142" s="2"/>
      <c r="VRX142" s="2"/>
      <c r="VRY142" s="2"/>
      <c r="VRZ142" s="2"/>
      <c r="VSA142" s="2"/>
      <c r="VSB142" s="2"/>
      <c r="VSC142" s="2"/>
      <c r="VSD142" s="2"/>
      <c r="VSE142" s="2"/>
      <c r="VSF142" s="2"/>
      <c r="VSG142" s="2"/>
      <c r="VSH142" s="2"/>
      <c r="VSI142" s="2"/>
      <c r="VSJ142" s="2"/>
      <c r="VSK142" s="2"/>
      <c r="VSL142" s="2"/>
      <c r="VSM142" s="2"/>
      <c r="VSN142" s="2"/>
      <c r="VSO142" s="2"/>
      <c r="VSP142" s="2"/>
      <c r="VSQ142" s="2"/>
      <c r="VSR142" s="2"/>
      <c r="VSS142" s="2"/>
      <c r="VST142" s="2"/>
      <c r="VSU142" s="2"/>
      <c r="VSV142" s="2"/>
      <c r="VSW142" s="2"/>
      <c r="VSX142" s="2"/>
      <c r="VSY142" s="2"/>
      <c r="VSZ142" s="2"/>
      <c r="VTA142" s="2"/>
      <c r="VTB142" s="2"/>
      <c r="VTC142" s="2"/>
      <c r="VTD142" s="2"/>
      <c r="VTE142" s="2"/>
      <c r="VTF142" s="2"/>
      <c r="VTG142" s="2"/>
      <c r="VTH142" s="2"/>
      <c r="VTI142" s="2"/>
      <c r="VTJ142" s="2"/>
      <c r="VTK142" s="2"/>
      <c r="VTL142" s="2"/>
      <c r="VTM142" s="2"/>
      <c r="VTN142" s="2"/>
      <c r="VTO142" s="2"/>
      <c r="VTP142" s="2"/>
      <c r="VTQ142" s="2"/>
      <c r="VTR142" s="2"/>
      <c r="VTS142" s="2"/>
      <c r="VTT142" s="2"/>
      <c r="VTU142" s="2"/>
      <c r="VTV142" s="2"/>
      <c r="VTW142" s="2"/>
      <c r="VTX142" s="2"/>
      <c r="VTY142" s="2"/>
      <c r="VTZ142" s="2"/>
      <c r="VUA142" s="2"/>
      <c r="VUB142" s="2"/>
      <c r="VUC142" s="2"/>
      <c r="VUD142" s="2"/>
      <c r="VUE142" s="2"/>
      <c r="VUF142" s="2"/>
      <c r="VUG142" s="2"/>
      <c r="VUH142" s="2"/>
      <c r="VUI142" s="2"/>
      <c r="VUJ142" s="2"/>
      <c r="VUK142" s="2"/>
      <c r="VUL142" s="2"/>
      <c r="VUM142" s="2"/>
      <c r="VUN142" s="2"/>
      <c r="VUO142" s="2"/>
      <c r="VUP142" s="2"/>
      <c r="VUQ142" s="2"/>
      <c r="VUR142" s="2"/>
      <c r="VUS142" s="2"/>
      <c r="VUT142" s="2"/>
      <c r="VUU142" s="2"/>
      <c r="VUV142" s="2"/>
      <c r="VUW142" s="2"/>
      <c r="VUX142" s="2"/>
      <c r="VUY142" s="2"/>
      <c r="VUZ142" s="2"/>
      <c r="VVA142" s="2"/>
      <c r="VVB142" s="2"/>
      <c r="VVC142" s="2"/>
      <c r="VVD142" s="2"/>
      <c r="VVE142" s="2"/>
      <c r="VVF142" s="2"/>
      <c r="VVG142" s="2"/>
      <c r="VVH142" s="2"/>
      <c r="VVI142" s="2"/>
      <c r="VVJ142" s="2"/>
      <c r="VVK142" s="2"/>
      <c r="VVL142" s="2"/>
      <c r="VVM142" s="2"/>
      <c r="VVN142" s="2"/>
      <c r="VVO142" s="2"/>
      <c r="VVP142" s="2"/>
      <c r="VVQ142" s="2"/>
      <c r="VVR142" s="2"/>
      <c r="VVS142" s="2"/>
      <c r="VVT142" s="2"/>
      <c r="VVU142" s="2"/>
      <c r="VVV142" s="2"/>
      <c r="VVW142" s="2"/>
      <c r="VVX142" s="2"/>
      <c r="VVY142" s="2"/>
      <c r="VVZ142" s="2"/>
      <c r="VWA142" s="2"/>
      <c r="VWB142" s="2"/>
      <c r="VWC142" s="2"/>
      <c r="VWD142" s="2"/>
      <c r="VWE142" s="2"/>
      <c r="VWF142" s="2"/>
      <c r="VWG142" s="2"/>
      <c r="VWH142" s="2"/>
      <c r="VWI142" s="2"/>
      <c r="VWJ142" s="2"/>
      <c r="VWK142" s="2"/>
      <c r="VWL142" s="2"/>
      <c r="VWM142" s="2"/>
      <c r="VWN142" s="2"/>
      <c r="VWO142" s="2"/>
      <c r="VWP142" s="2"/>
      <c r="VWQ142" s="2"/>
      <c r="VWR142" s="2"/>
      <c r="VWS142" s="2"/>
      <c r="VWT142" s="2"/>
      <c r="VWU142" s="2"/>
      <c r="VWV142" s="2"/>
      <c r="VWW142" s="2"/>
      <c r="VWX142" s="2"/>
      <c r="VWY142" s="2"/>
      <c r="VWZ142" s="2"/>
      <c r="VXA142" s="2"/>
      <c r="VXB142" s="2"/>
      <c r="VXC142" s="2"/>
      <c r="VXD142" s="2"/>
      <c r="VXE142" s="2"/>
      <c r="VXF142" s="2"/>
      <c r="VXG142" s="2"/>
      <c r="VXH142" s="2"/>
      <c r="VXI142" s="2"/>
      <c r="VXJ142" s="2"/>
      <c r="VXK142" s="2"/>
      <c r="VXL142" s="2"/>
      <c r="VXM142" s="2"/>
      <c r="VXN142" s="2"/>
      <c r="VXO142" s="2"/>
      <c r="VXP142" s="2"/>
      <c r="VXQ142" s="2"/>
      <c r="VXR142" s="2"/>
      <c r="VXS142" s="2"/>
      <c r="VXT142" s="2"/>
      <c r="VXU142" s="2"/>
      <c r="VXV142" s="2"/>
      <c r="VXW142" s="2"/>
      <c r="VXX142" s="2"/>
      <c r="VXY142" s="2"/>
      <c r="VXZ142" s="2"/>
      <c r="VYA142" s="2"/>
      <c r="VYB142" s="2"/>
      <c r="VYC142" s="2"/>
      <c r="VYD142" s="2"/>
      <c r="VYE142" s="2"/>
      <c r="VYF142" s="2"/>
      <c r="VYG142" s="2"/>
      <c r="VYH142" s="2"/>
      <c r="VYI142" s="2"/>
      <c r="VYJ142" s="2"/>
      <c r="VYK142" s="2"/>
      <c r="VYL142" s="2"/>
      <c r="VYM142" s="2"/>
      <c r="VYN142" s="2"/>
      <c r="VYO142" s="2"/>
      <c r="VYP142" s="2"/>
      <c r="VYQ142" s="2"/>
      <c r="VYR142" s="2"/>
      <c r="VYS142" s="2"/>
      <c r="VYT142" s="2"/>
      <c r="VYU142" s="2"/>
      <c r="VYV142" s="2"/>
      <c r="VYW142" s="2"/>
      <c r="VYX142" s="2"/>
      <c r="VYY142" s="2"/>
      <c r="VYZ142" s="2"/>
      <c r="VZA142" s="2"/>
      <c r="VZB142" s="2"/>
      <c r="VZC142" s="2"/>
      <c r="VZD142" s="2"/>
      <c r="VZE142" s="2"/>
      <c r="VZF142" s="2"/>
      <c r="VZG142" s="2"/>
      <c r="VZH142" s="2"/>
      <c r="VZI142" s="2"/>
      <c r="VZJ142" s="2"/>
      <c r="VZK142" s="2"/>
      <c r="VZL142" s="2"/>
      <c r="VZM142" s="2"/>
      <c r="VZN142" s="2"/>
      <c r="VZO142" s="2"/>
      <c r="VZP142" s="2"/>
      <c r="VZQ142" s="2"/>
      <c r="VZR142" s="2"/>
      <c r="VZS142" s="2"/>
      <c r="VZT142" s="2"/>
      <c r="VZU142" s="2"/>
      <c r="VZV142" s="2"/>
      <c r="VZW142" s="2"/>
      <c r="VZX142" s="2"/>
      <c r="VZY142" s="2"/>
      <c r="VZZ142" s="2"/>
      <c r="WAA142" s="2"/>
      <c r="WAB142" s="2"/>
      <c r="WAC142" s="2"/>
      <c r="WAD142" s="2"/>
      <c r="WAE142" s="2"/>
      <c r="WAF142" s="2"/>
      <c r="WAG142" s="2"/>
      <c r="WAH142" s="2"/>
      <c r="WAI142" s="2"/>
      <c r="WAJ142" s="2"/>
      <c r="WAK142" s="2"/>
      <c r="WAL142" s="2"/>
      <c r="WAM142" s="2"/>
      <c r="WAN142" s="2"/>
      <c r="WAO142" s="2"/>
      <c r="WAP142" s="2"/>
      <c r="WAQ142" s="2"/>
      <c r="WAR142" s="2"/>
      <c r="WAS142" s="2"/>
      <c r="WAT142" s="2"/>
      <c r="WAU142" s="2"/>
      <c r="WAV142" s="2"/>
      <c r="WAW142" s="2"/>
      <c r="WAX142" s="2"/>
      <c r="WAY142" s="2"/>
      <c r="WAZ142" s="2"/>
      <c r="WBA142" s="2"/>
      <c r="WBB142" s="2"/>
      <c r="WBC142" s="2"/>
      <c r="WBD142" s="2"/>
      <c r="WBE142" s="2"/>
      <c r="WBF142" s="2"/>
      <c r="WBG142" s="2"/>
      <c r="WBH142" s="2"/>
      <c r="WBI142" s="2"/>
      <c r="WBJ142" s="2"/>
      <c r="WBK142" s="2"/>
      <c r="WBL142" s="2"/>
      <c r="WBM142" s="2"/>
      <c r="WBN142" s="2"/>
      <c r="WBO142" s="2"/>
      <c r="WBP142" s="2"/>
      <c r="WBQ142" s="2"/>
      <c r="WBR142" s="2"/>
      <c r="WBS142" s="2"/>
      <c r="WBT142" s="2"/>
      <c r="WBU142" s="2"/>
      <c r="WBV142" s="2"/>
      <c r="WBW142" s="2"/>
      <c r="WBX142" s="2"/>
      <c r="WBY142" s="2"/>
      <c r="WBZ142" s="2"/>
      <c r="WCA142" s="2"/>
      <c r="WCB142" s="2"/>
      <c r="WCC142" s="2"/>
      <c r="WCD142" s="2"/>
      <c r="WCE142" s="2"/>
      <c r="WCF142" s="2"/>
      <c r="WCG142" s="2"/>
      <c r="WCH142" s="2"/>
      <c r="WCI142" s="2"/>
      <c r="WCJ142" s="2"/>
      <c r="WCK142" s="2"/>
      <c r="WCL142" s="2"/>
      <c r="WCM142" s="2"/>
      <c r="WCN142" s="2"/>
      <c r="WCO142" s="2"/>
      <c r="WCP142" s="2"/>
      <c r="WCQ142" s="2"/>
      <c r="WCR142" s="2"/>
      <c r="WCS142" s="2"/>
      <c r="WCT142" s="2"/>
      <c r="WCU142" s="2"/>
      <c r="WCV142" s="2"/>
      <c r="WCW142" s="2"/>
      <c r="WCX142" s="2"/>
      <c r="WCY142" s="2"/>
      <c r="WCZ142" s="2"/>
      <c r="WDA142" s="2"/>
      <c r="WDB142" s="2"/>
      <c r="WDC142" s="2"/>
      <c r="WDD142" s="2"/>
      <c r="WDE142" s="2"/>
      <c r="WDF142" s="2"/>
      <c r="WDG142" s="2"/>
      <c r="WDH142" s="2"/>
      <c r="WDI142" s="2"/>
      <c r="WDJ142" s="2"/>
      <c r="WDK142" s="2"/>
      <c r="WDL142" s="2"/>
      <c r="WDM142" s="2"/>
      <c r="WDN142" s="2"/>
      <c r="WDO142" s="2"/>
      <c r="WDP142" s="2"/>
      <c r="WDQ142" s="2"/>
      <c r="WDR142" s="2"/>
      <c r="WDS142" s="2"/>
      <c r="WDT142" s="2"/>
      <c r="WDU142" s="2"/>
      <c r="WDV142" s="2"/>
      <c r="WDW142" s="2"/>
      <c r="WDX142" s="2"/>
      <c r="WDY142" s="2"/>
      <c r="WDZ142" s="2"/>
      <c r="WEA142" s="2"/>
      <c r="WEB142" s="2"/>
      <c r="WEC142" s="2"/>
      <c r="WED142" s="2"/>
      <c r="WEE142" s="2"/>
      <c r="WEF142" s="2"/>
      <c r="WEG142" s="2"/>
      <c r="WEH142" s="2"/>
      <c r="WEI142" s="2"/>
      <c r="WEJ142" s="2"/>
      <c r="WEK142" s="2"/>
      <c r="WEL142" s="2"/>
      <c r="WEM142" s="2"/>
      <c r="WEN142" s="2"/>
      <c r="WEO142" s="2"/>
      <c r="WEP142" s="2"/>
      <c r="WEQ142" s="2"/>
      <c r="WER142" s="2"/>
      <c r="WES142" s="2"/>
      <c r="WET142" s="2"/>
      <c r="WEU142" s="2"/>
      <c r="WEV142" s="2"/>
      <c r="WEW142" s="2"/>
      <c r="WEX142" s="2"/>
      <c r="WEY142" s="2"/>
      <c r="WEZ142" s="2"/>
      <c r="WFA142" s="2"/>
      <c r="WFB142" s="2"/>
      <c r="WFC142" s="2"/>
      <c r="WFD142" s="2"/>
      <c r="WFE142" s="2"/>
      <c r="WFF142" s="2"/>
      <c r="WFG142" s="2"/>
      <c r="WFH142" s="2"/>
      <c r="WFI142" s="2"/>
      <c r="WFJ142" s="2"/>
      <c r="WFK142" s="2"/>
      <c r="WFL142" s="2"/>
      <c r="WFM142" s="2"/>
      <c r="WFN142" s="2"/>
      <c r="WFO142" s="2"/>
      <c r="WFP142" s="2"/>
      <c r="WFQ142" s="2"/>
      <c r="WFR142" s="2"/>
      <c r="WFS142" s="2"/>
      <c r="WFT142" s="2"/>
      <c r="WFU142" s="2"/>
      <c r="WFV142" s="2"/>
      <c r="WFW142" s="2"/>
      <c r="WFX142" s="2"/>
      <c r="WFY142" s="2"/>
      <c r="WFZ142" s="2"/>
      <c r="WGA142" s="2"/>
      <c r="WGB142" s="2"/>
      <c r="WGC142" s="2"/>
      <c r="WGD142" s="2"/>
      <c r="WGE142" s="2"/>
      <c r="WGF142" s="2"/>
      <c r="WGG142" s="2"/>
      <c r="WGH142" s="2"/>
      <c r="WGI142" s="2"/>
      <c r="WGJ142" s="2"/>
      <c r="WGK142" s="2"/>
      <c r="WGL142" s="2"/>
      <c r="WGM142" s="2"/>
      <c r="WGN142" s="2"/>
      <c r="WGO142" s="2"/>
      <c r="WGP142" s="2"/>
      <c r="WGQ142" s="2"/>
      <c r="WGR142" s="2"/>
      <c r="WGS142" s="2"/>
      <c r="WGT142" s="2"/>
      <c r="WGU142" s="2"/>
      <c r="WGV142" s="2"/>
      <c r="WGW142" s="2"/>
      <c r="WGX142" s="2"/>
      <c r="WGY142" s="2"/>
      <c r="WGZ142" s="2"/>
      <c r="WHA142" s="2"/>
      <c r="WHB142" s="2"/>
      <c r="WHC142" s="2"/>
      <c r="WHD142" s="2"/>
      <c r="WHE142" s="2"/>
      <c r="WHF142" s="2"/>
      <c r="WHG142" s="2"/>
      <c r="WHH142" s="2"/>
      <c r="WHI142" s="2"/>
      <c r="WHJ142" s="2"/>
      <c r="WHK142" s="2"/>
      <c r="WHL142" s="2"/>
      <c r="WHM142" s="2"/>
      <c r="WHN142" s="2"/>
      <c r="WHO142" s="2"/>
      <c r="WHP142" s="2"/>
      <c r="WHQ142" s="2"/>
      <c r="WHR142" s="2"/>
      <c r="WHS142" s="2"/>
      <c r="WHT142" s="2"/>
      <c r="WHU142" s="2"/>
      <c r="WHV142" s="2"/>
      <c r="WHW142" s="2"/>
      <c r="WHX142" s="2"/>
      <c r="WHY142" s="2"/>
      <c r="WHZ142" s="2"/>
      <c r="WIA142" s="2"/>
      <c r="WIB142" s="2"/>
      <c r="WIC142" s="2"/>
      <c r="WID142" s="2"/>
      <c r="WIE142" s="2"/>
      <c r="WIF142" s="2"/>
      <c r="WIG142" s="2"/>
      <c r="WIH142" s="2"/>
      <c r="WII142" s="2"/>
      <c r="WIJ142" s="2"/>
      <c r="WIK142" s="2"/>
      <c r="WIL142" s="2"/>
      <c r="WIM142" s="2"/>
      <c r="WIN142" s="2"/>
      <c r="WIO142" s="2"/>
      <c r="WIP142" s="2"/>
      <c r="WIQ142" s="2"/>
      <c r="WIR142" s="2"/>
      <c r="WIS142" s="2"/>
      <c r="WIT142" s="2"/>
      <c r="WIU142" s="2"/>
      <c r="WIV142" s="2"/>
      <c r="WIW142" s="2"/>
      <c r="WIX142" s="2"/>
      <c r="WIY142" s="2"/>
      <c r="WIZ142" s="2"/>
      <c r="WJA142" s="2"/>
      <c r="WJB142" s="2"/>
      <c r="WJC142" s="2"/>
      <c r="WJD142" s="2"/>
      <c r="WJE142" s="2"/>
      <c r="WJF142" s="2"/>
      <c r="WJG142" s="2"/>
      <c r="WJH142" s="2"/>
      <c r="WJI142" s="2"/>
      <c r="WJJ142" s="2"/>
      <c r="WJK142" s="2"/>
      <c r="WJL142" s="2"/>
      <c r="WJM142" s="2"/>
      <c r="WJN142" s="2"/>
      <c r="WJO142" s="2"/>
      <c r="WJP142" s="2"/>
      <c r="WJQ142" s="2"/>
      <c r="WJR142" s="2"/>
      <c r="WJS142" s="2"/>
      <c r="WJT142" s="2"/>
      <c r="WJU142" s="2"/>
      <c r="WJV142" s="2"/>
      <c r="WJW142" s="2"/>
      <c r="WJX142" s="2"/>
      <c r="WJY142" s="2"/>
      <c r="WJZ142" s="2"/>
      <c r="WKA142" s="2"/>
      <c r="WKB142" s="2"/>
      <c r="WKC142" s="2"/>
      <c r="WKD142" s="2"/>
      <c r="WKE142" s="2"/>
      <c r="WKF142" s="2"/>
      <c r="WKG142" s="2"/>
      <c r="WKH142" s="2"/>
      <c r="WKI142" s="2"/>
      <c r="WKJ142" s="2"/>
      <c r="WKK142" s="2"/>
      <c r="WKL142" s="2"/>
      <c r="WKM142" s="2"/>
      <c r="WKN142" s="2"/>
      <c r="WKO142" s="2"/>
      <c r="WKP142" s="2"/>
      <c r="WKQ142" s="2"/>
      <c r="WKR142" s="2"/>
      <c r="WKS142" s="2"/>
      <c r="WKT142" s="2"/>
      <c r="WKU142" s="2"/>
      <c r="WKV142" s="2"/>
      <c r="WKW142" s="2"/>
      <c r="WKX142" s="2"/>
      <c r="WKY142" s="2"/>
      <c r="WKZ142" s="2"/>
      <c r="WLA142" s="2"/>
      <c r="WLB142" s="2"/>
      <c r="WLC142" s="2"/>
      <c r="WLD142" s="2"/>
      <c r="WLE142" s="2"/>
      <c r="WLF142" s="2"/>
      <c r="WLG142" s="2"/>
      <c r="WLH142" s="2"/>
      <c r="WLI142" s="2"/>
      <c r="WLJ142" s="2"/>
      <c r="WLK142" s="2"/>
      <c r="WLL142" s="2"/>
      <c r="WLM142" s="2"/>
      <c r="WLN142" s="2"/>
      <c r="WLO142" s="2"/>
      <c r="WLP142" s="2"/>
      <c r="WLQ142" s="2"/>
      <c r="WLR142" s="2"/>
      <c r="WLS142" s="2"/>
      <c r="WLT142" s="2"/>
      <c r="WLU142" s="2"/>
      <c r="WLV142" s="2"/>
      <c r="WLW142" s="2"/>
      <c r="WLX142" s="2"/>
      <c r="WLY142" s="2"/>
      <c r="WLZ142" s="2"/>
      <c r="WMA142" s="2"/>
      <c r="WMB142" s="2"/>
      <c r="WMC142" s="2"/>
      <c r="WMD142" s="2"/>
      <c r="WME142" s="2"/>
      <c r="WMF142" s="2"/>
      <c r="WMG142" s="2"/>
      <c r="WMH142" s="2"/>
      <c r="WMI142" s="2"/>
      <c r="WMJ142" s="2"/>
      <c r="WMK142" s="2"/>
      <c r="WML142" s="2"/>
      <c r="WMM142" s="2"/>
      <c r="WMN142" s="2"/>
      <c r="WMO142" s="2"/>
      <c r="WMP142" s="2"/>
      <c r="WMQ142" s="2"/>
      <c r="WMR142" s="2"/>
      <c r="WMS142" s="2"/>
      <c r="WMT142" s="2"/>
      <c r="WMU142" s="2"/>
      <c r="WMV142" s="2"/>
      <c r="WMW142" s="2"/>
      <c r="WMX142" s="2"/>
      <c r="WMY142" s="2"/>
      <c r="WMZ142" s="2"/>
      <c r="WNA142" s="2"/>
      <c r="WNB142" s="2"/>
      <c r="WNC142" s="2"/>
      <c r="WND142" s="2"/>
      <c r="WNE142" s="2"/>
      <c r="WNF142" s="2"/>
      <c r="WNG142" s="2"/>
      <c r="WNH142" s="2"/>
      <c r="WNI142" s="2"/>
      <c r="WNJ142" s="2"/>
      <c r="WNK142" s="2"/>
      <c r="WNL142" s="2"/>
      <c r="WNM142" s="2"/>
      <c r="WNN142" s="2"/>
      <c r="WNO142" s="2"/>
      <c r="WNP142" s="2"/>
      <c r="WNQ142" s="2"/>
      <c r="WNR142" s="2"/>
      <c r="WNS142" s="2"/>
      <c r="WNT142" s="2"/>
      <c r="WNU142" s="2"/>
      <c r="WNV142" s="2"/>
      <c r="WNW142" s="2"/>
      <c r="WNX142" s="2"/>
      <c r="WNY142" s="2"/>
      <c r="WNZ142" s="2"/>
      <c r="WOA142" s="2"/>
      <c r="WOB142" s="2"/>
      <c r="WOC142" s="2"/>
      <c r="WOD142" s="2"/>
      <c r="WOE142" s="2"/>
      <c r="WOF142" s="2"/>
      <c r="WOG142" s="2"/>
      <c r="WOH142" s="2"/>
      <c r="WOI142" s="2"/>
      <c r="WOJ142" s="2"/>
      <c r="WOK142" s="2"/>
      <c r="WOL142" s="2"/>
      <c r="WOM142" s="2"/>
      <c r="WON142" s="2"/>
      <c r="WOO142" s="2"/>
      <c r="WOP142" s="2"/>
      <c r="WOQ142" s="2"/>
      <c r="WOR142" s="2"/>
      <c r="WOS142" s="2"/>
      <c r="WOT142" s="2"/>
      <c r="WOU142" s="2"/>
      <c r="WOV142" s="2"/>
      <c r="WOW142" s="2"/>
      <c r="WOX142" s="2"/>
      <c r="WOY142" s="2"/>
      <c r="WOZ142" s="2"/>
      <c r="WPA142" s="2"/>
      <c r="WPB142" s="2"/>
      <c r="WPC142" s="2"/>
      <c r="WPD142" s="2"/>
      <c r="WPE142" s="2"/>
      <c r="WPF142" s="2"/>
      <c r="WPG142" s="2"/>
      <c r="WPH142" s="2"/>
      <c r="WPI142" s="2"/>
      <c r="WPJ142" s="2"/>
      <c r="WPK142" s="2"/>
      <c r="WPL142" s="2"/>
      <c r="WPM142" s="2"/>
      <c r="WPN142" s="2"/>
      <c r="WPO142" s="2"/>
      <c r="WPP142" s="2"/>
      <c r="WPQ142" s="2"/>
      <c r="WPR142" s="2"/>
      <c r="WPS142" s="2"/>
      <c r="WPT142" s="2"/>
      <c r="WPU142" s="2"/>
      <c r="WPV142" s="2"/>
      <c r="WPW142" s="2"/>
      <c r="WPX142" s="2"/>
      <c r="WPY142" s="2"/>
      <c r="WPZ142" s="2"/>
      <c r="WQA142" s="2"/>
      <c r="WQB142" s="2"/>
      <c r="WQC142" s="2"/>
      <c r="WQD142" s="2"/>
      <c r="WQE142" s="2"/>
      <c r="WQF142" s="2"/>
      <c r="WQG142" s="2"/>
      <c r="WQH142" s="2"/>
      <c r="WQI142" s="2"/>
      <c r="WQJ142" s="2"/>
      <c r="WQK142" s="2"/>
      <c r="WQL142" s="2"/>
      <c r="WQM142" s="2"/>
      <c r="WQN142" s="2"/>
      <c r="WQO142" s="2"/>
      <c r="WQP142" s="2"/>
      <c r="WQQ142" s="2"/>
      <c r="WQR142" s="2"/>
      <c r="WQS142" s="2"/>
      <c r="WQT142" s="2"/>
      <c r="WQU142" s="2"/>
      <c r="WQV142" s="2"/>
      <c r="WQW142" s="2"/>
      <c r="WQX142" s="2"/>
      <c r="WQY142" s="2"/>
      <c r="WQZ142" s="2"/>
      <c r="WRA142" s="2"/>
      <c r="WRB142" s="2"/>
      <c r="WRC142" s="2"/>
      <c r="WRD142" s="2"/>
      <c r="WRE142" s="2"/>
      <c r="WRF142" s="2"/>
      <c r="WRG142" s="2"/>
      <c r="WRH142" s="2"/>
      <c r="WRI142" s="2"/>
      <c r="WRJ142" s="2"/>
      <c r="WRK142" s="2"/>
      <c r="WRL142" s="2"/>
      <c r="WRM142" s="2"/>
      <c r="WRN142" s="2"/>
      <c r="WRO142" s="2"/>
      <c r="WRP142" s="2"/>
      <c r="WRQ142" s="2"/>
      <c r="WRR142" s="2"/>
      <c r="WRS142" s="2"/>
      <c r="WRT142" s="2"/>
      <c r="WRU142" s="2"/>
      <c r="WRV142" s="2"/>
      <c r="WRW142" s="2"/>
      <c r="WRX142" s="2"/>
      <c r="WRY142" s="2"/>
      <c r="WRZ142" s="2"/>
      <c r="WSA142" s="2"/>
      <c r="WSB142" s="2"/>
      <c r="WSC142" s="2"/>
      <c r="WSD142" s="2"/>
      <c r="WSE142" s="2"/>
      <c r="WSF142" s="2"/>
      <c r="WSG142" s="2"/>
      <c r="WSH142" s="2"/>
      <c r="WSI142" s="2"/>
      <c r="WSJ142" s="2"/>
      <c r="WSK142" s="2"/>
      <c r="WSL142" s="2"/>
      <c r="WSM142" s="2"/>
      <c r="WSN142" s="2"/>
      <c r="WSO142" s="2"/>
      <c r="WSP142" s="2"/>
      <c r="WSQ142" s="2"/>
      <c r="WSR142" s="2"/>
      <c r="WSS142" s="2"/>
      <c r="WST142" s="2"/>
      <c r="WSU142" s="2"/>
      <c r="WSV142" s="2"/>
      <c r="WSW142" s="2"/>
      <c r="WSX142" s="2"/>
      <c r="WSY142" s="2"/>
      <c r="WSZ142" s="2"/>
      <c r="WTA142" s="2"/>
      <c r="WTB142" s="2"/>
      <c r="WTC142" s="2"/>
      <c r="WTD142" s="2"/>
      <c r="WTE142" s="2"/>
      <c r="WTF142" s="2"/>
      <c r="WTG142" s="2"/>
      <c r="WTH142" s="2"/>
      <c r="WTI142" s="2"/>
      <c r="WTJ142" s="2"/>
      <c r="WTK142" s="2"/>
      <c r="WTL142" s="2"/>
      <c r="WTM142" s="2"/>
      <c r="WTN142" s="2"/>
      <c r="WTO142" s="2"/>
      <c r="WTP142" s="2"/>
      <c r="WTQ142" s="2"/>
      <c r="WTR142" s="2"/>
      <c r="WTS142" s="2"/>
      <c r="WTT142" s="2"/>
      <c r="WTU142" s="2"/>
      <c r="WTV142" s="2"/>
      <c r="WTW142" s="2"/>
      <c r="WTX142" s="2"/>
      <c r="WTY142" s="2"/>
      <c r="WTZ142" s="2"/>
      <c r="WUA142" s="2"/>
      <c r="WUB142" s="2"/>
      <c r="WUC142" s="2"/>
      <c r="WUD142" s="2"/>
      <c r="WUE142" s="2"/>
      <c r="WUF142" s="2"/>
      <c r="WUG142" s="2"/>
      <c r="WUH142" s="2"/>
      <c r="WUI142" s="2"/>
      <c r="WUJ142" s="2"/>
      <c r="WUK142" s="2"/>
      <c r="WUL142" s="2"/>
      <c r="WUM142" s="2"/>
      <c r="WUN142" s="2"/>
      <c r="WUO142" s="2"/>
      <c r="WUP142" s="2"/>
      <c r="WUQ142" s="2"/>
      <c r="WUR142" s="2"/>
      <c r="WUS142" s="2"/>
      <c r="WUT142" s="2"/>
      <c r="WUU142" s="2"/>
      <c r="WUV142" s="2"/>
      <c r="WUW142" s="2"/>
      <c r="WUX142" s="2"/>
      <c r="WUY142" s="2"/>
      <c r="WUZ142" s="2"/>
      <c r="WVA142" s="2"/>
      <c r="WVB142" s="2"/>
      <c r="WVC142" s="2"/>
      <c r="WVD142" s="2"/>
      <c r="WVE142" s="2"/>
      <c r="WVF142" s="2"/>
      <c r="WVG142" s="2"/>
      <c r="WVH142" s="2"/>
      <c r="WVI142" s="2"/>
      <c r="WVJ142" s="2"/>
      <c r="WVK142" s="2"/>
      <c r="WVL142" s="2"/>
      <c r="WVM142" s="2"/>
      <c r="WVN142" s="2"/>
      <c r="WVO142" s="2"/>
      <c r="WVP142" s="2"/>
      <c r="WVQ142" s="2"/>
      <c r="WVR142" s="2"/>
      <c r="WVS142" s="2"/>
      <c r="WVT142" s="2"/>
      <c r="WVU142" s="2"/>
      <c r="WVV142" s="2"/>
      <c r="WVW142" s="2"/>
      <c r="WVX142" s="2"/>
      <c r="WVY142" s="2"/>
      <c r="WVZ142" s="2"/>
      <c r="WWA142" s="2"/>
      <c r="WWB142" s="2"/>
      <c r="WWC142" s="2"/>
      <c r="WWD142" s="2"/>
      <c r="WWE142" s="2"/>
      <c r="WWF142" s="2"/>
      <c r="WWG142" s="2"/>
      <c r="WWH142" s="2"/>
      <c r="WWI142" s="2"/>
      <c r="WWJ142" s="2"/>
      <c r="WWK142" s="2"/>
      <c r="WWL142" s="2"/>
      <c r="WWM142" s="2"/>
      <c r="WWN142" s="2"/>
      <c r="WWO142" s="2"/>
      <c r="WWP142" s="2"/>
      <c r="WWQ142" s="2"/>
      <c r="WWR142" s="2"/>
      <c r="WWS142" s="2"/>
      <c r="WWT142" s="2"/>
      <c r="WWU142" s="2"/>
      <c r="WWV142" s="2"/>
      <c r="WWW142" s="2"/>
      <c r="WWX142" s="2"/>
      <c r="WWY142" s="2"/>
      <c r="WWZ142" s="2"/>
      <c r="WXA142" s="2"/>
      <c r="WXB142" s="2"/>
      <c r="WXC142" s="2"/>
      <c r="WXD142" s="2"/>
      <c r="WXE142" s="2"/>
      <c r="WXF142" s="2"/>
      <c r="WXG142" s="2"/>
      <c r="WXH142" s="2"/>
      <c r="WXI142" s="2"/>
      <c r="WXJ142" s="2"/>
      <c r="WXK142" s="2"/>
      <c r="WXL142" s="2"/>
      <c r="WXM142" s="2"/>
      <c r="WXN142" s="2"/>
      <c r="WXO142" s="2"/>
      <c r="WXP142" s="2"/>
      <c r="WXQ142" s="2"/>
      <c r="WXR142" s="2"/>
      <c r="WXS142" s="2"/>
      <c r="WXT142" s="2"/>
      <c r="WXU142" s="2"/>
      <c r="WXV142" s="2"/>
      <c r="WXW142" s="2"/>
      <c r="WXX142" s="2"/>
      <c r="WXY142" s="2"/>
      <c r="WXZ142" s="2"/>
      <c r="WYA142" s="2"/>
      <c r="WYB142" s="2"/>
      <c r="WYC142" s="2"/>
      <c r="WYD142" s="2"/>
      <c r="WYE142" s="2"/>
      <c r="WYF142" s="2"/>
      <c r="WYG142" s="2"/>
      <c r="WYH142" s="2"/>
      <c r="WYI142" s="2"/>
      <c r="WYJ142" s="2"/>
      <c r="WYK142" s="2"/>
      <c r="WYL142" s="2"/>
      <c r="WYM142" s="2"/>
      <c r="WYN142" s="2"/>
      <c r="WYO142" s="2"/>
      <c r="WYP142" s="2"/>
      <c r="WYQ142" s="2"/>
      <c r="WYR142" s="2"/>
      <c r="WYS142" s="2"/>
      <c r="WYT142" s="2"/>
      <c r="WYU142" s="2"/>
      <c r="WYV142" s="2"/>
      <c r="WYW142" s="2"/>
      <c r="WYX142" s="2"/>
      <c r="WYY142" s="2"/>
      <c r="WYZ142" s="2"/>
      <c r="WZA142" s="2"/>
      <c r="WZB142" s="2"/>
      <c r="WZC142" s="2"/>
      <c r="WZD142" s="2"/>
      <c r="WZE142" s="2"/>
      <c r="WZF142" s="2"/>
      <c r="WZG142" s="2"/>
      <c r="WZH142" s="2"/>
      <c r="WZI142" s="2"/>
      <c r="WZJ142" s="2"/>
      <c r="WZK142" s="2"/>
      <c r="WZL142" s="2"/>
      <c r="WZM142" s="2"/>
      <c r="WZN142" s="2"/>
      <c r="WZO142" s="2"/>
      <c r="WZP142" s="2"/>
      <c r="WZQ142" s="2"/>
      <c r="WZR142" s="2"/>
      <c r="WZS142" s="2"/>
      <c r="WZT142" s="2"/>
      <c r="WZU142" s="2"/>
      <c r="WZV142" s="2"/>
      <c r="WZW142" s="2"/>
      <c r="WZX142" s="2"/>
      <c r="WZY142" s="2"/>
      <c r="WZZ142" s="2"/>
      <c r="XAA142" s="2"/>
      <c r="XAB142" s="2"/>
      <c r="XAC142" s="2"/>
      <c r="XAD142" s="2"/>
      <c r="XAE142" s="2"/>
      <c r="XAF142" s="2"/>
      <c r="XAG142" s="2"/>
      <c r="XAH142" s="2"/>
      <c r="XAI142" s="2"/>
      <c r="XAJ142" s="2"/>
      <c r="XAK142" s="2"/>
      <c r="XAL142" s="2"/>
      <c r="XAM142" s="2"/>
      <c r="XAN142" s="2"/>
      <c r="XAO142" s="2"/>
      <c r="XAP142" s="2"/>
      <c r="XAQ142" s="2"/>
      <c r="XAR142" s="2"/>
      <c r="XAS142" s="2"/>
      <c r="XAT142" s="2"/>
      <c r="XAU142" s="2"/>
      <c r="XAV142" s="2"/>
      <c r="XAW142" s="2"/>
      <c r="XAX142" s="2"/>
      <c r="XAY142" s="2"/>
      <c r="XAZ142" s="2"/>
      <c r="XBA142" s="2"/>
      <c r="XBB142" s="2"/>
      <c r="XBC142" s="2"/>
      <c r="XBD142" s="2"/>
      <c r="XBE142" s="2"/>
      <c r="XBF142" s="2"/>
      <c r="XBG142" s="2"/>
      <c r="XBH142" s="2"/>
      <c r="XBI142" s="2"/>
      <c r="XBJ142" s="2"/>
      <c r="XBK142" s="2"/>
      <c r="XBL142" s="2"/>
      <c r="XBM142" s="2"/>
      <c r="XBN142" s="2"/>
      <c r="XBO142" s="2"/>
      <c r="XBP142" s="2"/>
      <c r="XBQ142" s="2"/>
      <c r="XBR142" s="2"/>
      <c r="XBS142" s="2"/>
      <c r="XBT142" s="2"/>
      <c r="XBU142" s="2"/>
      <c r="XBV142" s="2"/>
      <c r="XBW142" s="2"/>
      <c r="XBX142" s="2"/>
      <c r="XBY142" s="2"/>
      <c r="XBZ142" s="2"/>
      <c r="XCA142" s="2"/>
      <c r="XCB142" s="2"/>
      <c r="XCC142" s="2"/>
      <c r="XCD142" s="2"/>
      <c r="XCE142" s="2"/>
      <c r="XCF142" s="2"/>
      <c r="XCG142" s="2"/>
      <c r="XCH142" s="2"/>
      <c r="XCI142" s="2"/>
      <c r="XCJ142" s="2"/>
      <c r="XCK142" s="2"/>
      <c r="XCL142" s="2"/>
      <c r="XCM142" s="2"/>
      <c r="XCN142" s="2"/>
      <c r="XCO142" s="2"/>
      <c r="XCP142" s="2"/>
      <c r="XCQ142" s="2"/>
      <c r="XCR142" s="2"/>
      <c r="XCS142" s="2"/>
      <c r="XCT142" s="2"/>
      <c r="XCU142" s="2"/>
      <c r="XCV142" s="2"/>
      <c r="XCW142" s="2"/>
      <c r="XCX142" s="2"/>
      <c r="XCY142" s="2"/>
      <c r="XCZ142" s="2"/>
      <c r="XDA142" s="2"/>
      <c r="XDB142" s="2"/>
      <c r="XDC142" s="2"/>
      <c r="XDD142" s="2"/>
      <c r="XDE142" s="2"/>
      <c r="XDF142" s="2"/>
      <c r="XDG142" s="2"/>
      <c r="XDH142" s="2"/>
      <c r="XDI142" s="2"/>
      <c r="XDJ142" s="2"/>
      <c r="XDK142" s="2"/>
      <c r="XDL142" s="2"/>
      <c r="XDM142" s="2"/>
      <c r="XDN142" s="2"/>
      <c r="XDO142" s="2"/>
      <c r="XDP142" s="2"/>
      <c r="XDQ142" s="2"/>
      <c r="XDR142" s="2"/>
      <c r="XDS142" s="2"/>
      <c r="XDT142" s="2"/>
      <c r="XDU142" s="2"/>
      <c r="XDV142" s="2"/>
      <c r="XDW142" s="2"/>
      <c r="XDX142" s="2"/>
      <c r="XDY142" s="2"/>
      <c r="XDZ142" s="2"/>
      <c r="XEA142" s="2"/>
      <c r="XEB142" s="2"/>
      <c r="XEC142" s="2"/>
      <c r="XED142" s="2"/>
      <c r="XEE142" s="2"/>
      <c r="XEF142" s="2"/>
      <c r="XEG142" s="2"/>
      <c r="XEH142" s="2"/>
      <c r="XEI142" s="2"/>
      <c r="XEJ142" s="2"/>
      <c r="XEK142" s="2"/>
      <c r="XEL142" s="2"/>
      <c r="XEM142" s="2"/>
      <c r="XEN142" s="2"/>
      <c r="XEO142" s="2"/>
      <c r="XEP142" s="2"/>
      <c r="XEQ142" s="2"/>
      <c r="XER142" s="2"/>
      <c r="XES142" s="2"/>
      <c r="XET142" s="2"/>
      <c r="XEU142" s="2"/>
      <c r="XEV142" s="2"/>
      <c r="XEW142" s="2"/>
      <c r="XEX142" s="2"/>
      <c r="XEY142" s="2"/>
      <c r="XEZ142" s="2"/>
      <c r="XFA142" s="2"/>
      <c r="XFB142" s="2"/>
      <c r="XFC142" s="2"/>
      <c r="XFD142" s="2"/>
    </row>
    <row r="143" spans="1:16384" ht="16.5" thickTop="1" thickBot="1" x14ac:dyDescent="0.3">
      <c r="A143" s="31"/>
      <c r="B143" s="1187" t="s">
        <v>119</v>
      </c>
      <c r="C143" s="1188"/>
      <c r="D143" s="1188"/>
      <c r="E143" s="1188"/>
      <c r="F143" s="1188"/>
      <c r="G143" s="1188"/>
      <c r="H143" s="1188"/>
      <c r="I143" s="1188"/>
      <c r="J143" s="1188"/>
      <c r="K143" s="143"/>
      <c r="L143" s="31"/>
      <c r="M143" s="1189" t="s">
        <v>123</v>
      </c>
      <c r="N143" s="1190"/>
      <c r="O143" s="1191" t="s">
        <v>104</v>
      </c>
      <c r="P143" s="1191"/>
      <c r="Q143" s="1190" t="s">
        <v>127</v>
      </c>
      <c r="R143" s="1190"/>
      <c r="S143" s="1192" t="s">
        <v>128</v>
      </c>
      <c r="T143" s="1193"/>
    </row>
    <row r="144" spans="1:16384" ht="60" customHeight="1" thickTop="1" thickBot="1" x14ac:dyDescent="0.3">
      <c r="B144" s="150" t="s">
        <v>136</v>
      </c>
      <c r="C144" s="151" t="s">
        <v>260</v>
      </c>
      <c r="D144" s="151" t="s">
        <v>138</v>
      </c>
      <c r="E144" s="218" t="e">
        <f>IF(L144="","",(L144+D144)-$I$2)</f>
        <v>#VALUE!</v>
      </c>
      <c r="F144" s="151" t="s">
        <v>377</v>
      </c>
      <c r="G144" s="151" t="s">
        <v>163</v>
      </c>
      <c r="H144" s="151" t="s">
        <v>164</v>
      </c>
      <c r="I144" s="151" t="s">
        <v>378</v>
      </c>
      <c r="J144" s="174" t="s">
        <v>379</v>
      </c>
      <c r="K144" s="175" t="s">
        <v>376</v>
      </c>
      <c r="L144" s="147" t="s">
        <v>162</v>
      </c>
      <c r="M144" s="200" t="s">
        <v>130</v>
      </c>
      <c r="N144" s="201" t="s">
        <v>131</v>
      </c>
      <c r="O144" s="201" t="s">
        <v>130</v>
      </c>
      <c r="P144" s="201" t="s">
        <v>131</v>
      </c>
      <c r="Q144" s="201" t="s">
        <v>130</v>
      </c>
      <c r="R144" s="201" t="s">
        <v>131</v>
      </c>
      <c r="S144" s="201" t="s">
        <v>130</v>
      </c>
      <c r="T144" s="202" t="s">
        <v>131</v>
      </c>
    </row>
    <row r="145" spans="1:20" ht="15.75" thickTop="1" x14ac:dyDescent="0.25">
      <c r="A145" s="30" t="str">
        <f t="shared" ref="A145:A168" si="69">IF(C145="","",MONTH(C145))</f>
        <v/>
      </c>
      <c r="B145" s="159"/>
      <c r="C145" s="160"/>
      <c r="D145" s="213"/>
      <c r="E145" s="46"/>
      <c r="F145" s="164"/>
      <c r="G145" s="215"/>
      <c r="H145" s="215"/>
      <c r="I145" s="166" t="str">
        <f>IF(OR(H145="",B145=""),"",(H145*0.01*F145)*G145*0.01)</f>
        <v/>
      </c>
      <c r="J145" s="425" t="str">
        <f>IF(OR(I$2="",B145=""),"",IF(L145&gt;$I$2,0,IF((L145+D145)-$I$2&lt;=0,0,(PMT($I$8,D145,F145*G145*0.01,-I145,0))*(-1))))</f>
        <v/>
      </c>
      <c r="K145" s="834"/>
      <c r="L145" s="42" t="str">
        <f>IF(C145="","",YEAR(C145))</f>
        <v/>
      </c>
      <c r="M145" s="177"/>
      <c r="N145" s="178" t="str">
        <f t="shared" si="63"/>
        <v/>
      </c>
      <c r="O145" s="179"/>
      <c r="P145" s="178" t="str">
        <f t="shared" si="59"/>
        <v/>
      </c>
      <c r="Q145" s="179"/>
      <c r="R145" s="178" t="str">
        <f t="shared" si="60"/>
        <v/>
      </c>
      <c r="S145" s="180" t="str">
        <f>IF(AND(M145="",O145="",Q145=""),"",100-M145-O145-Q145)</f>
        <v/>
      </c>
      <c r="T145" s="181" t="str">
        <f t="shared" si="62"/>
        <v/>
      </c>
    </row>
    <row r="146" spans="1:20" x14ac:dyDescent="0.25">
      <c r="A146" s="30" t="str">
        <f t="shared" si="69"/>
        <v/>
      </c>
      <c r="B146" s="148"/>
      <c r="C146" s="69"/>
      <c r="D146" s="34"/>
      <c r="E146" s="46"/>
      <c r="F146" s="23"/>
      <c r="G146" s="37"/>
      <c r="H146" s="36"/>
      <c r="I146" s="16" t="str">
        <f t="shared" ref="I146:I168" si="70">IF(OR(H146="",B146=""),"",(H146*0.01*F146)*G146*0.01)</f>
        <v/>
      </c>
      <c r="J146" s="426" t="str">
        <f t="shared" ref="J146:J168" si="71">IF(OR(I$2="",B146=""),"",IF(L146&gt;$I$2,0,IF((L146+D146)-$I$2&lt;=0,0,(PMT($I$8,D146,F146*G146*0.01,-I146,0))*(-1))))</f>
        <v/>
      </c>
      <c r="K146" s="832"/>
      <c r="L146" s="42" t="str">
        <f t="shared" ref="L146:L168" si="72">IF(C146="","",YEAR(C146))</f>
        <v/>
      </c>
      <c r="M146" s="115"/>
      <c r="N146" s="25" t="str">
        <f t="shared" si="63"/>
        <v/>
      </c>
      <c r="O146" s="17"/>
      <c r="P146" s="25" t="str">
        <f t="shared" si="59"/>
        <v/>
      </c>
      <c r="Q146" s="17"/>
      <c r="R146" s="25" t="str">
        <f t="shared" si="60"/>
        <v/>
      </c>
      <c r="S146" s="26" t="str">
        <f>IF(AND(M146="",O146="",Q146=""),"",100-M146-O146-Q146)</f>
        <v/>
      </c>
      <c r="T146" s="182" t="str">
        <f t="shared" si="62"/>
        <v/>
      </c>
    </row>
    <row r="147" spans="1:20" x14ac:dyDescent="0.25">
      <c r="A147" s="30" t="str">
        <f t="shared" si="69"/>
        <v/>
      </c>
      <c r="B147" s="148"/>
      <c r="C147" s="69"/>
      <c r="D147" s="34"/>
      <c r="E147" s="46"/>
      <c r="F147" s="23"/>
      <c r="G147" s="37"/>
      <c r="H147" s="36"/>
      <c r="I147" s="16" t="str">
        <f t="shared" si="70"/>
        <v/>
      </c>
      <c r="J147" s="426" t="str">
        <f t="shared" si="71"/>
        <v/>
      </c>
      <c r="K147" s="832"/>
      <c r="L147" s="42" t="str">
        <f t="shared" si="72"/>
        <v/>
      </c>
      <c r="M147" s="115"/>
      <c r="N147" s="25" t="str">
        <f t="shared" si="63"/>
        <v/>
      </c>
      <c r="O147" s="17"/>
      <c r="P147" s="25" t="str">
        <f t="shared" si="59"/>
        <v/>
      </c>
      <c r="Q147" s="17"/>
      <c r="R147" s="25" t="str">
        <f t="shared" si="60"/>
        <v/>
      </c>
      <c r="S147" s="26" t="str">
        <f t="shared" ref="S147:S168" si="73">IF(AND(M147="",O147="",Q147=""),"",100-M147-O147-Q147)</f>
        <v/>
      </c>
      <c r="T147" s="182" t="str">
        <f t="shared" si="62"/>
        <v/>
      </c>
    </row>
    <row r="148" spans="1:20" x14ac:dyDescent="0.25">
      <c r="A148" s="30" t="str">
        <f t="shared" si="69"/>
        <v/>
      </c>
      <c r="B148" s="148"/>
      <c r="C148" s="69"/>
      <c r="D148" s="34"/>
      <c r="E148" s="46"/>
      <c r="F148" s="23"/>
      <c r="G148" s="37"/>
      <c r="H148" s="36"/>
      <c r="I148" s="16" t="str">
        <f t="shared" si="70"/>
        <v/>
      </c>
      <c r="J148" s="426" t="str">
        <f t="shared" si="71"/>
        <v/>
      </c>
      <c r="K148" s="832"/>
      <c r="L148" s="42" t="str">
        <f t="shared" ref="L148:L167" si="74">IF(C148="","",YEAR(C148))</f>
        <v/>
      </c>
      <c r="M148" s="115"/>
      <c r="N148" s="25" t="str">
        <f t="shared" ref="N148:N167" si="75">IF(M148="","",$J148*M148/100)</f>
        <v/>
      </c>
      <c r="O148" s="17"/>
      <c r="P148" s="25" t="str">
        <f t="shared" ref="P148:P167" si="76">IF(O148="","",$J148*O148/100)</f>
        <v/>
      </c>
      <c r="Q148" s="17"/>
      <c r="R148" s="25" t="str">
        <f t="shared" ref="R148:R167" si="77">IF(Q148="","",$J148*Q148/100)</f>
        <v/>
      </c>
      <c r="S148" s="26" t="str">
        <f t="shared" si="73"/>
        <v/>
      </c>
      <c r="T148" s="182" t="str">
        <f t="shared" ref="T148:T167" si="78">IF(S148="","",$J148*S148/100)</f>
        <v/>
      </c>
    </row>
    <row r="149" spans="1:20" x14ac:dyDescent="0.25">
      <c r="A149" s="30"/>
      <c r="B149" s="148"/>
      <c r="C149" s="69"/>
      <c r="D149" s="34"/>
      <c r="E149" s="46"/>
      <c r="F149" s="23"/>
      <c r="G149" s="37"/>
      <c r="H149" s="36"/>
      <c r="I149" s="16" t="str">
        <f t="shared" si="70"/>
        <v/>
      </c>
      <c r="J149" s="426" t="str">
        <f t="shared" si="71"/>
        <v/>
      </c>
      <c r="K149" s="832"/>
      <c r="L149" s="42" t="str">
        <f t="shared" si="74"/>
        <v/>
      </c>
      <c r="M149" s="115"/>
      <c r="N149" s="25" t="str">
        <f t="shared" si="75"/>
        <v/>
      </c>
      <c r="O149" s="17"/>
      <c r="P149" s="25" t="str">
        <f t="shared" si="76"/>
        <v/>
      </c>
      <c r="Q149" s="17"/>
      <c r="R149" s="25" t="str">
        <f t="shared" si="77"/>
        <v/>
      </c>
      <c r="S149" s="26" t="str">
        <f t="shared" si="73"/>
        <v/>
      </c>
      <c r="T149" s="182" t="str">
        <f t="shared" si="78"/>
        <v/>
      </c>
    </row>
    <row r="150" spans="1:20" x14ac:dyDescent="0.25">
      <c r="A150" s="30"/>
      <c r="B150" s="148"/>
      <c r="C150" s="69"/>
      <c r="D150" s="34"/>
      <c r="E150" s="46"/>
      <c r="F150" s="23"/>
      <c r="G150" s="37"/>
      <c r="H150" s="36"/>
      <c r="I150" s="16" t="str">
        <f t="shared" si="70"/>
        <v/>
      </c>
      <c r="J150" s="426" t="str">
        <f t="shared" si="71"/>
        <v/>
      </c>
      <c r="K150" s="832"/>
      <c r="L150" s="42" t="str">
        <f t="shared" si="74"/>
        <v/>
      </c>
      <c r="M150" s="115"/>
      <c r="N150" s="25" t="str">
        <f t="shared" si="75"/>
        <v/>
      </c>
      <c r="O150" s="17"/>
      <c r="P150" s="25" t="str">
        <f t="shared" si="76"/>
        <v/>
      </c>
      <c r="Q150" s="17"/>
      <c r="R150" s="25" t="str">
        <f t="shared" si="77"/>
        <v/>
      </c>
      <c r="S150" s="26" t="str">
        <f t="shared" si="73"/>
        <v/>
      </c>
      <c r="T150" s="182" t="str">
        <f t="shared" si="78"/>
        <v/>
      </c>
    </row>
    <row r="151" spans="1:20" x14ac:dyDescent="0.25">
      <c r="A151" s="30"/>
      <c r="B151" s="148"/>
      <c r="C151" s="69"/>
      <c r="D151" s="34"/>
      <c r="E151" s="46"/>
      <c r="F151" s="23"/>
      <c r="G151" s="37"/>
      <c r="H151" s="36"/>
      <c r="I151" s="16" t="str">
        <f t="shared" si="70"/>
        <v/>
      </c>
      <c r="J151" s="426" t="str">
        <f t="shared" si="71"/>
        <v/>
      </c>
      <c r="K151" s="832"/>
      <c r="L151" s="42" t="str">
        <f t="shared" si="74"/>
        <v/>
      </c>
      <c r="M151" s="115"/>
      <c r="N151" s="25" t="str">
        <f t="shared" si="75"/>
        <v/>
      </c>
      <c r="O151" s="17"/>
      <c r="P151" s="25" t="str">
        <f t="shared" si="76"/>
        <v/>
      </c>
      <c r="Q151" s="17"/>
      <c r="R151" s="25" t="str">
        <f t="shared" si="77"/>
        <v/>
      </c>
      <c r="S151" s="26" t="str">
        <f t="shared" si="73"/>
        <v/>
      </c>
      <c r="T151" s="182" t="str">
        <f t="shared" si="78"/>
        <v/>
      </c>
    </row>
    <row r="152" spans="1:20" x14ac:dyDescent="0.25">
      <c r="A152" s="30"/>
      <c r="B152" s="148"/>
      <c r="C152" s="69"/>
      <c r="D152" s="34"/>
      <c r="E152" s="46"/>
      <c r="F152" s="23"/>
      <c r="G152" s="37"/>
      <c r="H152" s="36"/>
      <c r="I152" s="16" t="str">
        <f t="shared" si="70"/>
        <v/>
      </c>
      <c r="J152" s="426" t="str">
        <f t="shared" si="71"/>
        <v/>
      </c>
      <c r="K152" s="832"/>
      <c r="L152" s="42" t="str">
        <f t="shared" si="74"/>
        <v/>
      </c>
      <c r="M152" s="115"/>
      <c r="N152" s="25" t="str">
        <f t="shared" si="75"/>
        <v/>
      </c>
      <c r="O152" s="17"/>
      <c r="P152" s="25" t="str">
        <f t="shared" si="76"/>
        <v/>
      </c>
      <c r="Q152" s="17"/>
      <c r="R152" s="25" t="str">
        <f t="shared" si="77"/>
        <v/>
      </c>
      <c r="S152" s="26" t="str">
        <f t="shared" si="73"/>
        <v/>
      </c>
      <c r="T152" s="182" t="str">
        <f t="shared" si="78"/>
        <v/>
      </c>
    </row>
    <row r="153" spans="1:20" x14ac:dyDescent="0.25">
      <c r="A153" s="30"/>
      <c r="B153" s="148"/>
      <c r="C153" s="69"/>
      <c r="D153" s="34"/>
      <c r="E153" s="46"/>
      <c r="F153" s="23"/>
      <c r="G153" s="37"/>
      <c r="H153" s="36"/>
      <c r="I153" s="16" t="str">
        <f t="shared" si="70"/>
        <v/>
      </c>
      <c r="J153" s="426" t="str">
        <f t="shared" si="71"/>
        <v/>
      </c>
      <c r="K153" s="832"/>
      <c r="L153" s="42" t="str">
        <f t="shared" si="74"/>
        <v/>
      </c>
      <c r="M153" s="115"/>
      <c r="N153" s="25" t="str">
        <f t="shared" si="75"/>
        <v/>
      </c>
      <c r="O153" s="17"/>
      <c r="P153" s="25" t="str">
        <f t="shared" si="76"/>
        <v/>
      </c>
      <c r="Q153" s="17"/>
      <c r="R153" s="25" t="str">
        <f t="shared" si="77"/>
        <v/>
      </c>
      <c r="S153" s="26" t="str">
        <f t="shared" si="73"/>
        <v/>
      </c>
      <c r="T153" s="182" t="str">
        <f t="shared" si="78"/>
        <v/>
      </c>
    </row>
    <row r="154" spans="1:20" x14ac:dyDescent="0.25">
      <c r="A154" s="30"/>
      <c r="B154" s="148"/>
      <c r="C154" s="69"/>
      <c r="D154" s="34"/>
      <c r="E154" s="46"/>
      <c r="F154" s="23"/>
      <c r="G154" s="37"/>
      <c r="H154" s="36"/>
      <c r="I154" s="16" t="str">
        <f t="shared" si="70"/>
        <v/>
      </c>
      <c r="J154" s="426" t="str">
        <f t="shared" si="71"/>
        <v/>
      </c>
      <c r="K154" s="832"/>
      <c r="L154" s="42" t="str">
        <f t="shared" si="74"/>
        <v/>
      </c>
      <c r="M154" s="115"/>
      <c r="N154" s="25" t="str">
        <f t="shared" si="75"/>
        <v/>
      </c>
      <c r="O154" s="17"/>
      <c r="P154" s="25" t="str">
        <f t="shared" si="76"/>
        <v/>
      </c>
      <c r="Q154" s="17"/>
      <c r="R154" s="25" t="str">
        <f t="shared" si="77"/>
        <v/>
      </c>
      <c r="S154" s="26" t="str">
        <f t="shared" si="73"/>
        <v/>
      </c>
      <c r="T154" s="182" t="str">
        <f t="shared" si="78"/>
        <v/>
      </c>
    </row>
    <row r="155" spans="1:20" x14ac:dyDescent="0.25">
      <c r="A155" s="30"/>
      <c r="B155" s="148"/>
      <c r="C155" s="69"/>
      <c r="D155" s="34"/>
      <c r="E155" s="46"/>
      <c r="F155" s="23"/>
      <c r="G155" s="37"/>
      <c r="H155" s="36"/>
      <c r="I155" s="16" t="str">
        <f t="shared" si="70"/>
        <v/>
      </c>
      <c r="J155" s="426" t="str">
        <f t="shared" si="71"/>
        <v/>
      </c>
      <c r="K155" s="832"/>
      <c r="L155" s="42" t="str">
        <f t="shared" si="74"/>
        <v/>
      </c>
      <c r="M155" s="115"/>
      <c r="N155" s="25" t="str">
        <f t="shared" si="75"/>
        <v/>
      </c>
      <c r="O155" s="17"/>
      <c r="P155" s="25" t="str">
        <f t="shared" si="76"/>
        <v/>
      </c>
      <c r="Q155" s="17"/>
      <c r="R155" s="25" t="str">
        <f t="shared" si="77"/>
        <v/>
      </c>
      <c r="S155" s="26" t="str">
        <f t="shared" si="73"/>
        <v/>
      </c>
      <c r="T155" s="182" t="str">
        <f t="shared" si="78"/>
        <v/>
      </c>
    </row>
    <row r="156" spans="1:20" x14ac:dyDescent="0.25">
      <c r="A156" s="30"/>
      <c r="B156" s="148"/>
      <c r="C156" s="69"/>
      <c r="D156" s="34"/>
      <c r="E156" s="46"/>
      <c r="F156" s="23"/>
      <c r="G156" s="37"/>
      <c r="H156" s="36"/>
      <c r="I156" s="16" t="str">
        <f t="shared" si="70"/>
        <v/>
      </c>
      <c r="J156" s="426" t="str">
        <f t="shared" si="71"/>
        <v/>
      </c>
      <c r="K156" s="832"/>
      <c r="L156" s="42" t="str">
        <f t="shared" si="74"/>
        <v/>
      </c>
      <c r="M156" s="115"/>
      <c r="N156" s="25" t="str">
        <f t="shared" si="75"/>
        <v/>
      </c>
      <c r="O156" s="17"/>
      <c r="P156" s="25" t="str">
        <f t="shared" si="76"/>
        <v/>
      </c>
      <c r="Q156" s="17"/>
      <c r="R156" s="25" t="str">
        <f t="shared" si="77"/>
        <v/>
      </c>
      <c r="S156" s="26" t="str">
        <f t="shared" si="73"/>
        <v/>
      </c>
      <c r="T156" s="182" t="str">
        <f t="shared" si="78"/>
        <v/>
      </c>
    </row>
    <row r="157" spans="1:20" x14ac:dyDescent="0.25">
      <c r="A157" s="30"/>
      <c r="B157" s="148"/>
      <c r="C157" s="69"/>
      <c r="D157" s="34"/>
      <c r="E157" s="46"/>
      <c r="F157" s="23"/>
      <c r="G157" s="37"/>
      <c r="H157" s="36"/>
      <c r="I157" s="16" t="str">
        <f t="shared" si="70"/>
        <v/>
      </c>
      <c r="J157" s="426" t="str">
        <f t="shared" si="71"/>
        <v/>
      </c>
      <c r="K157" s="832"/>
      <c r="L157" s="42" t="str">
        <f t="shared" si="74"/>
        <v/>
      </c>
      <c r="M157" s="115"/>
      <c r="N157" s="25" t="str">
        <f t="shared" si="75"/>
        <v/>
      </c>
      <c r="O157" s="17"/>
      <c r="P157" s="25" t="str">
        <f t="shared" si="76"/>
        <v/>
      </c>
      <c r="Q157" s="17"/>
      <c r="R157" s="25" t="str">
        <f t="shared" si="77"/>
        <v/>
      </c>
      <c r="S157" s="26" t="str">
        <f t="shared" si="73"/>
        <v/>
      </c>
      <c r="T157" s="182" t="str">
        <f t="shared" si="78"/>
        <v/>
      </c>
    </row>
    <row r="158" spans="1:20" x14ac:dyDescent="0.25">
      <c r="A158" s="30" t="str">
        <f t="shared" si="69"/>
        <v/>
      </c>
      <c r="B158" s="148"/>
      <c r="C158" s="69"/>
      <c r="D158" s="34"/>
      <c r="E158" s="46"/>
      <c r="F158" s="23"/>
      <c r="G158" s="37"/>
      <c r="H158" s="36"/>
      <c r="I158" s="16" t="str">
        <f t="shared" si="70"/>
        <v/>
      </c>
      <c r="J158" s="426" t="str">
        <f t="shared" si="71"/>
        <v/>
      </c>
      <c r="K158" s="832"/>
      <c r="L158" s="42" t="str">
        <f t="shared" si="74"/>
        <v/>
      </c>
      <c r="M158" s="115"/>
      <c r="N158" s="25" t="str">
        <f t="shared" si="75"/>
        <v/>
      </c>
      <c r="O158" s="17"/>
      <c r="P158" s="25" t="str">
        <f t="shared" si="76"/>
        <v/>
      </c>
      <c r="Q158" s="17"/>
      <c r="R158" s="25" t="str">
        <f t="shared" si="77"/>
        <v/>
      </c>
      <c r="S158" s="26" t="str">
        <f t="shared" si="73"/>
        <v/>
      </c>
      <c r="T158" s="182" t="str">
        <f t="shared" si="78"/>
        <v/>
      </c>
    </row>
    <row r="159" spans="1:20" x14ac:dyDescent="0.25">
      <c r="A159" s="30" t="str">
        <f t="shared" si="69"/>
        <v/>
      </c>
      <c r="B159" s="148"/>
      <c r="C159" s="69"/>
      <c r="D159" s="34"/>
      <c r="E159" s="46"/>
      <c r="F159" s="23"/>
      <c r="G159" s="37"/>
      <c r="H159" s="36"/>
      <c r="I159" s="16" t="str">
        <f t="shared" si="70"/>
        <v/>
      </c>
      <c r="J159" s="426" t="str">
        <f t="shared" si="71"/>
        <v/>
      </c>
      <c r="K159" s="832"/>
      <c r="L159" s="42" t="str">
        <f t="shared" si="74"/>
        <v/>
      </c>
      <c r="M159" s="115"/>
      <c r="N159" s="25" t="str">
        <f t="shared" si="75"/>
        <v/>
      </c>
      <c r="O159" s="17"/>
      <c r="P159" s="25" t="str">
        <f t="shared" si="76"/>
        <v/>
      </c>
      <c r="Q159" s="17"/>
      <c r="R159" s="25" t="str">
        <f t="shared" si="77"/>
        <v/>
      </c>
      <c r="S159" s="26" t="str">
        <f t="shared" si="73"/>
        <v/>
      </c>
      <c r="T159" s="182" t="str">
        <f t="shared" si="78"/>
        <v/>
      </c>
    </row>
    <row r="160" spans="1:20" x14ac:dyDescent="0.25">
      <c r="A160" s="30" t="str">
        <f t="shared" si="69"/>
        <v/>
      </c>
      <c r="B160" s="148"/>
      <c r="C160" s="69"/>
      <c r="D160" s="34"/>
      <c r="E160" s="46"/>
      <c r="F160" s="23"/>
      <c r="G160" s="37"/>
      <c r="H160" s="36"/>
      <c r="I160" s="16" t="str">
        <f t="shared" si="70"/>
        <v/>
      </c>
      <c r="J160" s="426" t="str">
        <f t="shared" si="71"/>
        <v/>
      </c>
      <c r="K160" s="832"/>
      <c r="L160" s="42" t="str">
        <f t="shared" si="74"/>
        <v/>
      </c>
      <c r="M160" s="115"/>
      <c r="N160" s="25" t="str">
        <f t="shared" si="75"/>
        <v/>
      </c>
      <c r="O160" s="17"/>
      <c r="P160" s="25" t="str">
        <f t="shared" si="76"/>
        <v/>
      </c>
      <c r="Q160" s="17"/>
      <c r="R160" s="25" t="str">
        <f t="shared" si="77"/>
        <v/>
      </c>
      <c r="S160" s="26" t="str">
        <f t="shared" si="73"/>
        <v/>
      </c>
      <c r="T160" s="182" t="str">
        <f t="shared" si="78"/>
        <v/>
      </c>
    </row>
    <row r="161" spans="1:20" x14ac:dyDescent="0.25">
      <c r="A161" s="30" t="str">
        <f t="shared" si="69"/>
        <v/>
      </c>
      <c r="B161" s="148"/>
      <c r="C161" s="69"/>
      <c r="D161" s="34"/>
      <c r="E161" s="46"/>
      <c r="F161" s="23"/>
      <c r="G161" s="37"/>
      <c r="H161" s="36"/>
      <c r="I161" s="16" t="str">
        <f t="shared" si="70"/>
        <v/>
      </c>
      <c r="J161" s="426" t="str">
        <f t="shared" si="71"/>
        <v/>
      </c>
      <c r="K161" s="832"/>
      <c r="L161" s="42" t="str">
        <f t="shared" si="74"/>
        <v/>
      </c>
      <c r="M161" s="115"/>
      <c r="N161" s="25" t="str">
        <f t="shared" si="75"/>
        <v/>
      </c>
      <c r="O161" s="17"/>
      <c r="P161" s="25" t="str">
        <f t="shared" si="76"/>
        <v/>
      </c>
      <c r="Q161" s="17"/>
      <c r="R161" s="25" t="str">
        <f t="shared" si="77"/>
        <v/>
      </c>
      <c r="S161" s="26" t="str">
        <f t="shared" si="73"/>
        <v/>
      </c>
      <c r="T161" s="182" t="str">
        <f t="shared" si="78"/>
        <v/>
      </c>
    </row>
    <row r="162" spans="1:20" x14ac:dyDescent="0.25">
      <c r="A162" s="30" t="str">
        <f t="shared" si="69"/>
        <v/>
      </c>
      <c r="B162" s="148"/>
      <c r="C162" s="69"/>
      <c r="D162" s="34"/>
      <c r="E162" s="46"/>
      <c r="F162" s="23"/>
      <c r="G162" s="37"/>
      <c r="H162" s="36"/>
      <c r="I162" s="16" t="str">
        <f t="shared" si="70"/>
        <v/>
      </c>
      <c r="J162" s="426" t="str">
        <f t="shared" si="71"/>
        <v/>
      </c>
      <c r="K162" s="832"/>
      <c r="L162" s="42" t="str">
        <f t="shared" si="74"/>
        <v/>
      </c>
      <c r="M162" s="115"/>
      <c r="N162" s="25" t="str">
        <f t="shared" si="75"/>
        <v/>
      </c>
      <c r="O162" s="17"/>
      <c r="P162" s="25" t="str">
        <f t="shared" si="76"/>
        <v/>
      </c>
      <c r="Q162" s="17"/>
      <c r="R162" s="25" t="str">
        <f t="shared" si="77"/>
        <v/>
      </c>
      <c r="S162" s="26" t="str">
        <f t="shared" si="73"/>
        <v/>
      </c>
      <c r="T162" s="182" t="str">
        <f t="shared" si="78"/>
        <v/>
      </c>
    </row>
    <row r="163" spans="1:20" x14ac:dyDescent="0.25">
      <c r="A163" s="30" t="str">
        <f t="shared" si="69"/>
        <v/>
      </c>
      <c r="B163" s="148"/>
      <c r="C163" s="69"/>
      <c r="D163" s="34"/>
      <c r="E163" s="46"/>
      <c r="F163" s="23"/>
      <c r="G163" s="37"/>
      <c r="H163" s="36"/>
      <c r="I163" s="16" t="str">
        <f t="shared" si="70"/>
        <v/>
      </c>
      <c r="J163" s="426" t="str">
        <f t="shared" si="71"/>
        <v/>
      </c>
      <c r="K163" s="832"/>
      <c r="L163" s="42" t="str">
        <f t="shared" si="74"/>
        <v/>
      </c>
      <c r="M163" s="115"/>
      <c r="N163" s="25" t="str">
        <f t="shared" si="75"/>
        <v/>
      </c>
      <c r="O163" s="17"/>
      <c r="P163" s="25" t="str">
        <f t="shared" si="76"/>
        <v/>
      </c>
      <c r="Q163" s="17"/>
      <c r="R163" s="25" t="str">
        <f t="shared" si="77"/>
        <v/>
      </c>
      <c r="S163" s="26" t="str">
        <f t="shared" si="73"/>
        <v/>
      </c>
      <c r="T163" s="182" t="str">
        <f t="shared" si="78"/>
        <v/>
      </c>
    </row>
    <row r="164" spans="1:20" x14ac:dyDescent="0.25">
      <c r="A164" s="30" t="str">
        <f t="shared" si="69"/>
        <v/>
      </c>
      <c r="B164" s="148"/>
      <c r="C164" s="69"/>
      <c r="D164" s="34"/>
      <c r="E164" s="46"/>
      <c r="F164" s="23"/>
      <c r="G164" s="37"/>
      <c r="H164" s="36"/>
      <c r="I164" s="16" t="str">
        <f t="shared" si="70"/>
        <v/>
      </c>
      <c r="J164" s="426" t="str">
        <f t="shared" si="71"/>
        <v/>
      </c>
      <c r="K164" s="832"/>
      <c r="L164" s="42" t="str">
        <f t="shared" si="74"/>
        <v/>
      </c>
      <c r="M164" s="115"/>
      <c r="N164" s="25" t="str">
        <f t="shared" si="75"/>
        <v/>
      </c>
      <c r="O164" s="17"/>
      <c r="P164" s="25" t="str">
        <f t="shared" si="76"/>
        <v/>
      </c>
      <c r="Q164" s="17"/>
      <c r="R164" s="25" t="str">
        <f t="shared" si="77"/>
        <v/>
      </c>
      <c r="S164" s="26" t="str">
        <f t="shared" si="73"/>
        <v/>
      </c>
      <c r="T164" s="182" t="str">
        <f t="shared" si="78"/>
        <v/>
      </c>
    </row>
    <row r="165" spans="1:20" x14ac:dyDescent="0.25">
      <c r="A165" s="30" t="str">
        <f t="shared" si="69"/>
        <v/>
      </c>
      <c r="B165" s="148"/>
      <c r="C165" s="69"/>
      <c r="D165" s="34"/>
      <c r="E165" s="46"/>
      <c r="F165" s="23"/>
      <c r="G165" s="37"/>
      <c r="H165" s="36"/>
      <c r="I165" s="16" t="str">
        <f t="shared" si="70"/>
        <v/>
      </c>
      <c r="J165" s="426" t="str">
        <f t="shared" si="71"/>
        <v/>
      </c>
      <c r="K165" s="832"/>
      <c r="L165" s="42" t="str">
        <f t="shared" si="74"/>
        <v/>
      </c>
      <c r="M165" s="115"/>
      <c r="N165" s="25" t="str">
        <f t="shared" si="75"/>
        <v/>
      </c>
      <c r="O165" s="17"/>
      <c r="P165" s="25" t="str">
        <f t="shared" si="76"/>
        <v/>
      </c>
      <c r="Q165" s="17"/>
      <c r="R165" s="25" t="str">
        <f t="shared" si="77"/>
        <v/>
      </c>
      <c r="S165" s="26" t="str">
        <f t="shared" si="73"/>
        <v/>
      </c>
      <c r="T165" s="182" t="str">
        <f t="shared" si="78"/>
        <v/>
      </c>
    </row>
    <row r="166" spans="1:20" x14ac:dyDescent="0.25">
      <c r="A166" s="30" t="str">
        <f t="shared" si="69"/>
        <v/>
      </c>
      <c r="B166" s="148"/>
      <c r="C166" s="69"/>
      <c r="D166" s="34"/>
      <c r="E166" s="46"/>
      <c r="F166" s="23"/>
      <c r="G166" s="37"/>
      <c r="H166" s="36"/>
      <c r="I166" s="16" t="str">
        <f t="shared" si="70"/>
        <v/>
      </c>
      <c r="J166" s="426" t="str">
        <f t="shared" si="71"/>
        <v/>
      </c>
      <c r="K166" s="832"/>
      <c r="L166" s="42" t="str">
        <f t="shared" si="74"/>
        <v/>
      </c>
      <c r="M166" s="115"/>
      <c r="N166" s="25" t="str">
        <f t="shared" si="75"/>
        <v/>
      </c>
      <c r="O166" s="17"/>
      <c r="P166" s="25" t="str">
        <f t="shared" si="76"/>
        <v/>
      </c>
      <c r="Q166" s="17"/>
      <c r="R166" s="25" t="str">
        <f t="shared" si="77"/>
        <v/>
      </c>
      <c r="S166" s="26" t="str">
        <f t="shared" si="73"/>
        <v/>
      </c>
      <c r="T166" s="182" t="str">
        <f t="shared" si="78"/>
        <v/>
      </c>
    </row>
    <row r="167" spans="1:20" x14ac:dyDescent="0.25">
      <c r="A167" s="30" t="str">
        <f t="shared" si="69"/>
        <v/>
      </c>
      <c r="B167" s="148"/>
      <c r="C167" s="69"/>
      <c r="D167" s="34"/>
      <c r="E167" s="46"/>
      <c r="F167" s="23"/>
      <c r="G167" s="37"/>
      <c r="H167" s="36"/>
      <c r="I167" s="16" t="str">
        <f t="shared" si="70"/>
        <v/>
      </c>
      <c r="J167" s="426" t="str">
        <f t="shared" si="71"/>
        <v/>
      </c>
      <c r="K167" s="832"/>
      <c r="L167" s="42" t="str">
        <f t="shared" si="74"/>
        <v/>
      </c>
      <c r="M167" s="115"/>
      <c r="N167" s="25" t="str">
        <f t="shared" si="75"/>
        <v/>
      </c>
      <c r="O167" s="17"/>
      <c r="P167" s="25" t="str">
        <f t="shared" si="76"/>
        <v/>
      </c>
      <c r="Q167" s="17"/>
      <c r="R167" s="25" t="str">
        <f t="shared" si="77"/>
        <v/>
      </c>
      <c r="S167" s="26" t="str">
        <f t="shared" si="73"/>
        <v/>
      </c>
      <c r="T167" s="182" t="str">
        <f t="shared" si="78"/>
        <v/>
      </c>
    </row>
    <row r="168" spans="1:20" ht="15.75" thickBot="1" x14ac:dyDescent="0.3">
      <c r="A168" s="30" t="str">
        <f t="shared" si="69"/>
        <v/>
      </c>
      <c r="B168" s="167"/>
      <c r="C168" s="219"/>
      <c r="D168" s="220"/>
      <c r="E168" s="221"/>
      <c r="F168" s="171"/>
      <c r="G168" s="222"/>
      <c r="H168" s="222"/>
      <c r="I168" s="16" t="str">
        <f t="shared" si="70"/>
        <v/>
      </c>
      <c r="J168" s="426" t="str">
        <f t="shared" si="71"/>
        <v/>
      </c>
      <c r="K168" s="835"/>
      <c r="L168" s="42" t="str">
        <f t="shared" si="72"/>
        <v/>
      </c>
      <c r="M168" s="207"/>
      <c r="N168" s="208" t="str">
        <f>IF(M168="","",$J168*M168/100)</f>
        <v/>
      </c>
      <c r="O168" s="209"/>
      <c r="P168" s="208" t="str">
        <f>IF(O168="","",$J168*O168/100)</f>
        <v/>
      </c>
      <c r="Q168" s="209"/>
      <c r="R168" s="208" t="str">
        <f>IF(Q168="","",$J168*Q168/100)</f>
        <v/>
      </c>
      <c r="S168" s="26" t="str">
        <f t="shared" si="73"/>
        <v/>
      </c>
      <c r="T168" s="211" t="str">
        <f>IF(S168="","",$J168*S168/100)</f>
        <v/>
      </c>
    </row>
    <row r="169" spans="1:20" ht="16.5" thickTop="1" thickBot="1" x14ac:dyDescent="0.3">
      <c r="A169" s="30"/>
      <c r="B169" s="153" t="s">
        <v>88</v>
      </c>
      <c r="C169" s="154"/>
      <c r="D169" s="154" t="s">
        <v>107</v>
      </c>
      <c r="E169" s="155"/>
      <c r="F169" s="157">
        <f>SUM(F145:F168)</f>
        <v>0</v>
      </c>
      <c r="G169" s="157" t="s">
        <v>107</v>
      </c>
      <c r="H169" s="158" t="s">
        <v>107</v>
      </c>
      <c r="I169" s="157">
        <f>SUM(I145:I168)</f>
        <v>0</v>
      </c>
      <c r="J169" s="158">
        <f>SUM(J145:J168)</f>
        <v>0</v>
      </c>
      <c r="K169" s="176">
        <f>SUM(K145:K168)</f>
        <v>0</v>
      </c>
      <c r="L169" s="42" t="s">
        <v>107</v>
      </c>
      <c r="M169" s="203">
        <f>IF($J169=0,0,(N169/$J169)*100)</f>
        <v>0</v>
      </c>
      <c r="N169" s="204">
        <f>IF($R$24&lt;&gt;"",SUM(N145:N168),0)</f>
        <v>0</v>
      </c>
      <c r="O169" s="205">
        <f>IF($J169=0,0,(P169/$J169)*100)</f>
        <v>0</v>
      </c>
      <c r="P169" s="204">
        <f>IF($R$24&lt;&gt;"",SUM(P145:P168),0)</f>
        <v>0</v>
      </c>
      <c r="Q169" s="205">
        <f>IF($J169=0,0,(R169/$J169)*100)</f>
        <v>0</v>
      </c>
      <c r="R169" s="204">
        <f>IF($R$24&lt;&gt;"",SUM(R145:R168),0)</f>
        <v>0</v>
      </c>
      <c r="S169" s="205">
        <f>IF($J169=0,0,(T169/$J169)*100)</f>
        <v>0</v>
      </c>
      <c r="T169" s="206">
        <f>IF($R$24&lt;&gt;"",SUM(T145:T168),0)</f>
        <v>0</v>
      </c>
    </row>
    <row r="170" spans="1:20" ht="15.75" thickTop="1" x14ac:dyDescent="0.25"/>
    <row r="171" spans="1:20" hidden="1" x14ac:dyDescent="0.25"/>
    <row r="172" spans="1:20" ht="15" hidden="1" customHeight="1" x14ac:dyDescent="0.25"/>
    <row r="173" spans="1:20" ht="15" hidden="1" customHeight="1" x14ac:dyDescent="0.25"/>
    <row r="174" spans="1:20" ht="15" hidden="1" customHeight="1" x14ac:dyDescent="0.25"/>
    <row r="175" spans="1:20" ht="15" hidden="1" customHeight="1" x14ac:dyDescent="0.25"/>
    <row r="176" spans="1:20"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sheetData>
  <sheetProtection password="E066" sheet="1" objects="1" scenarios="1" selectLockedCells="1"/>
  <mergeCells count="33">
    <mergeCell ref="B10:J10"/>
    <mergeCell ref="M10:P10"/>
    <mergeCell ref="G8:H8"/>
    <mergeCell ref="B8:D8"/>
    <mergeCell ref="M53:T53"/>
    <mergeCell ref="M25:N25"/>
    <mergeCell ref="O25:P25"/>
    <mergeCell ref="Q25:R25"/>
    <mergeCell ref="S25:T25"/>
    <mergeCell ref="M24:P24"/>
    <mergeCell ref="S54:T54"/>
    <mergeCell ref="B85:J85"/>
    <mergeCell ref="M85:N85"/>
    <mergeCell ref="O85:P85"/>
    <mergeCell ref="Q85:R85"/>
    <mergeCell ref="S85:T85"/>
    <mergeCell ref="M84:T84"/>
    <mergeCell ref="B54:J54"/>
    <mergeCell ref="M54:N54"/>
    <mergeCell ref="O54:P54"/>
    <mergeCell ref="Q54:R54"/>
    <mergeCell ref="M142:T142"/>
    <mergeCell ref="B143:J143"/>
    <mergeCell ref="M143:N143"/>
    <mergeCell ref="O143:P143"/>
    <mergeCell ref="Q143:R143"/>
    <mergeCell ref="S143:T143"/>
    <mergeCell ref="Q114:R114"/>
    <mergeCell ref="S114:T114"/>
    <mergeCell ref="M113:T113"/>
    <mergeCell ref="B114:J114"/>
    <mergeCell ref="M114:N114"/>
    <mergeCell ref="O114:P114"/>
  </mergeCells>
  <conditionalFormatting sqref="R24 T24">
    <cfRule type="expression" dxfId="5" priority="1">
      <formula>AND($R$24="",$T$24="")</formula>
    </cfRule>
  </conditionalFormatting>
  <dataValidations count="2">
    <dataValidation type="custom" allowBlank="1" showInputMessage="1" showErrorMessage="1" error="Verifique a opção de rateio por categoria" sqref="T24">
      <formula1>IF(R24="","x")</formula1>
    </dataValidation>
    <dataValidation type="custom" allowBlank="1" showInputMessage="1" showErrorMessage="1" error="Verifique a opção de rateio por categoria" sqref="R24">
      <formula1>IF(T24="","X")</formula1>
    </dataValidation>
  </dataValidations>
  <pageMargins left="0.25" right="0.25" top="0.75" bottom="0.75" header="0.3" footer="0.3"/>
  <pageSetup paperSize="9" orientation="landscape" r:id="rId1"/>
  <ignoredErrors>
    <ignoredError sqref="L56 E111 E144 L27:L35 L36:L52 E82 L57 L111 L145:L146 L116 L87:L88 L168:L169 L58:L86 L89:L110 L117:L144 L147:L167 L112:L115" unlockedFormula="1"/>
    <ignoredError sqref="P21 S27:S51 S56:S82 S145:S167 S116:S140 S87:S111 S52 Q52 O52 N52 P52 R52 T52 Q83 S83 O83 N83 P83 T83 R83 Q112 S112 O112 N112 P112 T112 R112 Q141 S141 O141 N141 P141 T141 R141 S169 Q169 S168 O169 N168:R168 N169 P169 T168 R169 T169"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00"/>
  <sheetViews>
    <sheetView showGridLines="0" topLeftCell="A37" zoomScale="70" zoomScaleNormal="70" workbookViewId="0">
      <selection activeCell="M66" sqref="M66"/>
    </sheetView>
  </sheetViews>
  <sheetFormatPr defaultColWidth="0" defaultRowHeight="15" zeroHeight="1" x14ac:dyDescent="0.25"/>
  <cols>
    <col min="1" max="1" width="2.42578125" style="50" customWidth="1"/>
    <col min="2" max="2" width="39" style="50" customWidth="1"/>
    <col min="3" max="3" width="34.85546875" style="50" customWidth="1"/>
    <col min="4" max="4" width="18.7109375" style="227" customWidth="1"/>
    <col min="5" max="6" width="14.42578125" style="227" bestFit="1" customWidth="1"/>
    <col min="7" max="7" width="14" style="227" bestFit="1" customWidth="1"/>
    <col min="8" max="9" width="14.42578125" style="227" bestFit="1" customWidth="1"/>
    <col min="10" max="10" width="15.85546875" style="227" bestFit="1" customWidth="1"/>
    <col min="11" max="11" width="15.42578125" style="227" bestFit="1" customWidth="1"/>
    <col min="12" max="14" width="14.42578125" style="227" bestFit="1" customWidth="1"/>
    <col min="15" max="15" width="15.85546875" style="227" bestFit="1" customWidth="1"/>
    <col min="16" max="16" width="15.5703125" style="227" customWidth="1"/>
    <col min="17" max="17" width="14.42578125" style="326" bestFit="1" customWidth="1"/>
    <col min="18" max="18" width="15.85546875" style="326" bestFit="1" customWidth="1"/>
    <col min="19" max="19" width="10.85546875" style="326" bestFit="1" customWidth="1"/>
    <col min="20" max="20" width="19.7109375" style="326" customWidth="1"/>
    <col min="21" max="21" width="9.85546875" style="326" bestFit="1" customWidth="1"/>
    <col min="22" max="22" width="17.28515625" style="326" customWidth="1"/>
    <col min="23" max="23" width="9.85546875" style="326" bestFit="1" customWidth="1"/>
    <col min="24" max="24" width="17.5703125" style="326" customWidth="1"/>
    <col min="25" max="25" width="9.42578125" style="326" bestFit="1" customWidth="1"/>
    <col min="26" max="26" width="17.7109375" style="326" customWidth="1"/>
    <col min="27" max="27" width="4" style="50" customWidth="1"/>
    <col min="28" max="28" width="11.28515625" style="50" hidden="1" customWidth="1"/>
    <col min="29" max="29" width="9.140625" style="50" hidden="1" customWidth="1"/>
    <col min="30" max="30" width="9.7109375" style="50" hidden="1" customWidth="1"/>
    <col min="31" max="16384" width="9.140625" style="50" hidden="1"/>
  </cols>
  <sheetData>
    <row r="1" spans="2:31" ht="15.75" thickBot="1" x14ac:dyDescent="0.3"/>
    <row r="2" spans="2:31" ht="15.75" thickTop="1" x14ac:dyDescent="0.25">
      <c r="B2" s="768" t="str">
        <f>REBANHO!B2</f>
        <v>Fazenda</v>
      </c>
      <c r="C2" s="770" t="str">
        <f>IF(REBANHO!C2="","",REBANHO!C2)</f>
        <v>Bonanza</v>
      </c>
      <c r="D2" s="766"/>
      <c r="E2" s="766"/>
      <c r="F2" s="467" t="s">
        <v>120</v>
      </c>
      <c r="H2" s="438"/>
    </row>
    <row r="3" spans="2:31" ht="16.5" thickBot="1" x14ac:dyDescent="0.3">
      <c r="B3" s="769" t="str">
        <f>REBANHO!B6</f>
        <v>Sistema de produção</v>
      </c>
      <c r="C3" s="771" t="str">
        <f>IF(REBANHO!C6="","",REBANHO!C6)</f>
        <v>Rotacionado - Adubado</v>
      </c>
      <c r="D3" s="767"/>
      <c r="E3" s="765"/>
      <c r="F3" s="773">
        <f>IF(REBANHO!I2="","",REBANHO!I2)</f>
        <v>2016</v>
      </c>
      <c r="H3" s="438"/>
    </row>
    <row r="4" spans="2:31" ht="16.5" thickTop="1" thickBot="1" x14ac:dyDescent="0.3">
      <c r="C4" s="223"/>
    </row>
    <row r="5" spans="2:31" ht="47.25" customHeight="1" thickTop="1" x14ac:dyDescent="0.25">
      <c r="B5" s="934" t="s">
        <v>228</v>
      </c>
      <c r="C5" s="327" t="s">
        <v>467</v>
      </c>
      <c r="D5" s="1211" t="s">
        <v>369</v>
      </c>
      <c r="E5" s="1212"/>
      <c r="F5" s="1212"/>
      <c r="G5" s="1212"/>
      <c r="H5" s="1212"/>
      <c r="I5" s="1212"/>
      <c r="J5" s="1212"/>
      <c r="K5" s="1212"/>
      <c r="L5" s="1212"/>
      <c r="M5" s="1212"/>
      <c r="N5" s="1212"/>
      <c r="O5" s="1212"/>
      <c r="P5" s="1212"/>
      <c r="Q5" s="1213"/>
      <c r="R5" s="50"/>
      <c r="S5" s="50"/>
      <c r="T5" s="50"/>
      <c r="U5" s="50"/>
      <c r="V5" s="50"/>
      <c r="W5" s="50"/>
      <c r="X5" s="50"/>
      <c r="Y5" s="50"/>
      <c r="Z5" s="50"/>
    </row>
    <row r="6" spans="2:31" ht="15.75" thickBot="1" x14ac:dyDescent="0.3">
      <c r="B6" s="239" t="s">
        <v>108</v>
      </c>
      <c r="C6" s="328">
        <f>IF(OR(F3=0,F3=""),"",F3-1)</f>
        <v>2015</v>
      </c>
      <c r="D6" s="238"/>
      <c r="E6" s="238" t="s">
        <v>0</v>
      </c>
      <c r="F6" s="238" t="s">
        <v>1</v>
      </c>
      <c r="G6" s="238" t="s">
        <v>2</v>
      </c>
      <c r="H6" s="238" t="s">
        <v>3</v>
      </c>
      <c r="I6" s="238" t="s">
        <v>4</v>
      </c>
      <c r="J6" s="238" t="s">
        <v>5</v>
      </c>
      <c r="K6" s="238" t="s">
        <v>6</v>
      </c>
      <c r="L6" s="238" t="s">
        <v>7</v>
      </c>
      <c r="M6" s="238" t="s">
        <v>8</v>
      </c>
      <c r="N6" s="238" t="s">
        <v>9</v>
      </c>
      <c r="O6" s="238" t="s">
        <v>10</v>
      </c>
      <c r="P6" s="238" t="s">
        <v>11</v>
      </c>
      <c r="Q6" s="241" t="s">
        <v>17</v>
      </c>
      <c r="S6" s="50"/>
      <c r="T6" s="50"/>
      <c r="U6" s="50"/>
      <c r="V6" s="50"/>
      <c r="W6" s="50"/>
      <c r="X6" s="50"/>
      <c r="Y6" s="50"/>
      <c r="Z6" s="50"/>
    </row>
    <row r="7" spans="2:31" ht="15.75" thickTop="1" x14ac:dyDescent="0.25">
      <c r="B7" s="1207" t="s">
        <v>225</v>
      </c>
      <c r="C7" s="413"/>
      <c r="D7" s="329" t="s">
        <v>15</v>
      </c>
      <c r="E7" s="315"/>
      <c r="F7" s="315"/>
      <c r="G7" s="315"/>
      <c r="H7" s="315"/>
      <c r="I7" s="315"/>
      <c r="J7" s="315"/>
      <c r="K7" s="315"/>
      <c r="L7" s="315"/>
      <c r="M7" s="315"/>
      <c r="N7" s="315"/>
      <c r="O7" s="315"/>
      <c r="P7" s="315"/>
      <c r="Q7" s="330">
        <f>SUM(C7:P7)</f>
        <v>0</v>
      </c>
      <c r="R7" s="50"/>
      <c r="S7" s="50"/>
      <c r="T7" s="50"/>
      <c r="U7" s="50"/>
      <c r="V7" s="50"/>
      <c r="W7" s="50"/>
      <c r="X7" s="50"/>
      <c r="Y7" s="50"/>
      <c r="Z7" s="50"/>
    </row>
    <row r="8" spans="2:31" x14ac:dyDescent="0.25">
      <c r="B8" s="1208"/>
      <c r="C8" s="314"/>
      <c r="D8" s="838" t="s">
        <v>466</v>
      </c>
      <c r="E8" s="313"/>
      <c r="F8" s="313"/>
      <c r="G8" s="313"/>
      <c r="H8" s="313"/>
      <c r="I8" s="313"/>
      <c r="J8" s="313"/>
      <c r="K8" s="313"/>
      <c r="L8" s="313"/>
      <c r="M8" s="313"/>
      <c r="N8" s="313"/>
      <c r="O8" s="313"/>
      <c r="P8" s="313"/>
      <c r="Q8" s="332">
        <f>SUM(C8:P8)</f>
        <v>0</v>
      </c>
      <c r="R8" s="50"/>
      <c r="S8" s="50"/>
      <c r="T8" s="50"/>
      <c r="U8" s="50"/>
      <c r="V8" s="50"/>
      <c r="W8" s="50"/>
      <c r="X8" s="50"/>
      <c r="Y8" s="50"/>
      <c r="Z8" s="50"/>
    </row>
    <row r="9" spans="2:31" x14ac:dyDescent="0.25">
      <c r="B9" s="1209"/>
      <c r="C9" s="314"/>
      <c r="D9" s="331" t="s">
        <v>113</v>
      </c>
      <c r="E9" s="314"/>
      <c r="F9" s="314"/>
      <c r="G9" s="314"/>
      <c r="H9" s="314"/>
      <c r="I9" s="314"/>
      <c r="J9" s="314"/>
      <c r="K9" s="314"/>
      <c r="L9" s="314"/>
      <c r="M9" s="314"/>
      <c r="N9" s="314"/>
      <c r="O9" s="314"/>
      <c r="P9" s="314"/>
      <c r="Q9" s="332">
        <f>IF(Q7=0,0,Q10/Q7)</f>
        <v>0</v>
      </c>
      <c r="R9" s="50"/>
      <c r="S9" s="50"/>
      <c r="T9" s="50"/>
      <c r="U9" s="50"/>
      <c r="V9" s="50"/>
      <c r="W9" s="50"/>
      <c r="X9" s="50"/>
      <c r="Y9" s="228"/>
      <c r="Z9" s="228"/>
      <c r="AA9" s="228"/>
      <c r="AB9" s="224"/>
      <c r="AC9" s="228"/>
      <c r="AD9" s="224"/>
      <c r="AE9" s="224"/>
    </row>
    <row r="10" spans="2:31" ht="15.75" thickBot="1" x14ac:dyDescent="0.3">
      <c r="B10" s="1210"/>
      <c r="C10" s="334">
        <f>C7*C9</f>
        <v>0</v>
      </c>
      <c r="D10" s="333" t="s">
        <v>16</v>
      </c>
      <c r="E10" s="255">
        <f t="shared" ref="E10:P10" si="0">E7*E9</f>
        <v>0</v>
      </c>
      <c r="F10" s="255">
        <f t="shared" si="0"/>
        <v>0</v>
      </c>
      <c r="G10" s="255">
        <f t="shared" si="0"/>
        <v>0</v>
      </c>
      <c r="H10" s="255">
        <f t="shared" si="0"/>
        <v>0</v>
      </c>
      <c r="I10" s="255">
        <f t="shared" si="0"/>
        <v>0</v>
      </c>
      <c r="J10" s="255">
        <f t="shared" si="0"/>
        <v>0</v>
      </c>
      <c r="K10" s="255">
        <f t="shared" si="0"/>
        <v>0</v>
      </c>
      <c r="L10" s="255">
        <f t="shared" si="0"/>
        <v>0</v>
      </c>
      <c r="M10" s="255">
        <f t="shared" si="0"/>
        <v>0</v>
      </c>
      <c r="N10" s="255">
        <f t="shared" si="0"/>
        <v>0</v>
      </c>
      <c r="O10" s="255">
        <f t="shared" si="0"/>
        <v>0</v>
      </c>
      <c r="P10" s="255">
        <f t="shared" si="0"/>
        <v>0</v>
      </c>
      <c r="Q10" s="335">
        <f>SUM(C10:P10)</f>
        <v>0</v>
      </c>
      <c r="R10" s="50"/>
      <c r="S10" s="50"/>
      <c r="T10" s="50"/>
      <c r="U10" s="50"/>
      <c r="V10" s="50"/>
      <c r="W10" s="50"/>
      <c r="X10" s="50"/>
      <c r="Y10" s="228"/>
      <c r="Z10" s="228"/>
      <c r="AA10" s="228"/>
      <c r="AB10" s="224"/>
      <c r="AC10" s="228"/>
      <c r="AD10" s="224"/>
      <c r="AE10" s="224"/>
    </row>
    <row r="11" spans="2:31" ht="15.75" thickTop="1" x14ac:dyDescent="0.25">
      <c r="B11" s="1166" t="s">
        <v>13</v>
      </c>
      <c r="C11" s="313">
        <v>137</v>
      </c>
      <c r="D11" s="336" t="s">
        <v>15</v>
      </c>
      <c r="E11" s="313"/>
      <c r="F11" s="313"/>
      <c r="G11" s="313">
        <v>100</v>
      </c>
      <c r="H11" s="313"/>
      <c r="I11" s="313"/>
      <c r="J11" s="313"/>
      <c r="K11" s="313">
        <f>25+48</f>
        <v>73</v>
      </c>
      <c r="L11" s="313">
        <v>31</v>
      </c>
      <c r="M11" s="313"/>
      <c r="N11" s="313"/>
      <c r="O11" s="313"/>
      <c r="P11" s="313"/>
      <c r="Q11" s="251">
        <f>SUM(C11:P11)</f>
        <v>341</v>
      </c>
      <c r="R11" s="50"/>
      <c r="S11" s="50"/>
      <c r="T11" s="50"/>
      <c r="U11" s="50"/>
      <c r="V11" s="50"/>
      <c r="W11" s="50"/>
      <c r="X11" s="50"/>
      <c r="Y11" s="228"/>
      <c r="Z11" s="228"/>
      <c r="AA11" s="228"/>
      <c r="AB11" s="224"/>
      <c r="AC11" s="228"/>
      <c r="AD11" s="224"/>
      <c r="AE11" s="224"/>
    </row>
    <row r="12" spans="2:31" x14ac:dyDescent="0.25">
      <c r="B12" s="1166"/>
      <c r="C12" s="314">
        <v>323</v>
      </c>
      <c r="D12" s="838" t="s">
        <v>466</v>
      </c>
      <c r="E12" s="313"/>
      <c r="F12" s="313"/>
      <c r="G12" s="313">
        <v>216</v>
      </c>
      <c r="H12" s="313"/>
      <c r="I12" s="313"/>
      <c r="J12" s="313"/>
      <c r="K12" s="313">
        <f>(212+255)/2</f>
        <v>233.5</v>
      </c>
      <c r="L12" s="313">
        <v>228</v>
      </c>
      <c r="M12" s="313"/>
      <c r="N12" s="313"/>
      <c r="O12" s="313"/>
      <c r="P12" s="313"/>
      <c r="Q12" s="332">
        <f>SUM(C12:P12)</f>
        <v>1000.5</v>
      </c>
      <c r="R12" s="50"/>
      <c r="S12" s="50"/>
      <c r="T12" s="50"/>
      <c r="U12" s="50"/>
      <c r="V12" s="50"/>
      <c r="W12" s="50"/>
      <c r="X12" s="50"/>
      <c r="Y12" s="228"/>
      <c r="Z12" s="228"/>
      <c r="AA12" s="228"/>
      <c r="AB12" s="224"/>
      <c r="AC12" s="228"/>
      <c r="AD12" s="224"/>
      <c r="AE12" s="224"/>
    </row>
    <row r="13" spans="2:31" x14ac:dyDescent="0.25">
      <c r="B13" s="1167"/>
      <c r="C13" s="314">
        <v>2000</v>
      </c>
      <c r="D13" s="331" t="s">
        <v>113</v>
      </c>
      <c r="E13" s="314"/>
      <c r="F13" s="314"/>
      <c r="G13" s="314">
        <v>1800</v>
      </c>
      <c r="H13" s="314"/>
      <c r="I13" s="314"/>
      <c r="J13" s="314"/>
      <c r="K13" s="314">
        <f>(1540+1550)/2</f>
        <v>1545</v>
      </c>
      <c r="L13" s="314">
        <v>1350</v>
      </c>
      <c r="M13" s="314"/>
      <c r="N13" s="314"/>
      <c r="O13" s="314"/>
      <c r="P13" s="314"/>
      <c r="Q13" s="253">
        <f>IF(Q11=0,0,Q14/Q11)</f>
        <v>1784.8533724340175</v>
      </c>
      <c r="R13" s="50"/>
      <c r="S13" s="50"/>
      <c r="T13" s="50"/>
      <c r="U13" s="50"/>
      <c r="V13" s="50"/>
      <c r="W13" s="50"/>
      <c r="X13" s="50"/>
      <c r="Y13" s="228"/>
      <c r="Z13" s="228"/>
      <c r="AA13" s="300"/>
      <c r="AB13" s="224"/>
      <c r="AC13" s="300"/>
      <c r="AD13" s="224"/>
      <c r="AE13" s="224"/>
    </row>
    <row r="14" spans="2:31" ht="15.75" thickBot="1" x14ac:dyDescent="0.3">
      <c r="B14" s="1168"/>
      <c r="C14" s="338">
        <f>C11*C13</f>
        <v>274000</v>
      </c>
      <c r="D14" s="337" t="s">
        <v>16</v>
      </c>
      <c r="E14" s="258">
        <f t="shared" ref="E14:P14" si="1">E11*E13</f>
        <v>0</v>
      </c>
      <c r="F14" s="258">
        <f t="shared" si="1"/>
        <v>0</v>
      </c>
      <c r="G14" s="258">
        <f t="shared" si="1"/>
        <v>180000</v>
      </c>
      <c r="H14" s="258">
        <f t="shared" si="1"/>
        <v>0</v>
      </c>
      <c r="I14" s="258">
        <f t="shared" si="1"/>
        <v>0</v>
      </c>
      <c r="J14" s="258">
        <f t="shared" si="1"/>
        <v>0</v>
      </c>
      <c r="K14" s="258">
        <f t="shared" si="1"/>
        <v>112785</v>
      </c>
      <c r="L14" s="258">
        <f t="shared" si="1"/>
        <v>41850</v>
      </c>
      <c r="M14" s="258">
        <f t="shared" si="1"/>
        <v>0</v>
      </c>
      <c r="N14" s="258">
        <f t="shared" si="1"/>
        <v>0</v>
      </c>
      <c r="O14" s="258">
        <f t="shared" si="1"/>
        <v>0</v>
      </c>
      <c r="P14" s="258">
        <f t="shared" si="1"/>
        <v>0</v>
      </c>
      <c r="Q14" s="259">
        <f>SUM(C14:P14)</f>
        <v>608635</v>
      </c>
      <c r="R14" s="50"/>
      <c r="S14" s="50"/>
      <c r="T14" s="50"/>
      <c r="U14" s="50"/>
      <c r="V14" s="50"/>
      <c r="W14" s="50"/>
      <c r="X14" s="50"/>
      <c r="Y14" s="228"/>
      <c r="Z14" s="228"/>
      <c r="AA14" s="228"/>
      <c r="AB14" s="228"/>
      <c r="AC14" s="228"/>
      <c r="AD14" s="224"/>
      <c r="AE14" s="224"/>
    </row>
    <row r="15" spans="2:31" ht="15.75" thickTop="1" x14ac:dyDescent="0.25">
      <c r="B15" s="1207" t="s">
        <v>14</v>
      </c>
      <c r="C15" s="315"/>
      <c r="D15" s="339" t="s">
        <v>15</v>
      </c>
      <c r="E15" s="315"/>
      <c r="F15" s="315"/>
      <c r="G15" s="315"/>
      <c r="H15" s="315"/>
      <c r="I15" s="315"/>
      <c r="J15" s="315"/>
      <c r="K15" s="315"/>
      <c r="L15" s="315"/>
      <c r="M15" s="315"/>
      <c r="N15" s="315"/>
      <c r="O15" s="315"/>
      <c r="P15" s="315"/>
      <c r="Q15" s="330">
        <f>SUM(C15:P15)</f>
        <v>0</v>
      </c>
      <c r="R15" s="50"/>
      <c r="S15" s="50"/>
      <c r="T15" s="50"/>
      <c r="U15" s="50"/>
      <c r="V15" s="228"/>
      <c r="W15" s="50"/>
      <c r="X15" s="50"/>
      <c r="Y15" s="228"/>
      <c r="Z15" s="228"/>
      <c r="AA15" s="228"/>
      <c r="AB15" s="228"/>
      <c r="AC15" s="228"/>
      <c r="AD15" s="224"/>
      <c r="AE15" s="224"/>
    </row>
    <row r="16" spans="2:31" x14ac:dyDescent="0.25">
      <c r="B16" s="1208"/>
      <c r="C16" s="314"/>
      <c r="D16" s="838" t="s">
        <v>466</v>
      </c>
      <c r="E16" s="313"/>
      <c r="F16" s="313"/>
      <c r="G16" s="313"/>
      <c r="H16" s="313"/>
      <c r="I16" s="313"/>
      <c r="J16" s="313"/>
      <c r="K16" s="313"/>
      <c r="L16" s="313"/>
      <c r="M16" s="313"/>
      <c r="N16" s="313"/>
      <c r="O16" s="313"/>
      <c r="P16" s="313"/>
      <c r="Q16" s="332">
        <f>SUM(C16:P16)</f>
        <v>0</v>
      </c>
      <c r="R16" s="50"/>
      <c r="S16" s="50"/>
      <c r="T16" s="50"/>
      <c r="U16" s="50"/>
      <c r="V16" s="228"/>
      <c r="W16" s="50"/>
      <c r="X16" s="50"/>
      <c r="Y16" s="228"/>
      <c r="Z16" s="228"/>
      <c r="AA16" s="228"/>
      <c r="AB16" s="228"/>
      <c r="AC16" s="228"/>
      <c r="AD16" s="224"/>
      <c r="AE16" s="224"/>
    </row>
    <row r="17" spans="2:30" x14ac:dyDescent="0.25">
      <c r="B17" s="1209"/>
      <c r="C17" s="314"/>
      <c r="D17" s="331" t="s">
        <v>113</v>
      </c>
      <c r="E17" s="314"/>
      <c r="F17" s="314"/>
      <c r="G17" s="314"/>
      <c r="H17" s="314"/>
      <c r="I17" s="314"/>
      <c r="J17" s="314"/>
      <c r="K17" s="314"/>
      <c r="L17" s="314"/>
      <c r="M17" s="314"/>
      <c r="N17" s="314"/>
      <c r="O17" s="314"/>
      <c r="P17" s="314"/>
      <c r="Q17" s="332">
        <f>IF(Q15=0,0,Q18/Q15)</f>
        <v>0</v>
      </c>
      <c r="R17" s="50"/>
      <c r="S17" s="50"/>
      <c r="T17" s="50"/>
      <c r="U17" s="50"/>
      <c r="V17" s="50"/>
      <c r="W17" s="50"/>
      <c r="X17" s="50"/>
      <c r="Y17" s="50"/>
      <c r="Z17" s="50"/>
    </row>
    <row r="18" spans="2:30" ht="15.75" thickBot="1" x14ac:dyDescent="0.3">
      <c r="B18" s="1210"/>
      <c r="C18" s="334">
        <f>C15*C17</f>
        <v>0</v>
      </c>
      <c r="D18" s="333" t="s">
        <v>16</v>
      </c>
      <c r="E18" s="255">
        <f t="shared" ref="E18:P18" si="2">E15*E17</f>
        <v>0</v>
      </c>
      <c r="F18" s="255">
        <f t="shared" si="2"/>
        <v>0</v>
      </c>
      <c r="G18" s="255">
        <f t="shared" si="2"/>
        <v>0</v>
      </c>
      <c r="H18" s="255">
        <f t="shared" si="2"/>
        <v>0</v>
      </c>
      <c r="I18" s="255">
        <f t="shared" si="2"/>
        <v>0</v>
      </c>
      <c r="J18" s="255">
        <f t="shared" si="2"/>
        <v>0</v>
      </c>
      <c r="K18" s="255">
        <f t="shared" si="2"/>
        <v>0</v>
      </c>
      <c r="L18" s="255">
        <f t="shared" si="2"/>
        <v>0</v>
      </c>
      <c r="M18" s="255">
        <f t="shared" si="2"/>
        <v>0</v>
      </c>
      <c r="N18" s="255">
        <f t="shared" si="2"/>
        <v>0</v>
      </c>
      <c r="O18" s="255">
        <f t="shared" si="2"/>
        <v>0</v>
      </c>
      <c r="P18" s="255">
        <f t="shared" si="2"/>
        <v>0</v>
      </c>
      <c r="Q18" s="335">
        <f>SUM(C18:P18)</f>
        <v>0</v>
      </c>
      <c r="R18" s="50"/>
      <c r="S18" s="50"/>
      <c r="T18" s="50"/>
      <c r="U18" s="50"/>
      <c r="V18" s="50"/>
      <c r="W18" s="50"/>
      <c r="X18" s="50"/>
      <c r="Y18" s="50"/>
      <c r="Z18" s="50"/>
    </row>
    <row r="19" spans="2:30" ht="15.75" thickTop="1" x14ac:dyDescent="0.25">
      <c r="B19" s="1166" t="s">
        <v>105</v>
      </c>
      <c r="C19" s="313"/>
      <c r="D19" s="336" t="s">
        <v>15</v>
      </c>
      <c r="E19" s="313"/>
      <c r="F19" s="313"/>
      <c r="G19" s="313"/>
      <c r="H19" s="313"/>
      <c r="I19" s="313"/>
      <c r="J19" s="313"/>
      <c r="K19" s="313"/>
      <c r="L19" s="313"/>
      <c r="M19" s="313"/>
      <c r="N19" s="313"/>
      <c r="O19" s="313"/>
      <c r="P19" s="313"/>
      <c r="Q19" s="251">
        <f>SUM(C19:P19)</f>
        <v>0</v>
      </c>
      <c r="R19" s="50"/>
      <c r="S19" s="50"/>
      <c r="T19" s="50"/>
      <c r="U19" s="50"/>
      <c r="V19" s="50"/>
      <c r="W19" s="50"/>
      <c r="X19" s="50"/>
      <c r="Y19" s="50"/>
      <c r="Z19" s="50"/>
    </row>
    <row r="20" spans="2:30" x14ac:dyDescent="0.25">
      <c r="B20" s="1166"/>
      <c r="C20" s="314"/>
      <c r="D20" s="838" t="s">
        <v>466</v>
      </c>
      <c r="E20" s="313"/>
      <c r="F20" s="313"/>
      <c r="G20" s="313"/>
      <c r="H20" s="313"/>
      <c r="I20" s="313"/>
      <c r="J20" s="313"/>
      <c r="K20" s="313"/>
      <c r="L20" s="313"/>
      <c r="M20" s="313"/>
      <c r="N20" s="313"/>
      <c r="O20" s="313"/>
      <c r="P20" s="313"/>
      <c r="Q20" s="332">
        <f>SUM(C20:P20)</f>
        <v>0</v>
      </c>
      <c r="R20" s="50"/>
      <c r="S20" s="50"/>
      <c r="T20" s="50"/>
      <c r="U20" s="50"/>
      <c r="V20" s="50"/>
      <c r="W20" s="50"/>
      <c r="X20" s="50"/>
      <c r="Y20" s="50"/>
      <c r="Z20" s="50"/>
    </row>
    <row r="21" spans="2:30" x14ac:dyDescent="0.25">
      <c r="B21" s="1167"/>
      <c r="C21" s="314"/>
      <c r="D21" s="331" t="s">
        <v>113</v>
      </c>
      <c r="E21" s="314"/>
      <c r="F21" s="314"/>
      <c r="G21" s="314"/>
      <c r="H21" s="314"/>
      <c r="I21" s="314"/>
      <c r="J21" s="314"/>
      <c r="K21" s="314"/>
      <c r="L21" s="314"/>
      <c r="M21" s="314"/>
      <c r="N21" s="314"/>
      <c r="O21" s="314"/>
      <c r="P21" s="314"/>
      <c r="Q21" s="253">
        <f>IF(Q19=0,0,Q22/Q19)</f>
        <v>0</v>
      </c>
      <c r="R21" s="50"/>
      <c r="S21" s="50"/>
      <c r="T21" s="50"/>
      <c r="U21" s="50"/>
      <c r="V21" s="50"/>
      <c r="W21" s="50"/>
      <c r="X21" s="50"/>
      <c r="Y21" s="50"/>
      <c r="Z21" s="50"/>
    </row>
    <row r="22" spans="2:30" ht="15.75" thickBot="1" x14ac:dyDescent="0.3">
      <c r="B22" s="1168"/>
      <c r="C22" s="338">
        <f>C19*C21</f>
        <v>0</v>
      </c>
      <c r="D22" s="337" t="s">
        <v>16</v>
      </c>
      <c r="E22" s="258">
        <f t="shared" ref="E22:P22" si="3">E19*E21</f>
        <v>0</v>
      </c>
      <c r="F22" s="258">
        <f t="shared" si="3"/>
        <v>0</v>
      </c>
      <c r="G22" s="258">
        <f t="shared" si="3"/>
        <v>0</v>
      </c>
      <c r="H22" s="258">
        <f t="shared" si="3"/>
        <v>0</v>
      </c>
      <c r="I22" s="258">
        <f t="shared" si="3"/>
        <v>0</v>
      </c>
      <c r="J22" s="258">
        <f t="shared" si="3"/>
        <v>0</v>
      </c>
      <c r="K22" s="258">
        <f t="shared" si="3"/>
        <v>0</v>
      </c>
      <c r="L22" s="258">
        <f t="shared" si="3"/>
        <v>0</v>
      </c>
      <c r="M22" s="258">
        <f t="shared" si="3"/>
        <v>0</v>
      </c>
      <c r="N22" s="258">
        <f t="shared" si="3"/>
        <v>0</v>
      </c>
      <c r="O22" s="258">
        <f t="shared" si="3"/>
        <v>0</v>
      </c>
      <c r="P22" s="258">
        <f t="shared" si="3"/>
        <v>0</v>
      </c>
      <c r="Q22" s="259">
        <f>SUM(C22:P22)</f>
        <v>0</v>
      </c>
      <c r="R22" s="50"/>
      <c r="S22" s="50"/>
      <c r="T22" s="50"/>
      <c r="U22" s="50"/>
      <c r="V22" s="50"/>
      <c r="W22" s="50"/>
      <c r="X22" s="50"/>
      <c r="Y22" s="50"/>
      <c r="Z22" s="50"/>
    </row>
    <row r="23" spans="2:30" ht="15.75" thickTop="1" x14ac:dyDescent="0.25">
      <c r="B23" s="1207" t="s">
        <v>106</v>
      </c>
      <c r="C23" s="315">
        <v>1</v>
      </c>
      <c r="D23" s="339" t="s">
        <v>15</v>
      </c>
      <c r="E23" s="315"/>
      <c r="F23" s="315"/>
      <c r="G23" s="315"/>
      <c r="H23" s="315"/>
      <c r="I23" s="315"/>
      <c r="J23" s="315"/>
      <c r="K23" s="315"/>
      <c r="L23" s="315"/>
      <c r="M23" s="315"/>
      <c r="N23" s="315"/>
      <c r="O23" s="315"/>
      <c r="P23" s="315"/>
      <c r="Q23" s="330">
        <f>SUM(C23:P23)</f>
        <v>1</v>
      </c>
      <c r="R23" s="50"/>
      <c r="S23" s="50"/>
      <c r="T23" s="50"/>
      <c r="U23" s="50"/>
      <c r="V23" s="50"/>
      <c r="W23" s="50"/>
      <c r="X23" s="50"/>
      <c r="Y23" s="50"/>
      <c r="Z23" s="50"/>
    </row>
    <row r="24" spans="2:30" x14ac:dyDescent="0.25">
      <c r="B24" s="1208"/>
      <c r="C24" s="314">
        <v>600</v>
      </c>
      <c r="D24" s="838" t="s">
        <v>466</v>
      </c>
      <c r="E24" s="313"/>
      <c r="F24" s="313"/>
      <c r="G24" s="313"/>
      <c r="H24" s="313"/>
      <c r="I24" s="313"/>
      <c r="J24" s="313"/>
      <c r="K24" s="313"/>
      <c r="L24" s="313"/>
      <c r="M24" s="313"/>
      <c r="N24" s="313"/>
      <c r="O24" s="313"/>
      <c r="P24" s="313"/>
      <c r="Q24" s="332">
        <f>SUM(C24:P24)</f>
        <v>600</v>
      </c>
      <c r="R24" s="50"/>
      <c r="S24" s="50"/>
      <c r="T24" s="50"/>
      <c r="U24" s="50"/>
      <c r="V24" s="50"/>
      <c r="W24" s="50"/>
      <c r="X24" s="50"/>
      <c r="Y24" s="50"/>
      <c r="Z24" s="50"/>
    </row>
    <row r="25" spans="2:30" x14ac:dyDescent="0.25">
      <c r="B25" s="1209"/>
      <c r="C25" s="314">
        <v>4500</v>
      </c>
      <c r="D25" s="331" t="s">
        <v>113</v>
      </c>
      <c r="E25" s="314"/>
      <c r="F25" s="314"/>
      <c r="G25" s="314"/>
      <c r="H25" s="314"/>
      <c r="I25" s="314"/>
      <c r="J25" s="314"/>
      <c r="K25" s="314"/>
      <c r="L25" s="314"/>
      <c r="M25" s="314"/>
      <c r="N25" s="314"/>
      <c r="O25" s="314"/>
      <c r="P25" s="314"/>
      <c r="Q25" s="332">
        <f>IF(Q23=0,0,Q26/Q23)</f>
        <v>4500</v>
      </c>
      <c r="R25" s="50"/>
      <c r="S25" s="50"/>
      <c r="T25" s="50"/>
      <c r="U25" s="50"/>
      <c r="V25" s="50"/>
      <c r="W25" s="50"/>
      <c r="X25" s="50"/>
      <c r="Y25" s="50"/>
      <c r="Z25" s="50"/>
    </row>
    <row r="26" spans="2:30" ht="15.75" thickBot="1" x14ac:dyDescent="0.3">
      <c r="B26" s="1210"/>
      <c r="C26" s="334">
        <f>C23*C25</f>
        <v>4500</v>
      </c>
      <c r="D26" s="333" t="s">
        <v>16</v>
      </c>
      <c r="E26" s="255">
        <f t="shared" ref="E26:P26" si="4">E23*E25</f>
        <v>0</v>
      </c>
      <c r="F26" s="255">
        <f t="shared" si="4"/>
        <v>0</v>
      </c>
      <c r="G26" s="255">
        <f t="shared" si="4"/>
        <v>0</v>
      </c>
      <c r="H26" s="255">
        <f t="shared" si="4"/>
        <v>0</v>
      </c>
      <c r="I26" s="255">
        <f t="shared" si="4"/>
        <v>0</v>
      </c>
      <c r="J26" s="255">
        <f t="shared" si="4"/>
        <v>0</v>
      </c>
      <c r="K26" s="255">
        <f t="shared" si="4"/>
        <v>0</v>
      </c>
      <c r="L26" s="255">
        <f t="shared" si="4"/>
        <v>0</v>
      </c>
      <c r="M26" s="255">
        <f t="shared" si="4"/>
        <v>0</v>
      </c>
      <c r="N26" s="255">
        <f t="shared" si="4"/>
        <v>0</v>
      </c>
      <c r="O26" s="255">
        <f t="shared" si="4"/>
        <v>0</v>
      </c>
      <c r="P26" s="255">
        <f t="shared" si="4"/>
        <v>0</v>
      </c>
      <c r="Q26" s="335">
        <f>SUM(C26:P26)</f>
        <v>4500</v>
      </c>
      <c r="R26" s="50"/>
      <c r="S26" s="340"/>
      <c r="T26" s="340"/>
      <c r="U26" s="50"/>
      <c r="V26" s="50"/>
      <c r="W26" s="50"/>
      <c r="X26" s="50"/>
      <c r="Y26" s="50"/>
      <c r="Z26" s="224"/>
      <c r="AA26" s="224"/>
      <c r="AB26" s="224"/>
      <c r="AC26" s="224"/>
      <c r="AD26" s="224"/>
    </row>
    <row r="27" spans="2:30" s="266" customFormat="1" ht="16.5" thickTop="1" thickBot="1" x14ac:dyDescent="0.3">
      <c r="B27" s="341" t="s">
        <v>17</v>
      </c>
      <c r="C27" s="343">
        <f>SUM(C10,C14,C18,C22,C26)</f>
        <v>278500</v>
      </c>
      <c r="D27" s="342" t="s">
        <v>47</v>
      </c>
      <c r="E27" s="343">
        <f t="shared" ref="E27:Q27" si="5">SUM(E10,E14,E18,E22,E26)</f>
        <v>0</v>
      </c>
      <c r="F27" s="343">
        <f t="shared" si="5"/>
        <v>0</v>
      </c>
      <c r="G27" s="343">
        <f t="shared" si="5"/>
        <v>180000</v>
      </c>
      <c r="H27" s="343">
        <f t="shared" si="5"/>
        <v>0</v>
      </c>
      <c r="I27" s="343">
        <f t="shared" si="5"/>
        <v>0</v>
      </c>
      <c r="J27" s="343">
        <f t="shared" si="5"/>
        <v>0</v>
      </c>
      <c r="K27" s="343">
        <f t="shared" si="5"/>
        <v>112785</v>
      </c>
      <c r="L27" s="343">
        <f t="shared" si="5"/>
        <v>41850</v>
      </c>
      <c r="M27" s="343">
        <f t="shared" si="5"/>
        <v>0</v>
      </c>
      <c r="N27" s="343">
        <f t="shared" si="5"/>
        <v>0</v>
      </c>
      <c r="O27" s="343">
        <f t="shared" si="5"/>
        <v>0</v>
      </c>
      <c r="P27" s="343">
        <f t="shared" si="5"/>
        <v>0</v>
      </c>
      <c r="Q27" s="344">
        <f t="shared" si="5"/>
        <v>613135</v>
      </c>
      <c r="S27" s="345"/>
      <c r="T27" s="345"/>
      <c r="Z27" s="271"/>
      <c r="AA27" s="271"/>
      <c r="AB27" s="271"/>
      <c r="AC27" s="271"/>
      <c r="AD27" s="271"/>
    </row>
    <row r="28" spans="2:30" ht="9" customHeight="1" thickTop="1" thickBot="1" x14ac:dyDescent="0.3"/>
    <row r="29" spans="2:30" ht="17.25" customHeight="1" thickTop="1" x14ac:dyDescent="0.25">
      <c r="B29" s="346" t="s">
        <v>124</v>
      </c>
      <c r="C29" s="347"/>
      <c r="D29" s="348"/>
      <c r="E29" s="348"/>
      <c r="F29" s="348"/>
      <c r="G29" s="348"/>
      <c r="H29" s="348"/>
      <c r="I29" s="348"/>
      <c r="J29" s="348"/>
      <c r="K29" s="348"/>
      <c r="L29" s="348"/>
      <c r="M29" s="348"/>
      <c r="N29" s="348"/>
      <c r="O29" s="348"/>
      <c r="P29" s="348"/>
      <c r="Q29" s="349"/>
      <c r="R29" s="350"/>
      <c r="S29" s="1218" t="s">
        <v>42</v>
      </c>
      <c r="T29" s="1219"/>
      <c r="U29" s="1219"/>
      <c r="V29" s="1219"/>
      <c r="W29" s="839" t="s">
        <v>447</v>
      </c>
      <c r="X29" s="839" t="str">
        <f>IF(INVESTIMENTOS!R24="","",INVESTIMENTOS!R24)</f>
        <v/>
      </c>
      <c r="Y29" s="839" t="s">
        <v>448</v>
      </c>
      <c r="Z29" s="818" t="str">
        <f>IF(INVESTIMENTOS!T24="","",INVESTIMENTOS!T24)</f>
        <v>x</v>
      </c>
    </row>
    <row r="30" spans="2:30" ht="15.75" thickBot="1" x14ac:dyDescent="0.3">
      <c r="B30" s="351" t="s">
        <v>101</v>
      </c>
      <c r="C30" s="352" t="s">
        <v>43</v>
      </c>
      <c r="D30" s="353" t="s">
        <v>44</v>
      </c>
      <c r="E30" s="354" t="s">
        <v>28</v>
      </c>
      <c r="F30" s="354" t="s">
        <v>29</v>
      </c>
      <c r="G30" s="354" t="s">
        <v>30</v>
      </c>
      <c r="H30" s="354" t="s">
        <v>31</v>
      </c>
      <c r="I30" s="354" t="s">
        <v>32</v>
      </c>
      <c r="J30" s="354" t="s">
        <v>33</v>
      </c>
      <c r="K30" s="354" t="s">
        <v>34</v>
      </c>
      <c r="L30" s="354" t="s">
        <v>35</v>
      </c>
      <c r="M30" s="354" t="s">
        <v>36</v>
      </c>
      <c r="N30" s="354" t="s">
        <v>37</v>
      </c>
      <c r="O30" s="354" t="s">
        <v>38</v>
      </c>
      <c r="P30" s="354" t="s">
        <v>39</v>
      </c>
      <c r="Q30" s="355" t="s">
        <v>40</v>
      </c>
      <c r="R30" s="355" t="s">
        <v>41</v>
      </c>
      <c r="S30" s="1216" t="s">
        <v>123</v>
      </c>
      <c r="T30" s="1216"/>
      <c r="U30" s="1216" t="s">
        <v>104</v>
      </c>
      <c r="V30" s="1216"/>
      <c r="W30" s="1216" t="s">
        <v>103</v>
      </c>
      <c r="X30" s="1216"/>
      <c r="Y30" s="1216" t="s">
        <v>102</v>
      </c>
      <c r="Z30" s="1217"/>
    </row>
    <row r="31" spans="2:30" ht="15.75" thickTop="1" x14ac:dyDescent="0.25">
      <c r="B31" s="356" t="s">
        <v>45</v>
      </c>
      <c r="C31" s="357" t="s">
        <v>46</v>
      </c>
      <c r="D31" s="358" t="s">
        <v>47</v>
      </c>
      <c r="E31" s="1081">
        <f>1500+1215</f>
        <v>2715</v>
      </c>
      <c r="F31" s="1081">
        <v>2715</v>
      </c>
      <c r="G31" s="1081">
        <v>2715</v>
      </c>
      <c r="H31" s="414">
        <v>1500</v>
      </c>
      <c r="I31" s="414">
        <v>1500</v>
      </c>
      <c r="J31" s="414">
        <v>1500</v>
      </c>
      <c r="K31" s="414">
        <v>1500</v>
      </c>
      <c r="L31" s="414">
        <v>1500</v>
      </c>
      <c r="M31" s="414"/>
      <c r="N31" s="414"/>
      <c r="O31" s="414"/>
      <c r="P31" s="414"/>
      <c r="Q31" s="359">
        <f t="shared" ref="Q31:Q65" si="6">IF(OR(R31=0,R31=""),0,(R31/$R$70)*100)</f>
        <v>3.0924090696829762</v>
      </c>
      <c r="R31" s="359">
        <f t="shared" ref="R31:R69" si="7">SUM(E31:P31)</f>
        <v>15645</v>
      </c>
      <c r="S31" s="360">
        <f t="shared" ref="S31:S69" si="8">IF($R31=0,0,(T31/$R31)*100)</f>
        <v>0</v>
      </c>
      <c r="T31" s="414"/>
      <c r="U31" s="360">
        <f t="shared" ref="U31:U69" si="9">IF($R31=0,0,(V31/$R31)*100)</f>
        <v>0</v>
      </c>
      <c r="V31" s="414"/>
      <c r="W31" s="360">
        <f t="shared" ref="W31:W69" si="10">IF($R31=0,0,(X31/$R31)*100)</f>
        <v>0</v>
      </c>
      <c r="X31" s="1081"/>
      <c r="Y31" s="360">
        <f t="shared" ref="Y31:Y69" si="11">IF($R31=0,0,(Z31/$R31)*100)</f>
        <v>0</v>
      </c>
      <c r="Z31" s="416"/>
      <c r="AA31" s="340"/>
      <c r="AB31" s="340"/>
      <c r="AD31" s="340"/>
    </row>
    <row r="32" spans="2:30" x14ac:dyDescent="0.25">
      <c r="B32" s="361" t="s">
        <v>48</v>
      </c>
      <c r="C32" s="362" t="s">
        <v>46</v>
      </c>
      <c r="D32" s="363" t="s">
        <v>47</v>
      </c>
      <c r="E32" s="415">
        <v>500</v>
      </c>
      <c r="F32" s="415"/>
      <c r="G32" s="415">
        <f>1200</f>
        <v>1200</v>
      </c>
      <c r="H32" s="415">
        <v>1320</v>
      </c>
      <c r="I32" s="415">
        <v>840</v>
      </c>
      <c r="J32" s="415">
        <v>480</v>
      </c>
      <c r="K32" s="415">
        <v>500</v>
      </c>
      <c r="L32" s="415"/>
      <c r="M32" s="415"/>
      <c r="N32" s="415"/>
      <c r="O32" s="415"/>
      <c r="P32" s="415"/>
      <c r="Q32" s="359">
        <f t="shared" si="6"/>
        <v>0.95668008291886264</v>
      </c>
      <c r="R32" s="364">
        <f t="shared" si="7"/>
        <v>4840</v>
      </c>
      <c r="S32" s="365">
        <f t="shared" si="8"/>
        <v>0</v>
      </c>
      <c r="T32" s="414"/>
      <c r="U32" s="365">
        <f t="shared" si="9"/>
        <v>0</v>
      </c>
      <c r="V32" s="414"/>
      <c r="W32" s="365">
        <f t="shared" si="10"/>
        <v>0</v>
      </c>
      <c r="X32" s="1081"/>
      <c r="Y32" s="365">
        <f t="shared" si="11"/>
        <v>0</v>
      </c>
      <c r="Z32" s="416"/>
      <c r="AA32" s="340"/>
      <c r="AB32" s="340"/>
    </row>
    <row r="33" spans="2:28" x14ac:dyDescent="0.25">
      <c r="B33" s="361" t="s">
        <v>49</v>
      </c>
      <c r="C33" s="362" t="s">
        <v>46</v>
      </c>
      <c r="D33" s="363" t="s">
        <v>47</v>
      </c>
      <c r="E33" s="415">
        <v>240</v>
      </c>
      <c r="F33" s="415">
        <v>240</v>
      </c>
      <c r="G33" s="415">
        <v>240</v>
      </c>
      <c r="H33" s="415">
        <v>240</v>
      </c>
      <c r="I33" s="415">
        <v>240</v>
      </c>
      <c r="J33" s="415">
        <v>240</v>
      </c>
      <c r="K33" s="415">
        <v>240</v>
      </c>
      <c r="L33" s="415">
        <v>240</v>
      </c>
      <c r="M33" s="415"/>
      <c r="N33" s="415"/>
      <c r="O33" s="415"/>
      <c r="P33" s="415"/>
      <c r="Q33" s="359">
        <f t="shared" si="6"/>
        <v>0.37950945438103639</v>
      </c>
      <c r="R33" s="364">
        <f t="shared" si="7"/>
        <v>1920</v>
      </c>
      <c r="S33" s="365">
        <f t="shared" si="8"/>
        <v>0</v>
      </c>
      <c r="T33" s="414"/>
      <c r="U33" s="365">
        <f t="shared" si="9"/>
        <v>0</v>
      </c>
      <c r="V33" s="414"/>
      <c r="W33" s="365">
        <f t="shared" si="10"/>
        <v>0</v>
      </c>
      <c r="X33" s="1081"/>
      <c r="Y33" s="365">
        <f t="shared" si="11"/>
        <v>0</v>
      </c>
      <c r="Z33" s="416"/>
      <c r="AA33" s="340"/>
      <c r="AB33" s="340"/>
    </row>
    <row r="34" spans="2:28" x14ac:dyDescent="0.25">
      <c r="B34" s="361" t="s">
        <v>50</v>
      </c>
      <c r="C34" s="362" t="s">
        <v>51</v>
      </c>
      <c r="D34" s="363" t="s">
        <v>47</v>
      </c>
      <c r="E34" s="415"/>
      <c r="F34" s="415"/>
      <c r="G34" s="415">
        <f>600+100</f>
        <v>700</v>
      </c>
      <c r="H34" s="415">
        <v>750</v>
      </c>
      <c r="I34" s="415"/>
      <c r="J34" s="415">
        <v>880</v>
      </c>
      <c r="K34" s="415"/>
      <c r="L34" s="415"/>
      <c r="M34" s="415"/>
      <c r="N34" s="415"/>
      <c r="O34" s="415"/>
      <c r="P34" s="415"/>
      <c r="Q34" s="359">
        <f t="shared" si="6"/>
        <v>0.46055053578532024</v>
      </c>
      <c r="R34" s="364">
        <f t="shared" si="7"/>
        <v>2330</v>
      </c>
      <c r="S34" s="365">
        <f t="shared" si="8"/>
        <v>0</v>
      </c>
      <c r="T34" s="414"/>
      <c r="U34" s="365">
        <f t="shared" si="9"/>
        <v>0</v>
      </c>
      <c r="V34" s="414"/>
      <c r="W34" s="365">
        <f t="shared" si="10"/>
        <v>0</v>
      </c>
      <c r="X34" s="1081"/>
      <c r="Y34" s="365">
        <f t="shared" si="11"/>
        <v>0</v>
      </c>
      <c r="Z34" s="416"/>
      <c r="AA34" s="340"/>
      <c r="AB34" s="340"/>
    </row>
    <row r="35" spans="2:28" x14ac:dyDescent="0.25">
      <c r="B35" s="361" t="s">
        <v>52</v>
      </c>
      <c r="C35" s="362" t="s">
        <v>53</v>
      </c>
      <c r="D35" s="363" t="s">
        <v>47</v>
      </c>
      <c r="E35" s="415"/>
      <c r="F35" s="415"/>
      <c r="G35" s="415">
        <v>310</v>
      </c>
      <c r="H35" s="415"/>
      <c r="I35" s="415"/>
      <c r="J35" s="415"/>
      <c r="K35" s="415"/>
      <c r="L35" s="415"/>
      <c r="M35" s="415"/>
      <c r="N35" s="415"/>
      <c r="O35" s="415"/>
      <c r="P35" s="415"/>
      <c r="Q35" s="359">
        <f t="shared" si="6"/>
        <v>6.1274963988604832E-2</v>
      </c>
      <c r="R35" s="364">
        <f t="shared" si="7"/>
        <v>310</v>
      </c>
      <c r="S35" s="365">
        <f t="shared" si="8"/>
        <v>0</v>
      </c>
      <c r="T35" s="414"/>
      <c r="U35" s="365">
        <f t="shared" si="9"/>
        <v>0</v>
      </c>
      <c r="V35" s="414"/>
      <c r="W35" s="365">
        <f t="shared" si="10"/>
        <v>0</v>
      </c>
      <c r="X35" s="1081"/>
      <c r="Y35" s="365">
        <f t="shared" si="11"/>
        <v>0</v>
      </c>
      <c r="Z35" s="416"/>
      <c r="AA35" s="340"/>
      <c r="AB35" s="340"/>
    </row>
    <row r="36" spans="2:28" x14ac:dyDescent="0.25">
      <c r="B36" s="361" t="s">
        <v>54</v>
      </c>
      <c r="C36" s="362" t="s">
        <v>53</v>
      </c>
      <c r="D36" s="363" t="s">
        <v>47</v>
      </c>
      <c r="E36" s="415"/>
      <c r="F36" s="415"/>
      <c r="G36" s="415"/>
      <c r="H36" s="415"/>
      <c r="I36" s="415"/>
      <c r="J36" s="415"/>
      <c r="K36" s="415"/>
      <c r="L36" s="415"/>
      <c r="M36" s="415"/>
      <c r="N36" s="415"/>
      <c r="O36" s="415"/>
      <c r="P36" s="415"/>
      <c r="Q36" s="359">
        <f t="shared" si="6"/>
        <v>0</v>
      </c>
      <c r="R36" s="364">
        <f t="shared" si="7"/>
        <v>0</v>
      </c>
      <c r="S36" s="365">
        <f t="shared" si="8"/>
        <v>0</v>
      </c>
      <c r="T36" s="414"/>
      <c r="U36" s="365">
        <f t="shared" si="9"/>
        <v>0</v>
      </c>
      <c r="V36" s="414"/>
      <c r="W36" s="365">
        <f t="shared" si="10"/>
        <v>0</v>
      </c>
      <c r="X36" s="1081"/>
      <c r="Y36" s="365">
        <f t="shared" si="11"/>
        <v>0</v>
      </c>
      <c r="Z36" s="416"/>
      <c r="AA36" s="340"/>
      <c r="AB36" s="340"/>
    </row>
    <row r="37" spans="2:28" x14ac:dyDescent="0.25">
      <c r="B37" s="361" t="s">
        <v>55</v>
      </c>
      <c r="C37" s="362" t="s">
        <v>53</v>
      </c>
      <c r="D37" s="363" t="s">
        <v>47</v>
      </c>
      <c r="E37" s="415"/>
      <c r="F37" s="415"/>
      <c r="G37" s="415"/>
      <c r="H37" s="415"/>
      <c r="I37" s="415"/>
      <c r="J37" s="415"/>
      <c r="K37" s="415"/>
      <c r="L37" s="415"/>
      <c r="M37" s="415"/>
      <c r="N37" s="415"/>
      <c r="O37" s="415"/>
      <c r="P37" s="415"/>
      <c r="Q37" s="359">
        <f t="shared" si="6"/>
        <v>0</v>
      </c>
      <c r="R37" s="364">
        <f t="shared" si="7"/>
        <v>0</v>
      </c>
      <c r="S37" s="365">
        <f t="shared" si="8"/>
        <v>0</v>
      </c>
      <c r="T37" s="414"/>
      <c r="U37" s="365">
        <f t="shared" si="9"/>
        <v>0</v>
      </c>
      <c r="V37" s="414"/>
      <c r="W37" s="365">
        <f t="shared" si="10"/>
        <v>0</v>
      </c>
      <c r="X37" s="1081"/>
      <c r="Y37" s="365">
        <f t="shared" si="11"/>
        <v>0</v>
      </c>
      <c r="Z37" s="416"/>
      <c r="AA37" s="340"/>
      <c r="AB37" s="340"/>
    </row>
    <row r="38" spans="2:28" x14ac:dyDescent="0.25">
      <c r="B38" s="361" t="s">
        <v>56</v>
      </c>
      <c r="C38" s="362" t="s">
        <v>53</v>
      </c>
      <c r="D38" s="363" t="s">
        <v>47</v>
      </c>
      <c r="E38" s="415"/>
      <c r="F38" s="415"/>
      <c r="G38" s="415"/>
      <c r="H38" s="415"/>
      <c r="I38" s="415"/>
      <c r="J38" s="415"/>
      <c r="K38" s="415"/>
      <c r="L38" s="415"/>
      <c r="M38" s="415"/>
      <c r="N38" s="415"/>
      <c r="O38" s="415"/>
      <c r="P38" s="415"/>
      <c r="Q38" s="359">
        <f t="shared" si="6"/>
        <v>0</v>
      </c>
      <c r="R38" s="364">
        <f t="shared" si="7"/>
        <v>0</v>
      </c>
      <c r="S38" s="365">
        <f t="shared" si="8"/>
        <v>0</v>
      </c>
      <c r="T38" s="414"/>
      <c r="U38" s="365">
        <f t="shared" si="9"/>
        <v>0</v>
      </c>
      <c r="V38" s="414"/>
      <c r="W38" s="365">
        <f t="shared" si="10"/>
        <v>0</v>
      </c>
      <c r="X38" s="1081"/>
      <c r="Y38" s="365">
        <f t="shared" si="11"/>
        <v>0</v>
      </c>
      <c r="Z38" s="416"/>
      <c r="AA38" s="340"/>
      <c r="AB38" s="340"/>
    </row>
    <row r="39" spans="2:28" x14ac:dyDescent="0.25">
      <c r="B39" s="361" t="s">
        <v>57</v>
      </c>
      <c r="C39" s="362" t="s">
        <v>53</v>
      </c>
      <c r="D39" s="363" t="s">
        <v>47</v>
      </c>
      <c r="E39" s="415"/>
      <c r="F39" s="415"/>
      <c r="G39" s="415"/>
      <c r="H39" s="415"/>
      <c r="I39" s="415"/>
      <c r="J39" s="415"/>
      <c r="K39" s="415"/>
      <c r="L39" s="415"/>
      <c r="M39" s="415"/>
      <c r="N39" s="415"/>
      <c r="O39" s="415"/>
      <c r="P39" s="415"/>
      <c r="Q39" s="359">
        <f t="shared" si="6"/>
        <v>0</v>
      </c>
      <c r="R39" s="364">
        <f t="shared" si="7"/>
        <v>0</v>
      </c>
      <c r="S39" s="365">
        <f t="shared" si="8"/>
        <v>0</v>
      </c>
      <c r="T39" s="414"/>
      <c r="U39" s="365">
        <f t="shared" si="9"/>
        <v>0</v>
      </c>
      <c r="V39" s="414"/>
      <c r="W39" s="365">
        <f t="shared" si="10"/>
        <v>0</v>
      </c>
      <c r="X39" s="1081"/>
      <c r="Y39" s="365">
        <f t="shared" si="11"/>
        <v>0</v>
      </c>
      <c r="Z39" s="416"/>
      <c r="AA39" s="340"/>
      <c r="AB39" s="340"/>
    </row>
    <row r="40" spans="2:28" x14ac:dyDescent="0.25">
      <c r="B40" s="361" t="s">
        <v>58</v>
      </c>
      <c r="C40" s="362" t="s">
        <v>53</v>
      </c>
      <c r="D40" s="363" t="s">
        <v>47</v>
      </c>
      <c r="E40" s="415"/>
      <c r="F40" s="415"/>
      <c r="G40" s="415"/>
      <c r="H40" s="415"/>
      <c r="I40" s="415"/>
      <c r="J40" s="415"/>
      <c r="K40" s="415"/>
      <c r="L40" s="415"/>
      <c r="M40" s="415"/>
      <c r="N40" s="415"/>
      <c r="O40" s="415"/>
      <c r="P40" s="415"/>
      <c r="Q40" s="359">
        <f t="shared" si="6"/>
        <v>0</v>
      </c>
      <c r="R40" s="364">
        <f t="shared" si="7"/>
        <v>0</v>
      </c>
      <c r="S40" s="365">
        <f t="shared" si="8"/>
        <v>0</v>
      </c>
      <c r="T40" s="414"/>
      <c r="U40" s="365">
        <f t="shared" si="9"/>
        <v>0</v>
      </c>
      <c r="V40" s="414"/>
      <c r="W40" s="365">
        <f t="shared" si="10"/>
        <v>0</v>
      </c>
      <c r="X40" s="1081"/>
      <c r="Y40" s="365">
        <f t="shared" si="11"/>
        <v>0</v>
      </c>
      <c r="Z40" s="416"/>
      <c r="AA40" s="340"/>
      <c r="AB40" s="340"/>
    </row>
    <row r="41" spans="2:28" x14ac:dyDescent="0.25">
      <c r="B41" s="361" t="s">
        <v>59</v>
      </c>
      <c r="C41" s="362" t="s">
        <v>53</v>
      </c>
      <c r="D41" s="363" t="s">
        <v>47</v>
      </c>
      <c r="E41" s="415"/>
      <c r="F41" s="415"/>
      <c r="G41" s="415"/>
      <c r="H41" s="415"/>
      <c r="I41" s="415"/>
      <c r="J41" s="415"/>
      <c r="K41" s="415"/>
      <c r="L41" s="415"/>
      <c r="M41" s="415"/>
      <c r="N41" s="415"/>
      <c r="O41" s="415"/>
      <c r="P41" s="415"/>
      <c r="Q41" s="359">
        <f t="shared" si="6"/>
        <v>0</v>
      </c>
      <c r="R41" s="364">
        <f t="shared" si="7"/>
        <v>0</v>
      </c>
      <c r="S41" s="365">
        <f t="shared" si="8"/>
        <v>0</v>
      </c>
      <c r="T41" s="414"/>
      <c r="U41" s="365">
        <f t="shared" si="9"/>
        <v>0</v>
      </c>
      <c r="V41" s="414"/>
      <c r="W41" s="365">
        <f t="shared" si="10"/>
        <v>0</v>
      </c>
      <c r="X41" s="1081"/>
      <c r="Y41" s="365">
        <f t="shared" si="11"/>
        <v>0</v>
      </c>
      <c r="Z41" s="416"/>
      <c r="AA41" s="340"/>
      <c r="AB41" s="340"/>
    </row>
    <row r="42" spans="2:28" x14ac:dyDescent="0.25">
      <c r="B42" s="361" t="s">
        <v>60</v>
      </c>
      <c r="C42" s="362" t="s">
        <v>53</v>
      </c>
      <c r="D42" s="363" t="s">
        <v>47</v>
      </c>
      <c r="E42" s="415"/>
      <c r="F42" s="415"/>
      <c r="G42" s="415"/>
      <c r="H42" s="415"/>
      <c r="I42" s="415"/>
      <c r="J42" s="415"/>
      <c r="K42" s="415"/>
      <c r="L42" s="415"/>
      <c r="M42" s="415"/>
      <c r="N42" s="415"/>
      <c r="O42" s="415"/>
      <c r="P42" s="415"/>
      <c r="Q42" s="359">
        <f t="shared" si="6"/>
        <v>0</v>
      </c>
      <c r="R42" s="364">
        <f t="shared" si="7"/>
        <v>0</v>
      </c>
      <c r="S42" s="365">
        <f t="shared" si="8"/>
        <v>0</v>
      </c>
      <c r="T42" s="414"/>
      <c r="U42" s="365">
        <f t="shared" si="9"/>
        <v>0</v>
      </c>
      <c r="V42" s="414"/>
      <c r="W42" s="365">
        <f t="shared" si="10"/>
        <v>0</v>
      </c>
      <c r="X42" s="1081"/>
      <c r="Y42" s="365">
        <f t="shared" si="11"/>
        <v>0</v>
      </c>
      <c r="Z42" s="416"/>
      <c r="AA42" s="340"/>
      <c r="AB42" s="340"/>
    </row>
    <row r="43" spans="2:28" x14ac:dyDescent="0.25">
      <c r="B43" s="361" t="s">
        <v>61</v>
      </c>
      <c r="C43" s="362" t="s">
        <v>53</v>
      </c>
      <c r="D43" s="363" t="s">
        <v>47</v>
      </c>
      <c r="E43" s="415"/>
      <c r="F43" s="415"/>
      <c r="G43" s="415"/>
      <c r="H43" s="415"/>
      <c r="I43" s="415"/>
      <c r="J43" s="415"/>
      <c r="K43" s="415"/>
      <c r="L43" s="415"/>
      <c r="M43" s="415"/>
      <c r="N43" s="415"/>
      <c r="O43" s="415"/>
      <c r="P43" s="415"/>
      <c r="Q43" s="359">
        <f t="shared" si="6"/>
        <v>0</v>
      </c>
      <c r="R43" s="364">
        <f t="shared" si="7"/>
        <v>0</v>
      </c>
      <c r="S43" s="365">
        <f t="shared" si="8"/>
        <v>0</v>
      </c>
      <c r="T43" s="414"/>
      <c r="U43" s="365">
        <f t="shared" si="9"/>
        <v>0</v>
      </c>
      <c r="V43" s="414"/>
      <c r="W43" s="365">
        <f t="shared" si="10"/>
        <v>0</v>
      </c>
      <c r="X43" s="1081"/>
      <c r="Y43" s="365">
        <f t="shared" si="11"/>
        <v>0</v>
      </c>
      <c r="Z43" s="416"/>
      <c r="AA43" s="340"/>
      <c r="AB43" s="340"/>
    </row>
    <row r="44" spans="2:28" x14ac:dyDescent="0.25">
      <c r="B44" s="361" t="s">
        <v>62</v>
      </c>
      <c r="C44" s="362" t="s">
        <v>53</v>
      </c>
      <c r="D44" s="363" t="s">
        <v>47</v>
      </c>
      <c r="E44" s="415"/>
      <c r="F44" s="415"/>
      <c r="G44" s="415"/>
      <c r="H44" s="415"/>
      <c r="I44" s="415"/>
      <c r="J44" s="415"/>
      <c r="K44" s="415"/>
      <c r="L44" s="415"/>
      <c r="M44" s="415"/>
      <c r="N44" s="415"/>
      <c r="O44" s="415"/>
      <c r="P44" s="415"/>
      <c r="Q44" s="359">
        <f t="shared" si="6"/>
        <v>0</v>
      </c>
      <c r="R44" s="364">
        <f t="shared" si="7"/>
        <v>0</v>
      </c>
      <c r="S44" s="365">
        <f t="shared" si="8"/>
        <v>0</v>
      </c>
      <c r="T44" s="414"/>
      <c r="U44" s="365">
        <f t="shared" si="9"/>
        <v>0</v>
      </c>
      <c r="V44" s="414"/>
      <c r="W44" s="365">
        <f t="shared" si="10"/>
        <v>0</v>
      </c>
      <c r="X44" s="1081"/>
      <c r="Y44" s="365">
        <f t="shared" si="11"/>
        <v>0</v>
      </c>
      <c r="Z44" s="416"/>
      <c r="AA44" s="340"/>
      <c r="AB44" s="340"/>
    </row>
    <row r="45" spans="2:28" x14ac:dyDescent="0.25">
      <c r="B45" s="361" t="s">
        <v>63</v>
      </c>
      <c r="C45" s="362" t="s">
        <v>53</v>
      </c>
      <c r="D45" s="363" t="s">
        <v>47</v>
      </c>
      <c r="E45" s="415"/>
      <c r="F45" s="415"/>
      <c r="G45" s="415">
        <v>1159.8800000000001</v>
      </c>
      <c r="H45" s="415">
        <v>1159.8800000000001</v>
      </c>
      <c r="I45" s="415">
        <v>1159.8800000000001</v>
      </c>
      <c r="J45" s="415">
        <v>1175</v>
      </c>
      <c r="K45" s="415">
        <v>1175</v>
      </c>
      <c r="L45" s="415">
        <v>1175</v>
      </c>
      <c r="M45" s="415"/>
      <c r="N45" s="415"/>
      <c r="O45" s="415"/>
      <c r="P45" s="415"/>
      <c r="Q45" s="359">
        <f t="shared" si="6"/>
        <v>1.384545366945616</v>
      </c>
      <c r="R45" s="364">
        <f t="shared" si="7"/>
        <v>7004.64</v>
      </c>
      <c r="S45" s="365">
        <f t="shared" si="8"/>
        <v>0</v>
      </c>
      <c r="T45" s="414"/>
      <c r="U45" s="365">
        <f t="shared" si="9"/>
        <v>0</v>
      </c>
      <c r="V45" s="414"/>
      <c r="W45" s="365">
        <f t="shared" si="10"/>
        <v>0</v>
      </c>
      <c r="X45" s="1081"/>
      <c r="Y45" s="365">
        <f t="shared" si="11"/>
        <v>0</v>
      </c>
      <c r="Z45" s="416"/>
      <c r="AA45" s="340"/>
      <c r="AB45" s="340"/>
    </row>
    <row r="46" spans="2:28" x14ac:dyDescent="0.25">
      <c r="B46" s="361" t="s">
        <v>64</v>
      </c>
      <c r="C46" s="362" t="s">
        <v>65</v>
      </c>
      <c r="D46" s="363" t="s">
        <v>47</v>
      </c>
      <c r="E46" s="415"/>
      <c r="F46" s="415"/>
      <c r="G46" s="415"/>
      <c r="H46" s="415"/>
      <c r="I46" s="415"/>
      <c r="J46" s="415"/>
      <c r="K46" s="415"/>
      <c r="L46" s="415"/>
      <c r="M46" s="415"/>
      <c r="N46" s="415"/>
      <c r="O46" s="415"/>
      <c r="P46" s="415"/>
      <c r="Q46" s="359">
        <f t="shared" si="6"/>
        <v>0</v>
      </c>
      <c r="R46" s="364">
        <f t="shared" si="7"/>
        <v>0</v>
      </c>
      <c r="S46" s="365">
        <f t="shared" si="8"/>
        <v>0</v>
      </c>
      <c r="T46" s="414"/>
      <c r="U46" s="365">
        <f t="shared" si="9"/>
        <v>0</v>
      </c>
      <c r="V46" s="414"/>
      <c r="W46" s="365">
        <f t="shared" si="10"/>
        <v>0</v>
      </c>
      <c r="X46" s="1081"/>
      <c r="Y46" s="365">
        <f t="shared" si="11"/>
        <v>0</v>
      </c>
      <c r="Z46" s="416"/>
      <c r="AA46" s="340"/>
      <c r="AB46" s="340"/>
    </row>
    <row r="47" spans="2:28" x14ac:dyDescent="0.25">
      <c r="B47" s="361" t="s">
        <v>66</v>
      </c>
      <c r="C47" s="362" t="s">
        <v>65</v>
      </c>
      <c r="D47" s="363" t="s">
        <v>47</v>
      </c>
      <c r="E47" s="415"/>
      <c r="F47" s="415"/>
      <c r="G47" s="415"/>
      <c r="H47" s="415"/>
      <c r="I47" s="415"/>
      <c r="J47" s="415"/>
      <c r="K47" s="415"/>
      <c r="L47" s="415"/>
      <c r="M47" s="415"/>
      <c r="N47" s="415"/>
      <c r="O47" s="415"/>
      <c r="P47" s="415"/>
      <c r="Q47" s="359">
        <f t="shared" si="6"/>
        <v>0</v>
      </c>
      <c r="R47" s="364">
        <f t="shared" si="7"/>
        <v>0</v>
      </c>
      <c r="S47" s="365">
        <f t="shared" si="8"/>
        <v>0</v>
      </c>
      <c r="T47" s="414"/>
      <c r="U47" s="365">
        <f t="shared" si="9"/>
        <v>0</v>
      </c>
      <c r="V47" s="414"/>
      <c r="W47" s="365">
        <f t="shared" si="10"/>
        <v>0</v>
      </c>
      <c r="X47" s="1081"/>
      <c r="Y47" s="365">
        <f t="shared" si="11"/>
        <v>0</v>
      </c>
      <c r="Z47" s="416"/>
      <c r="AA47" s="340"/>
      <c r="AB47" s="340"/>
    </row>
    <row r="48" spans="2:28" x14ac:dyDescent="0.25">
      <c r="B48" s="361" t="s">
        <v>67</v>
      </c>
      <c r="C48" s="362" t="s">
        <v>65</v>
      </c>
      <c r="D48" s="363" t="s">
        <v>47</v>
      </c>
      <c r="E48" s="415">
        <f>1066.63+258.98+620+300</f>
        <v>2245.61</v>
      </c>
      <c r="F48" s="415"/>
      <c r="G48" s="415">
        <v>310</v>
      </c>
      <c r="H48" s="415"/>
      <c r="I48" s="415"/>
      <c r="J48" s="415"/>
      <c r="K48" s="415"/>
      <c r="L48" s="415"/>
      <c r="M48" s="415"/>
      <c r="N48" s="415"/>
      <c r="O48" s="415"/>
      <c r="P48" s="415"/>
      <c r="Q48" s="359">
        <f t="shared" si="6"/>
        <v>0.50514487328683355</v>
      </c>
      <c r="R48" s="364">
        <f t="shared" si="7"/>
        <v>2555.61</v>
      </c>
      <c r="S48" s="365">
        <f t="shared" si="8"/>
        <v>0</v>
      </c>
      <c r="T48" s="414"/>
      <c r="U48" s="365">
        <f t="shared" si="9"/>
        <v>0</v>
      </c>
      <c r="V48" s="414"/>
      <c r="W48" s="365">
        <f t="shared" si="10"/>
        <v>0</v>
      </c>
      <c r="X48" s="1081"/>
      <c r="Y48" s="365">
        <f t="shared" si="11"/>
        <v>0</v>
      </c>
      <c r="Z48" s="416"/>
      <c r="AA48" s="340"/>
      <c r="AB48" s="340"/>
    </row>
    <row r="49" spans="2:28" x14ac:dyDescent="0.25">
      <c r="B49" s="361" t="s">
        <v>68</v>
      </c>
      <c r="C49" s="362" t="s">
        <v>65</v>
      </c>
      <c r="D49" s="363" t="s">
        <v>47</v>
      </c>
      <c r="E49" s="415"/>
      <c r="F49" s="415"/>
      <c r="G49" s="415"/>
      <c r="H49" s="415"/>
      <c r="I49" s="415"/>
      <c r="J49" s="415"/>
      <c r="K49" s="415"/>
      <c r="L49" s="415"/>
      <c r="M49" s="415"/>
      <c r="N49" s="415"/>
      <c r="O49" s="415"/>
      <c r="P49" s="415"/>
      <c r="Q49" s="359">
        <f t="shared" si="6"/>
        <v>0</v>
      </c>
      <c r="R49" s="364">
        <f t="shared" si="7"/>
        <v>0</v>
      </c>
      <c r="S49" s="365">
        <f t="shared" si="8"/>
        <v>0</v>
      </c>
      <c r="T49" s="414"/>
      <c r="U49" s="365">
        <f t="shared" si="9"/>
        <v>0</v>
      </c>
      <c r="V49" s="414"/>
      <c r="W49" s="365">
        <f t="shared" si="10"/>
        <v>0</v>
      </c>
      <c r="X49" s="1081"/>
      <c r="Y49" s="365">
        <f t="shared" si="11"/>
        <v>0</v>
      </c>
      <c r="Z49" s="416"/>
      <c r="AA49" s="340"/>
      <c r="AB49" s="340"/>
    </row>
    <row r="50" spans="2:28" x14ac:dyDescent="0.25">
      <c r="B50" s="361" t="s">
        <v>69</v>
      </c>
      <c r="C50" s="362" t="s">
        <v>70</v>
      </c>
      <c r="D50" s="363" t="s">
        <v>47</v>
      </c>
      <c r="E50" s="415"/>
      <c r="F50" s="415"/>
      <c r="G50" s="415"/>
      <c r="H50" s="415"/>
      <c r="I50" s="415"/>
      <c r="J50" s="415"/>
      <c r="K50" s="415"/>
      <c r="L50" s="415"/>
      <c r="M50" s="415"/>
      <c r="N50" s="415"/>
      <c r="O50" s="415"/>
      <c r="P50" s="415"/>
      <c r="Q50" s="359">
        <f t="shared" si="6"/>
        <v>0</v>
      </c>
      <c r="R50" s="364">
        <f t="shared" si="7"/>
        <v>0</v>
      </c>
      <c r="S50" s="365">
        <f t="shared" si="8"/>
        <v>0</v>
      </c>
      <c r="T50" s="414"/>
      <c r="U50" s="365">
        <f t="shared" si="9"/>
        <v>0</v>
      </c>
      <c r="V50" s="414"/>
      <c r="W50" s="365">
        <f t="shared" si="10"/>
        <v>0</v>
      </c>
      <c r="X50" s="1081"/>
      <c r="Y50" s="365">
        <f t="shared" si="11"/>
        <v>0</v>
      </c>
      <c r="Z50" s="416"/>
      <c r="AA50" s="340"/>
      <c r="AB50" s="340"/>
    </row>
    <row r="51" spans="2:28" x14ac:dyDescent="0.25">
      <c r="B51" s="361" t="s">
        <v>71</v>
      </c>
      <c r="C51" s="362" t="s">
        <v>70</v>
      </c>
      <c r="D51" s="363" t="s">
        <v>47</v>
      </c>
      <c r="E51" s="415"/>
      <c r="F51" s="415"/>
      <c r="G51" s="415"/>
      <c r="H51" s="415"/>
      <c r="I51" s="415"/>
      <c r="J51" s="415"/>
      <c r="K51" s="415"/>
      <c r="L51" s="415"/>
      <c r="M51" s="415"/>
      <c r="N51" s="415"/>
      <c r="O51" s="415"/>
      <c r="P51" s="415"/>
      <c r="Q51" s="359">
        <f t="shared" si="6"/>
        <v>0</v>
      </c>
      <c r="R51" s="364">
        <f t="shared" si="7"/>
        <v>0</v>
      </c>
      <c r="S51" s="365">
        <f t="shared" si="8"/>
        <v>0</v>
      </c>
      <c r="T51" s="414"/>
      <c r="U51" s="365">
        <f t="shared" si="9"/>
        <v>0</v>
      </c>
      <c r="V51" s="414"/>
      <c r="W51" s="365">
        <f t="shared" si="10"/>
        <v>0</v>
      </c>
      <c r="X51" s="1081"/>
      <c r="Y51" s="365">
        <f t="shared" si="11"/>
        <v>0</v>
      </c>
      <c r="Z51" s="416"/>
      <c r="AA51" s="340"/>
      <c r="AB51" s="340"/>
    </row>
    <row r="52" spans="2:28" x14ac:dyDescent="0.25">
      <c r="B52" s="361" t="s">
        <v>72</v>
      </c>
      <c r="C52" s="362" t="s">
        <v>73</v>
      </c>
      <c r="D52" s="363" t="s">
        <v>47</v>
      </c>
      <c r="E52" s="415">
        <v>443</v>
      </c>
      <c r="F52" s="415">
        <v>1001.1</v>
      </c>
      <c r="G52" s="415">
        <v>333.2</v>
      </c>
      <c r="H52" s="415">
        <v>1898</v>
      </c>
      <c r="I52" s="415">
        <v>498.8</v>
      </c>
      <c r="J52" s="415">
        <v>1378.9</v>
      </c>
      <c r="K52" s="415">
        <v>167.8</v>
      </c>
      <c r="L52" s="415">
        <v>379</v>
      </c>
      <c r="M52" s="415"/>
      <c r="N52" s="415"/>
      <c r="O52" s="415"/>
      <c r="P52" s="415"/>
      <c r="Q52" s="359">
        <f t="shared" si="6"/>
        <v>1.2056936301215864</v>
      </c>
      <c r="R52" s="364">
        <f t="shared" si="7"/>
        <v>6099.8</v>
      </c>
      <c r="S52" s="365">
        <f t="shared" si="8"/>
        <v>0</v>
      </c>
      <c r="T52" s="414"/>
      <c r="U52" s="365">
        <f t="shared" si="9"/>
        <v>0</v>
      </c>
      <c r="V52" s="414"/>
      <c r="W52" s="365">
        <f t="shared" si="10"/>
        <v>0</v>
      </c>
      <c r="X52" s="1081"/>
      <c r="Y52" s="365">
        <f t="shared" si="11"/>
        <v>0</v>
      </c>
      <c r="Z52" s="416"/>
      <c r="AA52" s="340"/>
      <c r="AB52" s="340"/>
    </row>
    <row r="53" spans="2:28" x14ac:dyDescent="0.25">
      <c r="B53" s="361" t="s">
        <v>74</v>
      </c>
      <c r="C53" s="362" t="s">
        <v>73</v>
      </c>
      <c r="D53" s="363" t="s">
        <v>47</v>
      </c>
      <c r="E53" s="415"/>
      <c r="F53" s="415"/>
      <c r="G53" s="415"/>
      <c r="H53" s="415"/>
      <c r="I53" s="415"/>
      <c r="J53" s="415"/>
      <c r="K53" s="415"/>
      <c r="L53" s="415"/>
      <c r="M53" s="415"/>
      <c r="N53" s="415"/>
      <c r="O53" s="415"/>
      <c r="P53" s="415"/>
      <c r="Q53" s="359">
        <f t="shared" si="6"/>
        <v>0</v>
      </c>
      <c r="R53" s="364">
        <f t="shared" si="7"/>
        <v>0</v>
      </c>
      <c r="S53" s="365">
        <f t="shared" si="8"/>
        <v>0</v>
      </c>
      <c r="T53" s="414"/>
      <c r="U53" s="365">
        <f t="shared" si="9"/>
        <v>0</v>
      </c>
      <c r="V53" s="414"/>
      <c r="W53" s="365">
        <f t="shared" si="10"/>
        <v>0</v>
      </c>
      <c r="X53" s="1081"/>
      <c r="Y53" s="365">
        <f t="shared" si="11"/>
        <v>0</v>
      </c>
      <c r="Z53" s="416"/>
      <c r="AA53" s="340"/>
      <c r="AB53" s="340"/>
    </row>
    <row r="54" spans="2:28" x14ac:dyDescent="0.25">
      <c r="B54" s="361" t="s">
        <v>75</v>
      </c>
      <c r="C54" s="362" t="s">
        <v>73</v>
      </c>
      <c r="D54" s="363" t="s">
        <v>47</v>
      </c>
      <c r="E54" s="415"/>
      <c r="F54" s="415"/>
      <c r="G54" s="415"/>
      <c r="H54" s="415"/>
      <c r="I54" s="415"/>
      <c r="J54" s="415"/>
      <c r="K54" s="415"/>
      <c r="L54" s="415"/>
      <c r="M54" s="415"/>
      <c r="N54" s="415"/>
      <c r="O54" s="415"/>
      <c r="P54" s="415"/>
      <c r="Q54" s="359">
        <f t="shared" si="6"/>
        <v>0</v>
      </c>
      <c r="R54" s="364">
        <f t="shared" si="7"/>
        <v>0</v>
      </c>
      <c r="S54" s="365">
        <f t="shared" si="8"/>
        <v>0</v>
      </c>
      <c r="T54" s="414"/>
      <c r="U54" s="365">
        <f t="shared" si="9"/>
        <v>0</v>
      </c>
      <c r="V54" s="414"/>
      <c r="W54" s="365">
        <f t="shared" si="10"/>
        <v>0</v>
      </c>
      <c r="X54" s="1081"/>
      <c r="Y54" s="365">
        <f t="shared" si="11"/>
        <v>0</v>
      </c>
      <c r="Z54" s="416"/>
      <c r="AA54" s="340"/>
      <c r="AB54" s="340"/>
    </row>
    <row r="55" spans="2:28" x14ac:dyDescent="0.25">
      <c r="B55" s="361" t="s">
        <v>76</v>
      </c>
      <c r="C55" s="362" t="s">
        <v>77</v>
      </c>
      <c r="D55" s="363" t="s">
        <v>47</v>
      </c>
      <c r="E55" s="415">
        <f>321.5+31.1</f>
        <v>352.6</v>
      </c>
      <c r="F55" s="415"/>
      <c r="G55" s="415"/>
      <c r="H55" s="415">
        <f>1050+650</f>
        <v>1700</v>
      </c>
      <c r="I55" s="415"/>
      <c r="J55" s="415"/>
      <c r="K55" s="415"/>
      <c r="L55" s="415"/>
      <c r="M55" s="415"/>
      <c r="N55" s="415"/>
      <c r="O55" s="415"/>
      <c r="P55" s="415"/>
      <c r="Q55" s="359">
        <f t="shared" si="6"/>
        <v>0.40571932607422667</v>
      </c>
      <c r="R55" s="364">
        <f t="shared" si="7"/>
        <v>2052.6</v>
      </c>
      <c r="S55" s="365">
        <f t="shared" si="8"/>
        <v>0</v>
      </c>
      <c r="T55" s="414"/>
      <c r="U55" s="365">
        <f t="shared" si="9"/>
        <v>0</v>
      </c>
      <c r="V55" s="414"/>
      <c r="W55" s="365">
        <f t="shared" si="10"/>
        <v>0</v>
      </c>
      <c r="X55" s="1081"/>
      <c r="Y55" s="365">
        <f t="shared" si="11"/>
        <v>0</v>
      </c>
      <c r="Z55" s="416"/>
      <c r="AA55" s="340"/>
      <c r="AB55" s="340"/>
    </row>
    <row r="56" spans="2:28" x14ac:dyDescent="0.25">
      <c r="B56" s="361" t="s">
        <v>78</v>
      </c>
      <c r="C56" s="362" t="s">
        <v>79</v>
      </c>
      <c r="D56" s="363" t="s">
        <v>47</v>
      </c>
      <c r="E56" s="415">
        <v>1092.25</v>
      </c>
      <c r="F56" s="415">
        <f>997+166</f>
        <v>1163</v>
      </c>
      <c r="G56" s="415">
        <f>1026</f>
        <v>1026</v>
      </c>
      <c r="H56" s="415">
        <v>1870.5</v>
      </c>
      <c r="I56" s="415">
        <v>710</v>
      </c>
      <c r="J56" s="415">
        <v>1086.33</v>
      </c>
      <c r="K56" s="415">
        <v>201.23</v>
      </c>
      <c r="L56" s="415"/>
      <c r="M56" s="415"/>
      <c r="N56" s="415"/>
      <c r="O56" s="415"/>
      <c r="P56" s="415"/>
      <c r="Q56" s="359">
        <f t="shared" si="6"/>
        <v>1.4131410090108787</v>
      </c>
      <c r="R56" s="364">
        <f t="shared" si="7"/>
        <v>7149.3099999999995</v>
      </c>
      <c r="S56" s="365">
        <f t="shared" si="8"/>
        <v>0</v>
      </c>
      <c r="T56" s="414"/>
      <c r="U56" s="365">
        <f t="shared" si="9"/>
        <v>0</v>
      </c>
      <c r="V56" s="414"/>
      <c r="W56" s="365">
        <f t="shared" si="10"/>
        <v>0</v>
      </c>
      <c r="X56" s="1081"/>
      <c r="Y56" s="365">
        <f t="shared" si="11"/>
        <v>0</v>
      </c>
      <c r="Z56" s="416"/>
      <c r="AA56" s="340"/>
      <c r="AB56" s="340"/>
    </row>
    <row r="57" spans="2:28" x14ac:dyDescent="0.25">
      <c r="B57" s="361" t="s">
        <v>80</v>
      </c>
      <c r="C57" s="362" t="s">
        <v>51</v>
      </c>
      <c r="D57" s="363" t="s">
        <v>47</v>
      </c>
      <c r="E57" s="415"/>
      <c r="F57" s="415"/>
      <c r="G57" s="415"/>
      <c r="H57" s="415"/>
      <c r="I57" s="415"/>
      <c r="J57" s="415"/>
      <c r="K57" s="415"/>
      <c r="L57" s="415"/>
      <c r="M57" s="415"/>
      <c r="N57" s="415"/>
      <c r="O57" s="415"/>
      <c r="P57" s="415"/>
      <c r="Q57" s="359">
        <f t="shared" si="6"/>
        <v>0</v>
      </c>
      <c r="R57" s="364">
        <f t="shared" si="7"/>
        <v>0</v>
      </c>
      <c r="S57" s="365">
        <f t="shared" si="8"/>
        <v>0</v>
      </c>
      <c r="T57" s="414"/>
      <c r="U57" s="365">
        <f t="shared" si="9"/>
        <v>0</v>
      </c>
      <c r="V57" s="414"/>
      <c r="W57" s="365">
        <f t="shared" si="10"/>
        <v>0</v>
      </c>
      <c r="X57" s="1081"/>
      <c r="Y57" s="365">
        <f t="shared" si="11"/>
        <v>0</v>
      </c>
      <c r="Z57" s="416"/>
      <c r="AA57" s="340"/>
      <c r="AB57" s="340"/>
    </row>
    <row r="58" spans="2:28" x14ac:dyDescent="0.25">
      <c r="B58" s="361" t="s">
        <v>81</v>
      </c>
      <c r="C58" s="362" t="s">
        <v>77</v>
      </c>
      <c r="D58" s="363" t="s">
        <v>47</v>
      </c>
      <c r="E58" s="415">
        <v>280</v>
      </c>
      <c r="F58" s="415">
        <v>75</v>
      </c>
      <c r="G58" s="415">
        <f>220+242.2</f>
        <v>462.2</v>
      </c>
      <c r="H58" s="415">
        <f>200+48</f>
        <v>248</v>
      </c>
      <c r="I58" s="415">
        <v>150</v>
      </c>
      <c r="J58" s="415">
        <v>514.65</v>
      </c>
      <c r="K58" s="415">
        <v>220</v>
      </c>
      <c r="L58" s="415">
        <v>379</v>
      </c>
      <c r="M58" s="415"/>
      <c r="N58" s="415"/>
      <c r="O58" s="415"/>
      <c r="P58" s="415"/>
      <c r="Q58" s="359">
        <f t="shared" si="6"/>
        <v>0.4603232254350399</v>
      </c>
      <c r="R58" s="364">
        <f t="shared" si="7"/>
        <v>2328.85</v>
      </c>
      <c r="S58" s="365">
        <f t="shared" si="8"/>
        <v>0</v>
      </c>
      <c r="T58" s="414"/>
      <c r="U58" s="365">
        <f t="shared" si="9"/>
        <v>0</v>
      </c>
      <c r="V58" s="414"/>
      <c r="W58" s="365">
        <f t="shared" si="10"/>
        <v>0</v>
      </c>
      <c r="X58" s="1081"/>
      <c r="Y58" s="365">
        <f t="shared" si="11"/>
        <v>0</v>
      </c>
      <c r="Z58" s="416"/>
      <c r="AA58" s="340"/>
      <c r="AB58" s="340"/>
    </row>
    <row r="59" spans="2:28" x14ac:dyDescent="0.25">
      <c r="B59" s="361" t="s">
        <v>82</v>
      </c>
      <c r="C59" s="362" t="s">
        <v>77</v>
      </c>
      <c r="D59" s="363" t="s">
        <v>47</v>
      </c>
      <c r="E59" s="415"/>
      <c r="F59" s="415"/>
      <c r="G59" s="415">
        <v>583.9</v>
      </c>
      <c r="H59" s="415">
        <v>723.3</v>
      </c>
      <c r="I59" s="415">
        <f>308.18+195.77</f>
        <v>503.95000000000005</v>
      </c>
      <c r="J59" s="415">
        <v>396.2</v>
      </c>
      <c r="K59" s="415">
        <f>320.75+381.39</f>
        <v>702.14</v>
      </c>
      <c r="L59" s="415"/>
      <c r="M59" s="415"/>
      <c r="N59" s="415"/>
      <c r="O59" s="415"/>
      <c r="P59" s="415"/>
      <c r="Q59" s="359">
        <f t="shared" si="6"/>
        <v>0.57509320959743826</v>
      </c>
      <c r="R59" s="364">
        <f t="shared" si="7"/>
        <v>2909.49</v>
      </c>
      <c r="S59" s="365">
        <f t="shared" si="8"/>
        <v>0</v>
      </c>
      <c r="T59" s="414"/>
      <c r="U59" s="365">
        <f t="shared" si="9"/>
        <v>0</v>
      </c>
      <c r="V59" s="414"/>
      <c r="W59" s="365">
        <f t="shared" si="10"/>
        <v>0</v>
      </c>
      <c r="X59" s="1081"/>
      <c r="Y59" s="365">
        <f t="shared" si="11"/>
        <v>0</v>
      </c>
      <c r="Z59" s="416"/>
      <c r="AA59" s="340"/>
      <c r="AB59" s="340"/>
    </row>
    <row r="60" spans="2:28" x14ac:dyDescent="0.25">
      <c r="B60" s="361" t="s">
        <v>83</v>
      </c>
      <c r="C60" s="362" t="s">
        <v>79</v>
      </c>
      <c r="D60" s="363" t="s">
        <v>47</v>
      </c>
      <c r="E60" s="415">
        <v>54.01</v>
      </c>
      <c r="F60" s="415">
        <v>37.04</v>
      </c>
      <c r="G60" s="415">
        <v>34.42</v>
      </c>
      <c r="H60" s="415">
        <v>34.86</v>
      </c>
      <c r="I60" s="415">
        <v>33.590000000000003</v>
      </c>
      <c r="J60" s="415">
        <v>39.24</v>
      </c>
      <c r="K60" s="415">
        <v>35.08</v>
      </c>
      <c r="L60" s="415">
        <v>41.71</v>
      </c>
      <c r="M60" s="415"/>
      <c r="N60" s="415"/>
      <c r="O60" s="415"/>
      <c r="P60" s="415"/>
      <c r="Q60" s="359">
        <f t="shared" si="6"/>
        <v>6.1265080929896992E-2</v>
      </c>
      <c r="R60" s="364">
        <f t="shared" si="7"/>
        <v>309.95</v>
      </c>
      <c r="S60" s="365">
        <f t="shared" si="8"/>
        <v>0</v>
      </c>
      <c r="T60" s="414"/>
      <c r="U60" s="365">
        <f t="shared" si="9"/>
        <v>0</v>
      </c>
      <c r="V60" s="414"/>
      <c r="W60" s="365">
        <f t="shared" si="10"/>
        <v>0</v>
      </c>
      <c r="X60" s="1081"/>
      <c r="Y60" s="365">
        <f t="shared" si="11"/>
        <v>0</v>
      </c>
      <c r="Z60" s="416"/>
      <c r="AA60" s="340"/>
      <c r="AB60" s="340"/>
    </row>
    <row r="61" spans="2:28" x14ac:dyDescent="0.25">
      <c r="B61" s="361" t="s">
        <v>84</v>
      </c>
      <c r="C61" s="362" t="s">
        <v>85</v>
      </c>
      <c r="D61" s="363" t="s">
        <v>47</v>
      </c>
      <c r="E61" s="415"/>
      <c r="F61" s="415"/>
      <c r="G61" s="415"/>
      <c r="H61" s="415"/>
      <c r="I61" s="415"/>
      <c r="J61" s="415"/>
      <c r="K61" s="415"/>
      <c r="L61" s="415"/>
      <c r="M61" s="415"/>
      <c r="N61" s="415"/>
      <c r="O61" s="415"/>
      <c r="P61" s="415"/>
      <c r="Q61" s="359">
        <f t="shared" si="6"/>
        <v>0</v>
      </c>
      <c r="R61" s="364">
        <f t="shared" si="7"/>
        <v>0</v>
      </c>
      <c r="S61" s="365">
        <f t="shared" si="8"/>
        <v>0</v>
      </c>
      <c r="T61" s="414"/>
      <c r="U61" s="365">
        <f t="shared" si="9"/>
        <v>0</v>
      </c>
      <c r="V61" s="414"/>
      <c r="W61" s="365">
        <f t="shared" si="10"/>
        <v>0</v>
      </c>
      <c r="X61" s="1081"/>
      <c r="Y61" s="365">
        <f t="shared" si="11"/>
        <v>0</v>
      </c>
      <c r="Z61" s="416"/>
      <c r="AA61" s="340"/>
      <c r="AB61" s="340"/>
    </row>
    <row r="62" spans="2:28" x14ac:dyDescent="0.25">
      <c r="B62" s="361" t="s">
        <v>86</v>
      </c>
      <c r="C62" s="362" t="s">
        <v>85</v>
      </c>
      <c r="D62" s="363" t="s">
        <v>47</v>
      </c>
      <c r="E62" s="415"/>
      <c r="F62" s="415"/>
      <c r="G62" s="837"/>
      <c r="H62" s="415">
        <v>56.52</v>
      </c>
      <c r="I62" s="415">
        <v>14.13</v>
      </c>
      <c r="J62" s="415"/>
      <c r="K62" s="415"/>
      <c r="L62" s="415"/>
      <c r="M62" s="415"/>
      <c r="N62" s="415"/>
      <c r="O62" s="415"/>
      <c r="P62" s="415"/>
      <c r="Q62" s="359">
        <f t="shared" si="6"/>
        <v>1.3964761954177198E-2</v>
      </c>
      <c r="R62" s="364">
        <f t="shared" si="7"/>
        <v>70.650000000000006</v>
      </c>
      <c r="S62" s="365">
        <f t="shared" si="8"/>
        <v>0</v>
      </c>
      <c r="T62" s="414"/>
      <c r="U62" s="365">
        <f t="shared" si="9"/>
        <v>0</v>
      </c>
      <c r="V62" s="414"/>
      <c r="W62" s="365">
        <f t="shared" si="10"/>
        <v>0</v>
      </c>
      <c r="X62" s="1081"/>
      <c r="Y62" s="365">
        <f t="shared" si="11"/>
        <v>0</v>
      </c>
      <c r="Z62" s="416"/>
      <c r="AA62" s="340"/>
      <c r="AB62" s="340"/>
    </row>
    <row r="63" spans="2:28" x14ac:dyDescent="0.25">
      <c r="B63" s="361" t="s">
        <v>87</v>
      </c>
      <c r="C63" s="362" t="s">
        <v>85</v>
      </c>
      <c r="D63" s="363" t="s">
        <v>47</v>
      </c>
      <c r="E63" s="415"/>
      <c r="F63" s="415"/>
      <c r="G63" s="415"/>
      <c r="H63" s="415"/>
      <c r="I63" s="415"/>
      <c r="J63" s="415"/>
      <c r="K63" s="415"/>
      <c r="L63" s="415"/>
      <c r="M63" s="415"/>
      <c r="N63" s="415"/>
      <c r="O63" s="415"/>
      <c r="P63" s="415"/>
      <c r="Q63" s="359">
        <f t="shared" si="6"/>
        <v>0</v>
      </c>
      <c r="R63" s="364">
        <f t="shared" si="7"/>
        <v>0</v>
      </c>
      <c r="S63" s="365">
        <f t="shared" si="8"/>
        <v>0</v>
      </c>
      <c r="T63" s="414"/>
      <c r="U63" s="365">
        <f t="shared" si="9"/>
        <v>0</v>
      </c>
      <c r="V63" s="414"/>
      <c r="W63" s="365">
        <f t="shared" si="10"/>
        <v>0</v>
      </c>
      <c r="X63" s="1081"/>
      <c r="Y63" s="365">
        <f t="shared" si="11"/>
        <v>0</v>
      </c>
      <c r="Z63" s="416"/>
      <c r="AA63" s="340"/>
      <c r="AB63" s="340"/>
    </row>
    <row r="64" spans="2:28" x14ac:dyDescent="0.25">
      <c r="B64" s="361" t="s">
        <v>371</v>
      </c>
      <c r="C64" s="362" t="s">
        <v>85</v>
      </c>
      <c r="D64" s="363" t="s">
        <v>47</v>
      </c>
      <c r="E64" s="415"/>
      <c r="F64" s="415"/>
      <c r="G64" s="415"/>
      <c r="H64" s="415"/>
      <c r="I64" s="415"/>
      <c r="J64" s="415"/>
      <c r="K64" s="415"/>
      <c r="L64" s="415"/>
      <c r="M64" s="415"/>
      <c r="N64" s="415"/>
      <c r="O64" s="415"/>
      <c r="P64" s="415"/>
      <c r="Q64" s="359">
        <f t="shared" si="6"/>
        <v>0</v>
      </c>
      <c r="R64" s="364">
        <f t="shared" si="7"/>
        <v>0</v>
      </c>
      <c r="S64" s="365">
        <f t="shared" si="8"/>
        <v>0</v>
      </c>
      <c r="T64" s="414"/>
      <c r="U64" s="365">
        <f t="shared" si="9"/>
        <v>0</v>
      </c>
      <c r="V64" s="414"/>
      <c r="W64" s="365">
        <f t="shared" si="10"/>
        <v>0</v>
      </c>
      <c r="X64" s="1081"/>
      <c r="Y64" s="365">
        <f t="shared" si="11"/>
        <v>0</v>
      </c>
      <c r="Z64" s="416"/>
      <c r="AA64" s="340"/>
      <c r="AB64" s="340"/>
    </row>
    <row r="65" spans="2:28" x14ac:dyDescent="0.25">
      <c r="B65" s="454" t="s">
        <v>88</v>
      </c>
      <c r="C65" s="455" t="s">
        <v>88</v>
      </c>
      <c r="D65" s="363" t="s">
        <v>47</v>
      </c>
      <c r="E65" s="415">
        <v>150</v>
      </c>
      <c r="F65" s="415"/>
      <c r="G65" s="415"/>
      <c r="H65" s="415"/>
      <c r="I65" s="415"/>
      <c r="J65" s="415"/>
      <c r="K65" s="415"/>
      <c r="L65" s="415"/>
      <c r="M65" s="415"/>
      <c r="N65" s="415"/>
      <c r="O65" s="415"/>
      <c r="P65" s="415"/>
      <c r="Q65" s="359">
        <f t="shared" si="6"/>
        <v>2.9649176123518466E-2</v>
      </c>
      <c r="R65" s="364">
        <f t="shared" si="7"/>
        <v>150</v>
      </c>
      <c r="S65" s="365">
        <f t="shared" si="8"/>
        <v>0</v>
      </c>
      <c r="T65" s="414"/>
      <c r="U65" s="365">
        <f t="shared" si="9"/>
        <v>0</v>
      </c>
      <c r="V65" s="414"/>
      <c r="W65" s="365">
        <f t="shared" si="10"/>
        <v>0</v>
      </c>
      <c r="X65" s="1081"/>
      <c r="Y65" s="365">
        <f t="shared" si="11"/>
        <v>0</v>
      </c>
      <c r="Z65" s="416"/>
      <c r="AA65" s="340"/>
      <c r="AB65" s="340"/>
    </row>
    <row r="66" spans="2:28" x14ac:dyDescent="0.25">
      <c r="B66" s="417" t="s">
        <v>88</v>
      </c>
      <c r="C66" s="418" t="s">
        <v>543</v>
      </c>
      <c r="D66" s="363" t="s">
        <v>47</v>
      </c>
      <c r="E66" s="415"/>
      <c r="F66" s="415"/>
      <c r="G66" s="415"/>
      <c r="H66" s="415"/>
      <c r="I66" s="415"/>
      <c r="J66" s="415"/>
      <c r="K66" s="415">
        <v>115605.35</v>
      </c>
      <c r="L66" s="415"/>
      <c r="M66" s="415"/>
      <c r="N66" s="415"/>
      <c r="O66" s="415"/>
      <c r="P66" s="415"/>
      <c r="Q66" s="359">
        <f t="shared" ref="Q66:Q67" si="12">IF(OR(R66=0,R66=""),0,(R66/$R$70)*100)</f>
        <v>22.85068921980664</v>
      </c>
      <c r="R66" s="364">
        <f t="shared" si="7"/>
        <v>115605.35</v>
      </c>
      <c r="S66" s="365">
        <f t="shared" si="8"/>
        <v>0</v>
      </c>
      <c r="T66" s="414"/>
      <c r="U66" s="365">
        <f t="shared" si="9"/>
        <v>0</v>
      </c>
      <c r="V66" s="414"/>
      <c r="W66" s="365">
        <f t="shared" si="10"/>
        <v>0</v>
      </c>
      <c r="X66" s="1081"/>
      <c r="Y66" s="365">
        <f t="shared" si="11"/>
        <v>0</v>
      </c>
      <c r="Z66" s="416"/>
      <c r="AA66" s="340"/>
      <c r="AB66" s="340"/>
    </row>
    <row r="67" spans="2:28" x14ac:dyDescent="0.25">
      <c r="B67" s="417" t="s">
        <v>460</v>
      </c>
      <c r="C67" s="418" t="s">
        <v>88</v>
      </c>
      <c r="D67" s="363" t="s">
        <v>47</v>
      </c>
      <c r="E67" s="415"/>
      <c r="F67" s="415"/>
      <c r="G67" s="415"/>
      <c r="H67" s="415"/>
      <c r="I67" s="415"/>
      <c r="J67" s="415"/>
      <c r="K67" s="415"/>
      <c r="L67" s="415"/>
      <c r="M67" s="415"/>
      <c r="N67" s="415"/>
      <c r="O67" s="415"/>
      <c r="P67" s="415"/>
      <c r="Q67" s="359">
        <f t="shared" si="12"/>
        <v>0</v>
      </c>
      <c r="R67" s="364">
        <f t="shared" si="7"/>
        <v>0</v>
      </c>
      <c r="S67" s="365">
        <f t="shared" si="8"/>
        <v>0</v>
      </c>
      <c r="T67" s="414"/>
      <c r="U67" s="365">
        <f t="shared" si="9"/>
        <v>0</v>
      </c>
      <c r="V67" s="414"/>
      <c r="W67" s="365">
        <f t="shared" si="10"/>
        <v>0</v>
      </c>
      <c r="X67" s="1081"/>
      <c r="Y67" s="365">
        <f t="shared" si="11"/>
        <v>0</v>
      </c>
      <c r="Z67" s="416"/>
      <c r="AA67" s="340"/>
      <c r="AB67" s="340"/>
    </row>
    <row r="68" spans="2:28" x14ac:dyDescent="0.25">
      <c r="B68" s="417" t="s">
        <v>461</v>
      </c>
      <c r="C68" s="418" t="s">
        <v>88</v>
      </c>
      <c r="D68" s="363" t="s">
        <v>47</v>
      </c>
      <c r="E68" s="415"/>
      <c r="F68" s="415"/>
      <c r="G68" s="415"/>
      <c r="H68" s="415"/>
      <c r="I68" s="415"/>
      <c r="J68" s="415"/>
      <c r="K68" s="415"/>
      <c r="L68" s="415"/>
      <c r="M68" s="415"/>
      <c r="N68" s="415"/>
      <c r="O68" s="415"/>
      <c r="P68" s="415"/>
      <c r="Q68" s="359">
        <f>IF(OR(R68=0,R68=""),0,(R68/$R$70)*100)</f>
        <v>0</v>
      </c>
      <c r="R68" s="364">
        <f t="shared" si="7"/>
        <v>0</v>
      </c>
      <c r="S68" s="365">
        <f t="shared" si="8"/>
        <v>0</v>
      </c>
      <c r="T68" s="414"/>
      <c r="U68" s="365">
        <f t="shared" si="9"/>
        <v>0</v>
      </c>
      <c r="V68" s="414"/>
      <c r="W68" s="365">
        <f t="shared" si="10"/>
        <v>0</v>
      </c>
      <c r="X68" s="1081"/>
      <c r="Y68" s="365">
        <f t="shared" si="11"/>
        <v>0</v>
      </c>
      <c r="Z68" s="416"/>
      <c r="AA68" s="340"/>
      <c r="AB68" s="340"/>
    </row>
    <row r="69" spans="2:28" ht="15.75" thickBot="1" x14ac:dyDescent="0.3">
      <c r="B69" s="366" t="s">
        <v>245</v>
      </c>
      <c r="C69" s="367" t="s">
        <v>246</v>
      </c>
      <c r="D69" s="368" t="s">
        <v>47</v>
      </c>
      <c r="E69" s="369">
        <f t="shared" ref="E69:P69" si="13">E27-E26</f>
        <v>0</v>
      </c>
      <c r="F69" s="369">
        <f t="shared" si="13"/>
        <v>0</v>
      </c>
      <c r="G69" s="369">
        <f t="shared" si="13"/>
        <v>180000</v>
      </c>
      <c r="H69" s="369">
        <f t="shared" si="13"/>
        <v>0</v>
      </c>
      <c r="I69" s="369">
        <f t="shared" si="13"/>
        <v>0</v>
      </c>
      <c r="J69" s="369">
        <f t="shared" si="13"/>
        <v>0</v>
      </c>
      <c r="K69" s="369">
        <f t="shared" si="13"/>
        <v>112785</v>
      </c>
      <c r="L69" s="369">
        <f t="shared" si="13"/>
        <v>41850</v>
      </c>
      <c r="M69" s="369">
        <f t="shared" si="13"/>
        <v>0</v>
      </c>
      <c r="N69" s="369">
        <f t="shared" si="13"/>
        <v>0</v>
      </c>
      <c r="O69" s="369">
        <f t="shared" si="13"/>
        <v>0</v>
      </c>
      <c r="P69" s="369">
        <f t="shared" si="13"/>
        <v>0</v>
      </c>
      <c r="Q69" s="359">
        <f>IF(OR(R69=0,R69=""),0,(R69/$R$70)*100)</f>
        <v>66.144347013957344</v>
      </c>
      <c r="R69" s="364">
        <f t="shared" si="7"/>
        <v>334635</v>
      </c>
      <c r="S69" s="370">
        <f t="shared" si="8"/>
        <v>0</v>
      </c>
      <c r="T69" s="359">
        <f>SUM(E26:P26)+SUM(E22:P22)</f>
        <v>0</v>
      </c>
      <c r="U69" s="370">
        <f t="shared" si="9"/>
        <v>0</v>
      </c>
      <c r="V69" s="359">
        <f>SUM(E10:P10)</f>
        <v>0</v>
      </c>
      <c r="W69" s="370">
        <f t="shared" si="10"/>
        <v>100</v>
      </c>
      <c r="X69" s="359">
        <f>SUM(E14:P14)</f>
        <v>334635</v>
      </c>
      <c r="Y69" s="370">
        <f t="shared" si="11"/>
        <v>0</v>
      </c>
      <c r="Z69" s="1108">
        <f>SUM(E18:P18)</f>
        <v>0</v>
      </c>
      <c r="AA69" s="340"/>
      <c r="AB69" s="340"/>
    </row>
    <row r="70" spans="2:28" ht="16.5" thickTop="1" thickBot="1" x14ac:dyDescent="0.3">
      <c r="B70" s="372" t="s">
        <v>89</v>
      </c>
      <c r="C70" s="373"/>
      <c r="D70" s="374" t="s">
        <v>47</v>
      </c>
      <c r="E70" s="375">
        <f t="shared" ref="E70:P70" si="14">SUM(E31:E69)</f>
        <v>8072.4700000000012</v>
      </c>
      <c r="F70" s="375">
        <f t="shared" si="14"/>
        <v>5231.1400000000003</v>
      </c>
      <c r="G70" s="375">
        <f t="shared" si="14"/>
        <v>189074.6</v>
      </c>
      <c r="H70" s="375">
        <f t="shared" si="14"/>
        <v>11501.060000000001</v>
      </c>
      <c r="I70" s="375">
        <f t="shared" si="14"/>
        <v>5650.35</v>
      </c>
      <c r="J70" s="375">
        <f t="shared" si="14"/>
        <v>7690.3199999999988</v>
      </c>
      <c r="K70" s="375">
        <f t="shared" si="14"/>
        <v>233131.6</v>
      </c>
      <c r="L70" s="375">
        <f t="shared" si="14"/>
        <v>45564.71</v>
      </c>
      <c r="M70" s="375">
        <f t="shared" si="14"/>
        <v>0</v>
      </c>
      <c r="N70" s="375">
        <f t="shared" si="14"/>
        <v>0</v>
      </c>
      <c r="O70" s="375">
        <f t="shared" si="14"/>
        <v>0</v>
      </c>
      <c r="P70" s="375">
        <f t="shared" si="14"/>
        <v>0</v>
      </c>
      <c r="Q70" s="376" t="s">
        <v>107</v>
      </c>
      <c r="R70" s="377">
        <f>SUM(R31:R69)</f>
        <v>505916.25</v>
      </c>
      <c r="S70" s="376">
        <f>IF($R70=0,0,(T70/$R70)*100)</f>
        <v>0</v>
      </c>
      <c r="T70" s="377">
        <f>IF($X$29&lt;&gt;"",SUM(T31:T69),0)</f>
        <v>0</v>
      </c>
      <c r="U70" s="376">
        <f>IF($R70=0,0,(V70/$R70)*100)</f>
        <v>0</v>
      </c>
      <c r="V70" s="377">
        <f>IF($X$29&lt;&gt;"",SUM(V31:V69),0)</f>
        <v>0</v>
      </c>
      <c r="W70" s="376">
        <f>IF($R70=0,0,(X70/$R70)*100)</f>
        <v>0</v>
      </c>
      <c r="X70" s="377">
        <f>IF($X$29&lt;&gt;"",SUM(X31:X69),0)</f>
        <v>0</v>
      </c>
      <c r="Y70" s="376">
        <f>IF($R70=0,0,(Z70/$R70)*100)</f>
        <v>0</v>
      </c>
      <c r="Z70" s="378">
        <f>IF($X$29&lt;&gt;"",SUM(Z31:Z69),0)</f>
        <v>0</v>
      </c>
      <c r="AA70" s="340"/>
      <c r="AB70" s="340"/>
    </row>
    <row r="71" spans="2:28" ht="16.5" thickTop="1" thickBot="1" x14ac:dyDescent="0.3">
      <c r="AA71" s="340"/>
      <c r="AB71" s="340"/>
    </row>
    <row r="72" spans="2:28" ht="16.5" thickTop="1" thickBot="1" x14ac:dyDescent="0.3">
      <c r="B72" s="379" t="s">
        <v>100</v>
      </c>
      <c r="C72" s="1214"/>
      <c r="D72" s="1214"/>
      <c r="E72" s="1214"/>
      <c r="F72" s="1214"/>
      <c r="G72" s="1214"/>
      <c r="H72" s="1214"/>
      <c r="I72" s="1214"/>
      <c r="J72" s="1214"/>
      <c r="K72" s="1214"/>
      <c r="L72" s="1214"/>
      <c r="M72" s="1214"/>
      <c r="N72" s="1214"/>
      <c r="O72" s="1214"/>
      <c r="P72" s="1214"/>
      <c r="Q72" s="1214"/>
      <c r="R72" s="1214"/>
      <c r="S72" s="1214"/>
      <c r="T72" s="1214"/>
      <c r="U72" s="1214"/>
      <c r="V72" s="1214"/>
      <c r="W72" s="1214"/>
      <c r="X72" s="1214"/>
      <c r="Y72" s="1214"/>
      <c r="Z72" s="1215"/>
      <c r="AA72" s="340"/>
      <c r="AB72" s="340"/>
    </row>
    <row r="73" spans="2:28" ht="15.75" thickTop="1" x14ac:dyDescent="0.25">
      <c r="B73" s="380" t="s">
        <v>90</v>
      </c>
      <c r="C73" s="381" t="s">
        <v>85</v>
      </c>
      <c r="D73" s="339" t="s">
        <v>47</v>
      </c>
      <c r="E73" s="421"/>
      <c r="F73" s="421"/>
      <c r="G73" s="421"/>
      <c r="H73" s="421"/>
      <c r="I73" s="421"/>
      <c r="J73" s="421"/>
      <c r="K73" s="421"/>
      <c r="L73" s="421"/>
      <c r="M73" s="421"/>
      <c r="N73" s="421"/>
      <c r="O73" s="421"/>
      <c r="P73" s="421"/>
      <c r="Q73" s="382">
        <f>IF(OR(R73=0,R73=""),0,(R73/$R$91)*100)</f>
        <v>0</v>
      </c>
      <c r="R73" s="382">
        <f t="shared" ref="R73:R89" si="15">SUM(E73:P73)</f>
        <v>0</v>
      </c>
      <c r="S73" s="383">
        <f t="shared" ref="S73:S90" si="16">IF($R73=0,0,(T73/$R73)*100)</f>
        <v>0</v>
      </c>
      <c r="T73" s="421"/>
      <c r="U73" s="383">
        <f t="shared" ref="U73:U90" si="17">IF($R73=0,0,(V73/$R73)*100)</f>
        <v>0</v>
      </c>
      <c r="V73" s="421"/>
      <c r="W73" s="383">
        <f t="shared" ref="W73:W90" si="18">IF($R73=0,0,(X73/$R73)*100)</f>
        <v>0</v>
      </c>
      <c r="X73" s="421"/>
      <c r="Y73" s="383">
        <f t="shared" ref="Y73:Y90" si="19">IF($R73=0,0,(Z73/$R73)*100)</f>
        <v>0</v>
      </c>
      <c r="Z73" s="423"/>
      <c r="AA73" s="340"/>
      <c r="AB73" s="340"/>
    </row>
    <row r="74" spans="2:28" x14ac:dyDescent="0.25">
      <c r="B74" s="384" t="s">
        <v>91</v>
      </c>
      <c r="C74" s="385" t="s">
        <v>85</v>
      </c>
      <c r="D74" s="331" t="s">
        <v>47</v>
      </c>
      <c r="E74" s="422">
        <v>131.56</v>
      </c>
      <c r="F74" s="422"/>
      <c r="G74" s="422"/>
      <c r="H74" s="422"/>
      <c r="I74" s="422"/>
      <c r="J74" s="422"/>
      <c r="K74" s="422"/>
      <c r="L74" s="422"/>
      <c r="M74" s="422"/>
      <c r="N74" s="422"/>
      <c r="O74" s="422"/>
      <c r="P74" s="422"/>
      <c r="Q74" s="386">
        <f t="shared" ref="Q74:Q90" si="20">IF(OR(R74=0,R74=""),0,(R74/$R$91)*100)</f>
        <v>0.40068771119784491</v>
      </c>
      <c r="R74" s="386">
        <f t="shared" si="15"/>
        <v>131.56</v>
      </c>
      <c r="S74" s="387">
        <f t="shared" si="16"/>
        <v>0</v>
      </c>
      <c r="T74" s="422"/>
      <c r="U74" s="387">
        <f t="shared" si="17"/>
        <v>0</v>
      </c>
      <c r="V74" s="422"/>
      <c r="W74" s="387">
        <f t="shared" si="18"/>
        <v>0</v>
      </c>
      <c r="X74" s="422"/>
      <c r="Y74" s="387">
        <f t="shared" si="19"/>
        <v>0</v>
      </c>
      <c r="Z74" s="424"/>
      <c r="AA74" s="340"/>
      <c r="AB74" s="340"/>
    </row>
    <row r="75" spans="2:28" x14ac:dyDescent="0.25">
      <c r="B75" s="384" t="s">
        <v>92</v>
      </c>
      <c r="C75" s="385" t="s">
        <v>85</v>
      </c>
      <c r="D75" s="331" t="s">
        <v>47</v>
      </c>
      <c r="E75" s="422"/>
      <c r="F75" s="422"/>
      <c r="G75" s="422"/>
      <c r="H75" s="422"/>
      <c r="I75" s="422"/>
      <c r="J75" s="422"/>
      <c r="K75" s="422"/>
      <c r="L75" s="422"/>
      <c r="M75" s="422"/>
      <c r="N75" s="422"/>
      <c r="O75" s="422"/>
      <c r="P75" s="422"/>
      <c r="Q75" s="386">
        <f t="shared" si="20"/>
        <v>0</v>
      </c>
      <c r="R75" s="386">
        <f t="shared" si="15"/>
        <v>0</v>
      </c>
      <c r="S75" s="387">
        <f t="shared" si="16"/>
        <v>0</v>
      </c>
      <c r="T75" s="422"/>
      <c r="U75" s="387">
        <f t="shared" si="17"/>
        <v>0</v>
      </c>
      <c r="V75" s="422"/>
      <c r="W75" s="387">
        <f t="shared" si="18"/>
        <v>0</v>
      </c>
      <c r="X75" s="422"/>
      <c r="Y75" s="387">
        <f t="shared" si="19"/>
        <v>0</v>
      </c>
      <c r="Z75" s="424"/>
      <c r="AA75" s="340"/>
      <c r="AB75" s="340"/>
    </row>
    <row r="76" spans="2:28" x14ac:dyDescent="0.25">
      <c r="B76" s="384" t="s">
        <v>93</v>
      </c>
      <c r="C76" s="385" t="s">
        <v>85</v>
      </c>
      <c r="D76" s="331" t="s">
        <v>47</v>
      </c>
      <c r="E76" s="422">
        <v>45</v>
      </c>
      <c r="F76" s="422">
        <v>45</v>
      </c>
      <c r="G76" s="422">
        <v>45</v>
      </c>
      <c r="H76" s="422">
        <v>45</v>
      </c>
      <c r="I76" s="422">
        <v>45</v>
      </c>
      <c r="J76" s="422">
        <v>45</v>
      </c>
      <c r="K76" s="422">
        <f>45/2</f>
        <v>22.5</v>
      </c>
      <c r="L76" s="422">
        <v>22.5</v>
      </c>
      <c r="M76" s="422"/>
      <c r="N76" s="422"/>
      <c r="O76" s="422"/>
      <c r="P76" s="422"/>
      <c r="Q76" s="386">
        <f t="shared" si="20"/>
        <v>0.95938453198024576</v>
      </c>
      <c r="R76" s="386">
        <f t="shared" si="15"/>
        <v>315</v>
      </c>
      <c r="S76" s="387">
        <f t="shared" si="16"/>
        <v>0</v>
      </c>
      <c r="T76" s="422"/>
      <c r="U76" s="387">
        <f t="shared" si="17"/>
        <v>0</v>
      </c>
      <c r="V76" s="422"/>
      <c r="W76" s="387">
        <f t="shared" si="18"/>
        <v>0</v>
      </c>
      <c r="X76" s="422"/>
      <c r="Y76" s="387">
        <f t="shared" si="19"/>
        <v>0</v>
      </c>
      <c r="Z76" s="424"/>
      <c r="AA76" s="340"/>
      <c r="AB76" s="340"/>
    </row>
    <row r="77" spans="2:28" x14ac:dyDescent="0.25">
      <c r="B77" s="384" t="s">
        <v>94</v>
      </c>
      <c r="C77" s="385" t="s">
        <v>85</v>
      </c>
      <c r="D77" s="331" t="s">
        <v>47</v>
      </c>
      <c r="E77" s="422"/>
      <c r="F77" s="422"/>
      <c r="G77" s="422"/>
      <c r="H77" s="422"/>
      <c r="I77" s="422"/>
      <c r="J77" s="422"/>
      <c r="K77" s="422"/>
      <c r="L77" s="422"/>
      <c r="M77" s="422"/>
      <c r="N77" s="422"/>
      <c r="O77" s="422"/>
      <c r="P77" s="422"/>
      <c r="Q77" s="386">
        <f t="shared" si="20"/>
        <v>0</v>
      </c>
      <c r="R77" s="386">
        <f t="shared" si="15"/>
        <v>0</v>
      </c>
      <c r="S77" s="387">
        <f t="shared" si="16"/>
        <v>0</v>
      </c>
      <c r="T77" s="422"/>
      <c r="U77" s="387">
        <f t="shared" si="17"/>
        <v>0</v>
      </c>
      <c r="V77" s="422"/>
      <c r="W77" s="387">
        <f t="shared" si="18"/>
        <v>0</v>
      </c>
      <c r="X77" s="422"/>
      <c r="Y77" s="387">
        <f t="shared" si="19"/>
        <v>0</v>
      </c>
      <c r="Z77" s="424"/>
      <c r="AA77" s="340"/>
      <c r="AB77" s="340"/>
    </row>
    <row r="78" spans="2:28" x14ac:dyDescent="0.25">
      <c r="B78" s="384" t="s">
        <v>95</v>
      </c>
      <c r="C78" s="385" t="s">
        <v>96</v>
      </c>
      <c r="D78" s="331" t="s">
        <v>47</v>
      </c>
      <c r="E78" s="422"/>
      <c r="F78" s="422"/>
      <c r="G78" s="422"/>
      <c r="H78" s="422"/>
      <c r="I78" s="422"/>
      <c r="J78" s="422"/>
      <c r="K78" s="422"/>
      <c r="L78" s="422"/>
      <c r="M78" s="422"/>
      <c r="N78" s="422"/>
      <c r="O78" s="422"/>
      <c r="P78" s="422"/>
      <c r="Q78" s="386">
        <f t="shared" si="20"/>
        <v>0</v>
      </c>
      <c r="R78" s="386">
        <f t="shared" si="15"/>
        <v>0</v>
      </c>
      <c r="S78" s="387">
        <f t="shared" si="16"/>
        <v>0</v>
      </c>
      <c r="T78" s="422"/>
      <c r="U78" s="387">
        <f t="shared" si="17"/>
        <v>0</v>
      </c>
      <c r="V78" s="422"/>
      <c r="W78" s="387">
        <f t="shared" si="18"/>
        <v>0</v>
      </c>
      <c r="X78" s="422"/>
      <c r="Y78" s="387">
        <f t="shared" si="19"/>
        <v>0</v>
      </c>
      <c r="Z78" s="424"/>
      <c r="AA78" s="340"/>
      <c r="AB78" s="340"/>
    </row>
    <row r="79" spans="2:28" x14ac:dyDescent="0.25">
      <c r="B79" s="384" t="s">
        <v>97</v>
      </c>
      <c r="C79" s="385" t="s">
        <v>96</v>
      </c>
      <c r="D79" s="331" t="s">
        <v>47</v>
      </c>
      <c r="E79" s="422"/>
      <c r="F79" s="422"/>
      <c r="G79" s="422"/>
      <c r="H79" s="422"/>
      <c r="I79" s="422"/>
      <c r="J79" s="422"/>
      <c r="K79" s="422"/>
      <c r="L79" s="422"/>
      <c r="M79" s="422"/>
      <c r="N79" s="422"/>
      <c r="O79" s="422"/>
      <c r="P79" s="422"/>
      <c r="Q79" s="386">
        <f t="shared" si="20"/>
        <v>0</v>
      </c>
      <c r="R79" s="386">
        <f t="shared" si="15"/>
        <v>0</v>
      </c>
      <c r="S79" s="387">
        <f t="shared" si="16"/>
        <v>0</v>
      </c>
      <c r="T79" s="422"/>
      <c r="U79" s="387">
        <f t="shared" si="17"/>
        <v>0</v>
      </c>
      <c r="V79" s="422"/>
      <c r="W79" s="387">
        <f t="shared" si="18"/>
        <v>0</v>
      </c>
      <c r="X79" s="422"/>
      <c r="Y79" s="387">
        <f t="shared" si="19"/>
        <v>0</v>
      </c>
      <c r="Z79" s="424"/>
      <c r="AA79" s="340"/>
      <c r="AB79" s="340"/>
    </row>
    <row r="80" spans="2:28" x14ac:dyDescent="0.25">
      <c r="B80" s="384" t="s">
        <v>98</v>
      </c>
      <c r="C80" s="385" t="s">
        <v>46</v>
      </c>
      <c r="D80" s="331" t="s">
        <v>47</v>
      </c>
      <c r="E80" s="422">
        <v>200</v>
      </c>
      <c r="F80" s="422">
        <v>200</v>
      </c>
      <c r="G80" s="422">
        <v>200</v>
      </c>
      <c r="H80" s="422">
        <v>200</v>
      </c>
      <c r="I80" s="422">
        <v>200</v>
      </c>
      <c r="J80" s="422">
        <v>200</v>
      </c>
      <c r="K80" s="422">
        <v>200</v>
      </c>
      <c r="L80" s="422">
        <v>200</v>
      </c>
      <c r="M80" s="422"/>
      <c r="N80" s="422"/>
      <c r="O80" s="422"/>
      <c r="P80" s="422"/>
      <c r="Q80" s="386">
        <f t="shared" si="20"/>
        <v>4.8730642894234704</v>
      </c>
      <c r="R80" s="386">
        <f t="shared" si="15"/>
        <v>1600</v>
      </c>
      <c r="S80" s="387">
        <f t="shared" si="16"/>
        <v>0</v>
      </c>
      <c r="T80" s="422"/>
      <c r="U80" s="387">
        <f t="shared" si="17"/>
        <v>0</v>
      </c>
      <c r="V80" s="422"/>
      <c r="W80" s="387">
        <f t="shared" si="18"/>
        <v>0</v>
      </c>
      <c r="X80" s="422"/>
      <c r="Y80" s="387">
        <f t="shared" si="19"/>
        <v>0</v>
      </c>
      <c r="Z80" s="424"/>
      <c r="AA80" s="340"/>
      <c r="AB80" s="340"/>
    </row>
    <row r="81" spans="2:28" x14ac:dyDescent="0.25">
      <c r="B81" s="384" t="s">
        <v>370</v>
      </c>
      <c r="C81" s="385" t="s">
        <v>46</v>
      </c>
      <c r="D81" s="331" t="s">
        <v>47</v>
      </c>
      <c r="E81" s="422"/>
      <c r="F81" s="422"/>
      <c r="G81" s="422"/>
      <c r="H81" s="422"/>
      <c r="I81" s="422"/>
      <c r="J81" s="422"/>
      <c r="K81" s="422"/>
      <c r="L81" s="422"/>
      <c r="M81" s="422"/>
      <c r="N81" s="422"/>
      <c r="O81" s="422"/>
      <c r="P81" s="422"/>
      <c r="Q81" s="386">
        <f t="shared" si="20"/>
        <v>0</v>
      </c>
      <c r="R81" s="386">
        <f t="shared" si="15"/>
        <v>0</v>
      </c>
      <c r="S81" s="387">
        <f t="shared" si="16"/>
        <v>0</v>
      </c>
      <c r="T81" s="422"/>
      <c r="U81" s="387">
        <f t="shared" si="17"/>
        <v>0</v>
      </c>
      <c r="V81" s="422"/>
      <c r="W81" s="387">
        <f t="shared" si="18"/>
        <v>0</v>
      </c>
      <c r="X81" s="422"/>
      <c r="Y81" s="387">
        <f t="shared" si="19"/>
        <v>0</v>
      </c>
      <c r="Z81" s="424"/>
      <c r="AA81" s="340"/>
      <c r="AB81" s="340"/>
    </row>
    <row r="82" spans="2:28" x14ac:dyDescent="0.25">
      <c r="B82" s="419" t="s">
        <v>88</v>
      </c>
      <c r="C82" s="420" t="s">
        <v>533</v>
      </c>
      <c r="D82" s="331" t="s">
        <v>47</v>
      </c>
      <c r="E82" s="422">
        <v>974.66</v>
      </c>
      <c r="F82" s="422">
        <v>359.23</v>
      </c>
      <c r="G82" s="422">
        <v>1441.94</v>
      </c>
      <c r="H82" s="422">
        <v>785.3</v>
      </c>
      <c r="I82" s="422">
        <v>1064.45</v>
      </c>
      <c r="J82" s="422">
        <v>525.85</v>
      </c>
      <c r="K82" s="422">
        <v>421.17</v>
      </c>
      <c r="L82" s="422">
        <v>943.88</v>
      </c>
      <c r="M82" s="422"/>
      <c r="N82" s="422"/>
      <c r="O82" s="422"/>
      <c r="P82" s="422"/>
      <c r="Q82" s="386">
        <f t="shared" si="20"/>
        <v>19.84701623796391</v>
      </c>
      <c r="R82" s="386">
        <f t="shared" si="15"/>
        <v>6516.4800000000005</v>
      </c>
      <c r="S82" s="387">
        <f t="shared" si="16"/>
        <v>0</v>
      </c>
      <c r="T82" s="422"/>
      <c r="U82" s="387">
        <f t="shared" si="17"/>
        <v>0</v>
      </c>
      <c r="V82" s="422"/>
      <c r="W82" s="387">
        <f t="shared" si="18"/>
        <v>0</v>
      </c>
      <c r="X82" s="422"/>
      <c r="Y82" s="387">
        <f t="shared" si="19"/>
        <v>0</v>
      </c>
      <c r="Z82" s="424"/>
      <c r="AA82" s="340"/>
      <c r="AB82" s="340"/>
    </row>
    <row r="83" spans="2:28" x14ac:dyDescent="0.25">
      <c r="B83" s="419" t="s">
        <v>529</v>
      </c>
      <c r="C83" s="420" t="s">
        <v>530</v>
      </c>
      <c r="D83" s="331" t="s">
        <v>47</v>
      </c>
      <c r="E83" s="422">
        <v>2000</v>
      </c>
      <c r="F83" s="422">
        <v>2000</v>
      </c>
      <c r="G83" s="422">
        <v>2000</v>
      </c>
      <c r="H83" s="422">
        <v>2000</v>
      </c>
      <c r="I83" s="422">
        <v>2000</v>
      </c>
      <c r="J83" s="422">
        <v>2000</v>
      </c>
      <c r="K83" s="422">
        <v>2000</v>
      </c>
      <c r="L83" s="422">
        <v>2000</v>
      </c>
      <c r="M83" s="422"/>
      <c r="N83" s="422"/>
      <c r="O83" s="422"/>
      <c r="P83" s="422"/>
      <c r="Q83" s="386">
        <f t="shared" si="20"/>
        <v>48.730642894234705</v>
      </c>
      <c r="R83" s="386">
        <f t="shared" si="15"/>
        <v>16000</v>
      </c>
      <c r="S83" s="387">
        <f t="shared" si="16"/>
        <v>0</v>
      </c>
      <c r="T83" s="422"/>
      <c r="U83" s="387">
        <f t="shared" si="17"/>
        <v>0</v>
      </c>
      <c r="V83" s="422"/>
      <c r="W83" s="387">
        <f t="shared" si="18"/>
        <v>0</v>
      </c>
      <c r="X83" s="422"/>
      <c r="Y83" s="387">
        <f t="shared" si="19"/>
        <v>0</v>
      </c>
      <c r="Z83" s="424"/>
      <c r="AA83" s="340"/>
      <c r="AB83" s="340"/>
    </row>
    <row r="84" spans="2:28" x14ac:dyDescent="0.25">
      <c r="B84" s="419" t="s">
        <v>531</v>
      </c>
      <c r="C84" s="420" t="s">
        <v>532</v>
      </c>
      <c r="D84" s="331" t="s">
        <v>47</v>
      </c>
      <c r="E84" s="422">
        <v>600</v>
      </c>
      <c r="F84" s="422">
        <v>300</v>
      </c>
      <c r="G84" s="422">
        <v>800</v>
      </c>
      <c r="H84" s="422">
        <v>500</v>
      </c>
      <c r="I84" s="422">
        <v>600</v>
      </c>
      <c r="J84" s="422">
        <v>300</v>
      </c>
      <c r="K84" s="422">
        <v>350</v>
      </c>
      <c r="L84" s="422">
        <v>550</v>
      </c>
      <c r="M84" s="422"/>
      <c r="N84" s="422"/>
      <c r="O84" s="422"/>
      <c r="P84" s="422"/>
      <c r="Q84" s="386">
        <f t="shared" si="20"/>
        <v>12.182660723558676</v>
      </c>
      <c r="R84" s="386">
        <f t="shared" si="15"/>
        <v>4000</v>
      </c>
      <c r="S84" s="387">
        <f t="shared" si="16"/>
        <v>0</v>
      </c>
      <c r="T84" s="422"/>
      <c r="U84" s="387">
        <f t="shared" si="17"/>
        <v>0</v>
      </c>
      <c r="V84" s="422"/>
      <c r="W84" s="387">
        <f t="shared" si="18"/>
        <v>0</v>
      </c>
      <c r="X84" s="422"/>
      <c r="Y84" s="387">
        <f t="shared" si="19"/>
        <v>0</v>
      </c>
      <c r="Z84" s="424"/>
      <c r="AA84" s="340"/>
      <c r="AB84" s="340"/>
    </row>
    <row r="85" spans="2:28" x14ac:dyDescent="0.25">
      <c r="B85" s="419" t="s">
        <v>534</v>
      </c>
      <c r="C85" s="420" t="s">
        <v>535</v>
      </c>
      <c r="D85" s="331" t="s">
        <v>47</v>
      </c>
      <c r="E85" s="422"/>
      <c r="F85" s="422"/>
      <c r="G85" s="422"/>
      <c r="H85" s="422"/>
      <c r="I85" s="422"/>
      <c r="J85" s="422"/>
      <c r="K85" s="422">
        <v>440</v>
      </c>
      <c r="L85" s="422">
        <v>350</v>
      </c>
      <c r="M85" s="422"/>
      <c r="N85" s="422"/>
      <c r="O85" s="422"/>
      <c r="P85" s="422"/>
      <c r="Q85" s="386">
        <f t="shared" si="20"/>
        <v>2.4060754929028385</v>
      </c>
      <c r="R85" s="386">
        <f t="shared" si="15"/>
        <v>790</v>
      </c>
      <c r="S85" s="387">
        <f t="shared" si="16"/>
        <v>0</v>
      </c>
      <c r="T85" s="422"/>
      <c r="U85" s="387">
        <f t="shared" si="17"/>
        <v>0</v>
      </c>
      <c r="V85" s="422"/>
      <c r="W85" s="387">
        <f t="shared" si="18"/>
        <v>0</v>
      </c>
      <c r="X85" s="422"/>
      <c r="Y85" s="387">
        <f t="shared" si="19"/>
        <v>0</v>
      </c>
      <c r="Z85" s="424"/>
      <c r="AA85" s="340"/>
      <c r="AB85" s="340"/>
    </row>
    <row r="86" spans="2:28" x14ac:dyDescent="0.25">
      <c r="B86" s="419" t="s">
        <v>536</v>
      </c>
      <c r="C86" s="420" t="s">
        <v>537</v>
      </c>
      <c r="D86" s="331" t="s">
        <v>47</v>
      </c>
      <c r="E86" s="422"/>
      <c r="F86" s="422"/>
      <c r="G86" s="422"/>
      <c r="H86" s="422"/>
      <c r="I86" s="422"/>
      <c r="J86" s="422"/>
      <c r="K86" s="422"/>
      <c r="L86" s="422"/>
      <c r="M86" s="422"/>
      <c r="N86" s="422"/>
      <c r="O86" s="422"/>
      <c r="P86" s="422"/>
      <c r="Q86" s="386">
        <f t="shared" si="20"/>
        <v>0</v>
      </c>
      <c r="R86" s="386">
        <f t="shared" si="15"/>
        <v>0</v>
      </c>
      <c r="S86" s="387">
        <f t="shared" si="16"/>
        <v>0</v>
      </c>
      <c r="T86" s="422"/>
      <c r="U86" s="387">
        <f t="shared" si="17"/>
        <v>0</v>
      </c>
      <c r="V86" s="422"/>
      <c r="W86" s="387">
        <f t="shared" si="18"/>
        <v>0</v>
      </c>
      <c r="X86" s="422"/>
      <c r="Y86" s="387">
        <f t="shared" si="19"/>
        <v>0</v>
      </c>
      <c r="Z86" s="424"/>
      <c r="AA86" s="340"/>
      <c r="AB86" s="340"/>
    </row>
    <row r="87" spans="2:28" x14ac:dyDescent="0.25">
      <c r="B87" s="419" t="s">
        <v>538</v>
      </c>
      <c r="C87" s="420" t="s">
        <v>539</v>
      </c>
      <c r="D87" s="331" t="s">
        <v>47</v>
      </c>
      <c r="E87" s="422"/>
      <c r="F87" s="422"/>
      <c r="G87" s="422"/>
      <c r="H87" s="422"/>
      <c r="I87" s="422"/>
      <c r="J87" s="422">
        <v>116</v>
      </c>
      <c r="K87" s="422"/>
      <c r="L87" s="422"/>
      <c r="M87" s="422"/>
      <c r="N87" s="422"/>
      <c r="O87" s="422"/>
      <c r="P87" s="422"/>
      <c r="Q87" s="386">
        <f t="shared" si="20"/>
        <v>0.35329716098320157</v>
      </c>
      <c r="R87" s="386">
        <f t="shared" si="15"/>
        <v>116</v>
      </c>
      <c r="S87" s="387">
        <f t="shared" si="16"/>
        <v>0</v>
      </c>
      <c r="T87" s="422"/>
      <c r="U87" s="387">
        <f t="shared" si="17"/>
        <v>0</v>
      </c>
      <c r="V87" s="422"/>
      <c r="W87" s="387">
        <f t="shared" si="18"/>
        <v>0</v>
      </c>
      <c r="X87" s="422"/>
      <c r="Y87" s="387">
        <f t="shared" si="19"/>
        <v>0</v>
      </c>
      <c r="Z87" s="424"/>
      <c r="AA87" s="340"/>
      <c r="AB87" s="340"/>
    </row>
    <row r="88" spans="2:28" x14ac:dyDescent="0.25">
      <c r="B88" s="419" t="s">
        <v>88</v>
      </c>
      <c r="C88" s="420" t="s">
        <v>88</v>
      </c>
      <c r="D88" s="331" t="s">
        <v>47</v>
      </c>
      <c r="E88" s="422">
        <v>210.51</v>
      </c>
      <c r="F88" s="422"/>
      <c r="G88" s="422">
        <v>530</v>
      </c>
      <c r="H88" s="422"/>
      <c r="I88" s="422">
        <v>820</v>
      </c>
      <c r="J88" s="422"/>
      <c r="K88" s="422"/>
      <c r="L88" s="422"/>
      <c r="M88" s="422"/>
      <c r="N88" s="422"/>
      <c r="O88" s="422"/>
      <c r="P88" s="422"/>
      <c r="Q88" s="386">
        <f t="shared" si="20"/>
        <v>4.7527909714301373</v>
      </c>
      <c r="R88" s="386">
        <f t="shared" si="15"/>
        <v>1560.51</v>
      </c>
      <c r="S88" s="387">
        <f t="shared" si="16"/>
        <v>0</v>
      </c>
      <c r="T88" s="422"/>
      <c r="U88" s="387">
        <f t="shared" si="17"/>
        <v>0</v>
      </c>
      <c r="V88" s="422"/>
      <c r="W88" s="387">
        <f t="shared" si="18"/>
        <v>0</v>
      </c>
      <c r="X88" s="422"/>
      <c r="Y88" s="387">
        <f t="shared" si="19"/>
        <v>0</v>
      </c>
      <c r="Z88" s="424"/>
      <c r="AA88" s="340"/>
      <c r="AB88" s="340"/>
    </row>
    <row r="89" spans="2:28" x14ac:dyDescent="0.25">
      <c r="B89" s="419" t="s">
        <v>88</v>
      </c>
      <c r="C89" s="420" t="s">
        <v>542</v>
      </c>
      <c r="D89" s="331" t="s">
        <v>47</v>
      </c>
      <c r="E89" s="422"/>
      <c r="F89" s="422"/>
      <c r="G89" s="422"/>
      <c r="H89" s="422"/>
      <c r="I89" s="422"/>
      <c r="J89" s="422"/>
      <c r="K89" s="422">
        <v>1154</v>
      </c>
      <c r="L89" s="422">
        <v>650</v>
      </c>
      <c r="M89" s="422"/>
      <c r="N89" s="422"/>
      <c r="O89" s="422"/>
      <c r="P89" s="422"/>
      <c r="Q89" s="386">
        <f t="shared" si="20"/>
        <v>5.4943799863249625</v>
      </c>
      <c r="R89" s="386">
        <f t="shared" si="15"/>
        <v>1804</v>
      </c>
      <c r="S89" s="387">
        <f t="shared" si="16"/>
        <v>0</v>
      </c>
      <c r="T89" s="422"/>
      <c r="U89" s="387">
        <f t="shared" si="17"/>
        <v>0</v>
      </c>
      <c r="V89" s="422"/>
      <c r="W89" s="387">
        <f t="shared" si="18"/>
        <v>0</v>
      </c>
      <c r="X89" s="422"/>
      <c r="Y89" s="387">
        <f t="shared" si="19"/>
        <v>0</v>
      </c>
      <c r="Z89" s="424"/>
      <c r="AA89" s="340"/>
      <c r="AB89" s="340"/>
    </row>
    <row r="90" spans="2:28" ht="15.75" thickBot="1" x14ac:dyDescent="0.3">
      <c r="B90" s="388" t="s">
        <v>247</v>
      </c>
      <c r="C90" s="385" t="s">
        <v>247</v>
      </c>
      <c r="D90" s="333" t="s">
        <v>47</v>
      </c>
      <c r="E90" s="389">
        <f t="shared" ref="E90:O90" si="21">IF($R90=0,0,$R90/12)</f>
        <v>0</v>
      </c>
      <c r="F90" s="389">
        <f t="shared" si="21"/>
        <v>0</v>
      </c>
      <c r="G90" s="389">
        <f t="shared" si="21"/>
        <v>0</v>
      </c>
      <c r="H90" s="389">
        <f t="shared" si="21"/>
        <v>0</v>
      </c>
      <c r="I90" s="389">
        <f t="shared" si="21"/>
        <v>0</v>
      </c>
      <c r="J90" s="389">
        <f t="shared" si="21"/>
        <v>0</v>
      </c>
      <c r="K90" s="389">
        <f t="shared" si="21"/>
        <v>0</v>
      </c>
      <c r="L90" s="389">
        <f t="shared" si="21"/>
        <v>0</v>
      </c>
      <c r="M90" s="389">
        <f t="shared" si="21"/>
        <v>0</v>
      </c>
      <c r="N90" s="389">
        <f t="shared" si="21"/>
        <v>0</v>
      </c>
      <c r="O90" s="389">
        <f t="shared" si="21"/>
        <v>0</v>
      </c>
      <c r="P90" s="389">
        <f>IF($R90=0,0,$R90/12)</f>
        <v>0</v>
      </c>
      <c r="Q90" s="427">
        <f t="shared" si="20"/>
        <v>0</v>
      </c>
      <c r="R90" s="427">
        <f>SUM(T90,V90,X90,Z90)</f>
        <v>0</v>
      </c>
      <c r="S90" s="370">
        <f t="shared" si="16"/>
        <v>0</v>
      </c>
      <c r="T90" s="369">
        <f>SUM(INVESTIMENTOS!N52,INVESTIMENTOS!N83,INVESTIMENTOS!N112,INVESTIMENTOS!N141,INVESTIMENTOS!N169)</f>
        <v>0</v>
      </c>
      <c r="U90" s="370">
        <f t="shared" si="17"/>
        <v>0</v>
      </c>
      <c r="V90" s="369">
        <f>SUM(INVESTIMENTOS!P52,INVESTIMENTOS!P83,INVESTIMENTOS!P112,INVESTIMENTOS!P141,INVESTIMENTOS!P169)</f>
        <v>0</v>
      </c>
      <c r="W90" s="370">
        <f t="shared" si="18"/>
        <v>0</v>
      </c>
      <c r="X90" s="369">
        <f>SUM(INVESTIMENTOS!R52,INVESTIMENTOS!R83,INVESTIMENTOS!R112,INVESTIMENTOS!R141,INVESTIMENTOS!R169)</f>
        <v>0</v>
      </c>
      <c r="Y90" s="370">
        <f t="shared" si="19"/>
        <v>0</v>
      </c>
      <c r="Z90" s="371">
        <f>SUM(INVESTIMENTOS!T52,INVESTIMENTOS!T83,INVESTIMENTOS!T112,INVESTIMENTOS!T141,INVESTIMENTOS!T169)</f>
        <v>0</v>
      </c>
      <c r="AA90" s="340"/>
      <c r="AB90" s="340"/>
    </row>
    <row r="91" spans="2:28" ht="16.5" thickTop="1" thickBot="1" x14ac:dyDescent="0.3">
      <c r="B91" s="390" t="s">
        <v>99</v>
      </c>
      <c r="C91" s="391"/>
      <c r="D91" s="392" t="s">
        <v>47</v>
      </c>
      <c r="E91" s="393">
        <f t="shared" ref="E91:R91" si="22">SUM(E73:E90)</f>
        <v>4161.7300000000005</v>
      </c>
      <c r="F91" s="393">
        <f t="shared" si="22"/>
        <v>2904.23</v>
      </c>
      <c r="G91" s="393">
        <f t="shared" si="22"/>
        <v>5016.9400000000005</v>
      </c>
      <c r="H91" s="393">
        <f t="shared" si="22"/>
        <v>3530.3</v>
      </c>
      <c r="I91" s="393">
        <f t="shared" si="22"/>
        <v>4729.45</v>
      </c>
      <c r="J91" s="393">
        <f t="shared" si="22"/>
        <v>3186.85</v>
      </c>
      <c r="K91" s="393">
        <f t="shared" si="22"/>
        <v>4587.67</v>
      </c>
      <c r="L91" s="393">
        <f t="shared" si="22"/>
        <v>4716.38</v>
      </c>
      <c r="M91" s="393">
        <f t="shared" si="22"/>
        <v>0</v>
      </c>
      <c r="N91" s="393">
        <f t="shared" si="22"/>
        <v>0</v>
      </c>
      <c r="O91" s="393">
        <f t="shared" si="22"/>
        <v>0</v>
      </c>
      <c r="P91" s="393">
        <f t="shared" si="22"/>
        <v>0</v>
      </c>
      <c r="Q91" s="428" t="s">
        <v>107</v>
      </c>
      <c r="R91" s="429">
        <f t="shared" si="22"/>
        <v>32833.550000000003</v>
      </c>
      <c r="S91" s="428">
        <f>IF($R91=0,0,(T91/$R91)*100)</f>
        <v>0</v>
      </c>
      <c r="T91" s="429">
        <f>IF($X$29&lt;&gt;"",SUM(T73:T90),0)</f>
        <v>0</v>
      </c>
      <c r="U91" s="428">
        <f>IF($R91=0,0,(V91/$R91)*100)</f>
        <v>0</v>
      </c>
      <c r="V91" s="429">
        <f>IF($X$29&lt;&gt;"",SUM(V73:V90),0)</f>
        <v>0</v>
      </c>
      <c r="W91" s="428">
        <f>IF($R91=0,0,(X91/$R91)*100)</f>
        <v>0</v>
      </c>
      <c r="X91" s="429">
        <f>IF($X$29&lt;&gt;"",SUM(X73:X90),0)</f>
        <v>0</v>
      </c>
      <c r="Y91" s="428">
        <f>IF($R91=0,0,(Z91/$R91)*100)</f>
        <v>0</v>
      </c>
      <c r="Z91" s="430">
        <f>IF($X$29&lt;&gt;"",SUM(Z73:Z90),0)</f>
        <v>0</v>
      </c>
      <c r="AA91" s="340"/>
    </row>
    <row r="92" spans="2:28" ht="16.5" thickTop="1" thickBot="1" x14ac:dyDescent="0.3">
      <c r="D92" s="394"/>
    </row>
    <row r="93" spans="2:28" ht="16.5" thickTop="1" thickBot="1" x14ac:dyDescent="0.3">
      <c r="B93" s="395" t="s">
        <v>223</v>
      </c>
      <c r="C93" s="396"/>
      <c r="D93" s="397" t="s">
        <v>47</v>
      </c>
      <c r="E93" s="398">
        <f t="shared" ref="E93:P93" si="23">E70+E91</f>
        <v>12234.2</v>
      </c>
      <c r="F93" s="398">
        <f t="shared" si="23"/>
        <v>8135.3700000000008</v>
      </c>
      <c r="G93" s="398">
        <f t="shared" si="23"/>
        <v>194091.54</v>
      </c>
      <c r="H93" s="398">
        <f t="shared" si="23"/>
        <v>15031.36</v>
      </c>
      <c r="I93" s="398">
        <f t="shared" si="23"/>
        <v>10379.799999999999</v>
      </c>
      <c r="J93" s="398">
        <f t="shared" si="23"/>
        <v>10877.169999999998</v>
      </c>
      <c r="K93" s="398">
        <f t="shared" si="23"/>
        <v>237719.27000000002</v>
      </c>
      <c r="L93" s="398">
        <f t="shared" si="23"/>
        <v>50281.09</v>
      </c>
      <c r="M93" s="398">
        <f t="shared" si="23"/>
        <v>0</v>
      </c>
      <c r="N93" s="398">
        <f t="shared" si="23"/>
        <v>0</v>
      </c>
      <c r="O93" s="398">
        <f t="shared" si="23"/>
        <v>0</v>
      </c>
      <c r="P93" s="398">
        <f t="shared" si="23"/>
        <v>0</v>
      </c>
      <c r="Q93" s="399" t="s">
        <v>107</v>
      </c>
      <c r="R93" s="400">
        <f>SUM(E93:P93)</f>
        <v>538749.80000000005</v>
      </c>
      <c r="S93" s="399">
        <f>IF($R93=0,0,(T93/$R93)*100)</f>
        <v>0</v>
      </c>
      <c r="T93" s="400">
        <f>T70+T91</f>
        <v>0</v>
      </c>
      <c r="U93" s="399">
        <f>IF($R93=0,0,(V93/$R93)*100)</f>
        <v>0</v>
      </c>
      <c r="V93" s="400">
        <f>V70+V91</f>
        <v>0</v>
      </c>
      <c r="W93" s="399">
        <f>IF($R93=0,0,(X93/$R93)*100)</f>
        <v>0</v>
      </c>
      <c r="X93" s="400">
        <f>X70+X91</f>
        <v>0</v>
      </c>
      <c r="Y93" s="399">
        <f>IF($R93=0,0,(Z93/$R93)*100)</f>
        <v>0</v>
      </c>
      <c r="Z93" s="401">
        <f>Z70+Z91</f>
        <v>0</v>
      </c>
    </row>
    <row r="94" spans="2:28" ht="16.5" thickTop="1" thickBot="1" x14ac:dyDescent="0.3"/>
    <row r="95" spans="2:28" ht="16.5" thickTop="1" thickBot="1" x14ac:dyDescent="0.3">
      <c r="B95" s="1220" t="s">
        <v>393</v>
      </c>
      <c r="C95" s="1221"/>
      <c r="D95" s="1221"/>
      <c r="E95" s="402" t="s">
        <v>28</v>
      </c>
      <c r="F95" s="402" t="s">
        <v>29</v>
      </c>
      <c r="G95" s="402" t="s">
        <v>30</v>
      </c>
      <c r="H95" s="402" t="s">
        <v>31</v>
      </c>
      <c r="I95" s="402" t="s">
        <v>32</v>
      </c>
      <c r="J95" s="402" t="s">
        <v>33</v>
      </c>
      <c r="K95" s="402" t="s">
        <v>34</v>
      </c>
      <c r="L95" s="402" t="s">
        <v>35</v>
      </c>
      <c r="M95" s="402" t="s">
        <v>36</v>
      </c>
      <c r="N95" s="402" t="s">
        <v>37</v>
      </c>
      <c r="O95" s="402" t="s">
        <v>38</v>
      </c>
      <c r="P95" s="402" t="s">
        <v>39</v>
      </c>
      <c r="Q95" s="402" t="s">
        <v>130</v>
      </c>
      <c r="R95" s="402" t="s">
        <v>41</v>
      </c>
      <c r="S95" s="1222" t="s">
        <v>123</v>
      </c>
      <c r="T95" s="1222"/>
      <c r="U95" s="1222" t="s">
        <v>104</v>
      </c>
      <c r="V95" s="1222"/>
      <c r="W95" s="1222" t="s">
        <v>103</v>
      </c>
      <c r="X95" s="1222"/>
      <c r="Y95" s="1222" t="s">
        <v>102</v>
      </c>
      <c r="Z95" s="1223"/>
    </row>
    <row r="96" spans="2:28" ht="15.75" thickTop="1" x14ac:dyDescent="0.25">
      <c r="B96" s="403" t="s">
        <v>395</v>
      </c>
      <c r="C96" s="298"/>
      <c r="D96" s="404" t="s">
        <v>47</v>
      </c>
      <c r="E96" s="323"/>
      <c r="F96" s="323"/>
      <c r="G96" s="323"/>
      <c r="H96" s="323"/>
      <c r="I96" s="323"/>
      <c r="J96" s="323"/>
      <c r="K96" s="323"/>
      <c r="L96" s="323"/>
      <c r="M96" s="323"/>
      <c r="N96" s="323"/>
      <c r="O96" s="323"/>
      <c r="P96" s="323"/>
      <c r="Q96" s="386">
        <f>IF(OR(R96=0,R96=""),0,(R96/$R$99)*100)</f>
        <v>0</v>
      </c>
      <c r="R96" s="405">
        <f t="shared" ref="R96" si="24">SUM(E96:P96)</f>
        <v>0</v>
      </c>
      <c r="S96" s="908">
        <f t="shared" ref="S96:S98" si="25">IF($R96=0,0,(T96/$R96)*100)</f>
        <v>0</v>
      </c>
      <c r="T96" s="909"/>
      <c r="U96" s="406">
        <f t="shared" ref="U96:U98" si="26">IF($R96=0,0,(V96/$R96)*100)</f>
        <v>0</v>
      </c>
      <c r="V96" s="909"/>
      <c r="W96" s="406">
        <f t="shared" ref="W96:W98" si="27">IF($R96=0,0,(X96/$R96)*100)</f>
        <v>0</v>
      </c>
      <c r="X96" s="909"/>
      <c r="Y96" s="910">
        <f t="shared" ref="Y96:Y98" si="28">IF($R96=0,0,(Z96/$R96)*100)</f>
        <v>0</v>
      </c>
      <c r="Z96" s="906"/>
    </row>
    <row r="97" spans="2:26" x14ac:dyDescent="0.25">
      <c r="B97" s="407" t="s">
        <v>396</v>
      </c>
      <c r="C97" s="302"/>
      <c r="D97" s="408" t="s">
        <v>47</v>
      </c>
      <c r="E97" s="324"/>
      <c r="F97" s="324"/>
      <c r="G97" s="324"/>
      <c r="H97" s="324"/>
      <c r="I97" s="324"/>
      <c r="J97" s="324"/>
      <c r="K97" s="324"/>
      <c r="L97" s="324"/>
      <c r="M97" s="324"/>
      <c r="N97" s="324"/>
      <c r="O97" s="324"/>
      <c r="P97" s="324"/>
      <c r="Q97" s="386">
        <f t="shared" ref="Q97:Q98" si="29">IF(OR(R97=0,R97=""),0,(R97/$R$99)*100)</f>
        <v>0</v>
      </c>
      <c r="R97" s="409">
        <f t="shared" ref="R97:R98" si="30">SUM(E97:P97)</f>
        <v>0</v>
      </c>
      <c r="S97" s="911">
        <f t="shared" si="25"/>
        <v>0</v>
      </c>
      <c r="T97" s="415"/>
      <c r="U97" s="365">
        <f t="shared" si="26"/>
        <v>0</v>
      </c>
      <c r="V97" s="415"/>
      <c r="W97" s="365">
        <f t="shared" si="27"/>
        <v>0</v>
      </c>
      <c r="X97" s="415"/>
      <c r="Y97" s="912">
        <f t="shared" si="28"/>
        <v>0</v>
      </c>
      <c r="Z97" s="424"/>
    </row>
    <row r="98" spans="2:26" ht="15.75" thickBot="1" x14ac:dyDescent="0.3">
      <c r="B98" s="410" t="s">
        <v>392</v>
      </c>
      <c r="C98" s="305"/>
      <c r="D98" s="411" t="s">
        <v>47</v>
      </c>
      <c r="E98" s="325"/>
      <c r="F98" s="325"/>
      <c r="G98" s="325"/>
      <c r="H98" s="325"/>
      <c r="I98" s="325"/>
      <c r="J98" s="325"/>
      <c r="K98" s="325"/>
      <c r="L98" s="325"/>
      <c r="M98" s="325"/>
      <c r="N98" s="325"/>
      <c r="O98" s="325"/>
      <c r="P98" s="325"/>
      <c r="Q98" s="386">
        <f t="shared" si="29"/>
        <v>0</v>
      </c>
      <c r="R98" s="412">
        <f t="shared" si="30"/>
        <v>0</v>
      </c>
      <c r="S98" s="913">
        <f t="shared" si="25"/>
        <v>0</v>
      </c>
      <c r="T98" s="914"/>
      <c r="U98" s="915">
        <f t="shared" si="26"/>
        <v>0</v>
      </c>
      <c r="V98" s="914"/>
      <c r="W98" s="915">
        <f t="shared" si="27"/>
        <v>0</v>
      </c>
      <c r="X98" s="914"/>
      <c r="Y98" s="916">
        <f t="shared" si="28"/>
        <v>0</v>
      </c>
      <c r="Z98" s="907"/>
    </row>
    <row r="99" spans="2:26" ht="16.5" thickTop="1" thickBot="1" x14ac:dyDescent="0.3">
      <c r="B99" s="395" t="s">
        <v>401</v>
      </c>
      <c r="C99" s="396"/>
      <c r="D99" s="397" t="s">
        <v>47</v>
      </c>
      <c r="E99" s="398">
        <f>SUM(E96:E98)</f>
        <v>0</v>
      </c>
      <c r="F99" s="398">
        <f t="shared" ref="F99:P99" si="31">SUM(F96:F98)</f>
        <v>0</v>
      </c>
      <c r="G99" s="398">
        <f t="shared" si="31"/>
        <v>0</v>
      </c>
      <c r="H99" s="398">
        <f t="shared" si="31"/>
        <v>0</v>
      </c>
      <c r="I99" s="398">
        <f t="shared" si="31"/>
        <v>0</v>
      </c>
      <c r="J99" s="398">
        <f t="shared" si="31"/>
        <v>0</v>
      </c>
      <c r="K99" s="398">
        <f t="shared" si="31"/>
        <v>0</v>
      </c>
      <c r="L99" s="398">
        <f t="shared" si="31"/>
        <v>0</v>
      </c>
      <c r="M99" s="398">
        <f t="shared" si="31"/>
        <v>0</v>
      </c>
      <c r="N99" s="398">
        <f t="shared" si="31"/>
        <v>0</v>
      </c>
      <c r="O99" s="398">
        <f t="shared" si="31"/>
        <v>0</v>
      </c>
      <c r="P99" s="398">
        <f t="shared" si="31"/>
        <v>0</v>
      </c>
      <c r="Q99" s="399" t="s">
        <v>107</v>
      </c>
      <c r="R99" s="400">
        <f>SUM(E99:P99)</f>
        <v>0</v>
      </c>
      <c r="S99" s="399">
        <f>IF($R99=0,0,(T99/$R99)*100)</f>
        <v>0</v>
      </c>
      <c r="T99" s="400">
        <f>IF($X$29&lt;&gt;"",SUM(T96:T98),0)</f>
        <v>0</v>
      </c>
      <c r="U99" s="399">
        <f>IF($R99=0,0,(V99/$R99)*100)</f>
        <v>0</v>
      </c>
      <c r="V99" s="400">
        <f>IF($X$29&lt;&gt;"",SUM(V96:V98),0)</f>
        <v>0</v>
      </c>
      <c r="W99" s="399">
        <f>IF($R99=0,0,(X99/$R99)*100)</f>
        <v>0</v>
      </c>
      <c r="X99" s="400">
        <f>IF($X$29&lt;&gt;"",SUM(X96:X98),0)</f>
        <v>0</v>
      </c>
      <c r="Y99" s="399">
        <f>IF($R99=0,0,(Z99/$R99)*100)</f>
        <v>0</v>
      </c>
      <c r="Z99" s="401">
        <f>IF($X$29&lt;&gt;"",SUM(Z96:Z98),0)</f>
        <v>0</v>
      </c>
    </row>
    <row r="100" spans="2:26" ht="15.75" thickTop="1" x14ac:dyDescent="0.25">
      <c r="E100" s="433">
        <f t="shared" ref="E100:P100" si="32">E93-E90</f>
        <v>12234.2</v>
      </c>
      <c r="F100" s="433">
        <f t="shared" si="32"/>
        <v>8135.3700000000008</v>
      </c>
      <c r="G100" s="433">
        <f t="shared" si="32"/>
        <v>194091.54</v>
      </c>
      <c r="H100" s="433">
        <f t="shared" si="32"/>
        <v>15031.36</v>
      </c>
      <c r="I100" s="433">
        <f t="shared" si="32"/>
        <v>10379.799999999999</v>
      </c>
      <c r="J100" s="433">
        <f t="shared" si="32"/>
        <v>10877.169999999998</v>
      </c>
      <c r="K100" s="433">
        <f t="shared" si="32"/>
        <v>237719.27000000002</v>
      </c>
      <c r="L100" s="433">
        <f t="shared" si="32"/>
        <v>50281.09</v>
      </c>
      <c r="M100" s="433">
        <f t="shared" si="32"/>
        <v>0</v>
      </c>
      <c r="N100" s="433">
        <f t="shared" si="32"/>
        <v>0</v>
      </c>
      <c r="O100" s="433">
        <f t="shared" si="32"/>
        <v>0</v>
      </c>
      <c r="P100" s="433">
        <f t="shared" si="32"/>
        <v>0</v>
      </c>
    </row>
  </sheetData>
  <sheetProtection password="E066" sheet="1" objects="1" scenarios="1" selectLockedCells="1"/>
  <mergeCells count="17">
    <mergeCell ref="B95:D95"/>
    <mergeCell ref="S95:T95"/>
    <mergeCell ref="U95:V95"/>
    <mergeCell ref="W95:X95"/>
    <mergeCell ref="Y95:Z95"/>
    <mergeCell ref="B23:B26"/>
    <mergeCell ref="C72:Z72"/>
    <mergeCell ref="Y30:Z30"/>
    <mergeCell ref="W30:X30"/>
    <mergeCell ref="U30:V30"/>
    <mergeCell ref="S30:T30"/>
    <mergeCell ref="S29:V29"/>
    <mergeCell ref="B7:B10"/>
    <mergeCell ref="B11:B14"/>
    <mergeCell ref="B15:B18"/>
    <mergeCell ref="B19:B22"/>
    <mergeCell ref="D5:Q5"/>
  </mergeCells>
  <conditionalFormatting sqref="R31:R89">
    <cfRule type="expression" dxfId="4" priority="9">
      <formula>T31+V31+X31+Z31&lt;&gt;R31</formula>
    </cfRule>
  </conditionalFormatting>
  <conditionalFormatting sqref="R96">
    <cfRule type="expression" dxfId="3" priority="8">
      <formula>T96+V96+X96+Z96&lt;&gt;R96</formula>
    </cfRule>
  </conditionalFormatting>
  <conditionalFormatting sqref="R97">
    <cfRule type="expression" dxfId="2" priority="7">
      <formula>T97+V97+X97+Z97&lt;&gt;R97</formula>
    </cfRule>
  </conditionalFormatting>
  <conditionalFormatting sqref="R98">
    <cfRule type="expression" dxfId="1" priority="6">
      <formula>T98+V98+X98+Z98&lt;&gt;R98</formula>
    </cfRule>
  </conditionalFormatting>
  <pageMargins left="0.25" right="0.25" top="0.75" bottom="0.75" header="0.3" footer="0.3"/>
  <pageSetup paperSize="9" orientation="landscape" r:id="rId1"/>
  <ignoredErrors>
    <ignoredError sqref="Q25 T93:Z93 T99:Z99 S70:Z70 S91:Z91 T90:Y90 Q9:Q11 Q13:Q15 Q17:Q19 Q21:Q23" formula="1"/>
    <ignoredError sqref="X69:Y69 V69:W69 T69:U69" formula="1" unlockedFormula="1"/>
    <ignoredError sqref="Z69"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849"/>
  <sheetViews>
    <sheetView showGridLines="0" tabSelected="1" topLeftCell="A31" zoomScale="80" zoomScaleNormal="80" workbookViewId="0">
      <selection activeCell="D91" sqref="D91"/>
    </sheetView>
  </sheetViews>
  <sheetFormatPr defaultColWidth="0" defaultRowHeight="15" zeroHeight="1" x14ac:dyDescent="0.25"/>
  <cols>
    <col min="1" max="1" width="3.28515625" style="52" customWidth="1"/>
    <col min="2" max="2" width="61.7109375" style="50" customWidth="1"/>
    <col min="3" max="3" width="15.140625" style="50" customWidth="1"/>
    <col min="4" max="17" width="18" style="50" customWidth="1"/>
    <col min="18" max="21" width="18" style="51" customWidth="1"/>
    <col min="22" max="22" width="5.42578125" style="51" customWidth="1"/>
    <col min="23" max="37" width="25.42578125" style="51" hidden="1" customWidth="1"/>
    <col min="38" max="16384" width="25.42578125" style="50" hidden="1"/>
  </cols>
  <sheetData>
    <row r="1" spans="2:16" ht="15.75" thickBot="1" x14ac:dyDescent="0.3"/>
    <row r="2" spans="2:16" ht="15.75" thickTop="1" x14ac:dyDescent="0.25">
      <c r="B2" s="513" t="str">
        <f>REBANHO!B2</f>
        <v>Fazenda</v>
      </c>
      <c r="C2" s="514" t="str">
        <f>IF(REBANHO!C2="","",REBANHO!C2)</f>
        <v>Bonanza</v>
      </c>
      <c r="D2" s="514"/>
      <c r="E2" s="515"/>
      <c r="H2" s="86"/>
      <c r="I2" s="224"/>
      <c r="J2" s="224"/>
      <c r="K2" s="516"/>
      <c r="L2" s="516"/>
      <c r="M2" s="437"/>
      <c r="N2" s="224"/>
      <c r="O2" s="224"/>
    </row>
    <row r="3" spans="2:16" x14ac:dyDescent="0.25">
      <c r="B3" s="517" t="str">
        <f>REBANHO!B3</f>
        <v>Município</v>
      </c>
      <c r="C3" s="518" t="str">
        <f>IF(REBANHO!C3="","",REBANHO!C3)</f>
        <v>Quatá</v>
      </c>
      <c r="D3" s="518"/>
      <c r="E3" s="519"/>
      <c r="H3" s="86"/>
      <c r="I3" s="224"/>
      <c r="J3" s="224"/>
      <c r="K3" s="516"/>
      <c r="L3" s="516"/>
      <c r="M3" s="437"/>
      <c r="N3" s="224"/>
      <c r="O3" s="224"/>
    </row>
    <row r="4" spans="2:16" x14ac:dyDescent="0.25">
      <c r="B4" s="517" t="str">
        <f>REBANHO!B4</f>
        <v>Estado</v>
      </c>
      <c r="C4" s="518" t="str">
        <f>IF(REBANHO!C4="","",REBANHO!C4)</f>
        <v>SP</v>
      </c>
      <c r="D4" s="518"/>
      <c r="E4" s="519"/>
      <c r="H4" s="86"/>
      <c r="I4" s="224"/>
      <c r="J4" s="224"/>
      <c r="K4" s="516"/>
      <c r="L4" s="516"/>
      <c r="M4" s="437"/>
      <c r="N4" s="224"/>
      <c r="O4" s="224"/>
    </row>
    <row r="5" spans="2:16" x14ac:dyDescent="0.25">
      <c r="B5" s="517" t="str">
        <f>REBANHO!B5</f>
        <v>Proprietário</v>
      </c>
      <c r="C5" s="518" t="str">
        <f>IF(REBANHO!C5="","",REBANHO!C5)</f>
        <v>Marcelo Delchiaro</v>
      </c>
      <c r="D5" s="518"/>
      <c r="E5" s="519"/>
      <c r="H5" s="86"/>
      <c r="I5" s="224"/>
      <c r="J5" s="224"/>
      <c r="K5" s="516"/>
      <c r="L5" s="516"/>
      <c r="M5" s="437"/>
      <c r="N5" s="224"/>
      <c r="O5" s="224"/>
    </row>
    <row r="6" spans="2:16" x14ac:dyDescent="0.25">
      <c r="B6" s="517" t="str">
        <f>REBANHO!B6</f>
        <v>Sistema de produção</v>
      </c>
      <c r="C6" s="518" t="str">
        <f>IF(REBANHO!C6="","",REBANHO!C6)</f>
        <v>Rotacionado - Adubado</v>
      </c>
      <c r="D6" s="518"/>
      <c r="E6" s="519"/>
      <c r="H6" s="86"/>
      <c r="I6" s="224"/>
      <c r="J6" s="224"/>
      <c r="K6" s="516"/>
      <c r="L6" s="516"/>
      <c r="M6" s="437"/>
      <c r="N6" s="224"/>
      <c r="O6" s="224"/>
    </row>
    <row r="7" spans="2:16" x14ac:dyDescent="0.25">
      <c r="B7" s="517" t="str">
        <f>REBANHO!B7</f>
        <v>Valor da terra (R$/ha)</v>
      </c>
      <c r="C7" s="518">
        <f>IF(REBANHO!C7="","",REBANHO!C7)</f>
        <v>30000</v>
      </c>
      <c r="D7" s="520"/>
      <c r="E7" s="519"/>
      <c r="H7" s="86"/>
      <c r="I7" s="224"/>
      <c r="J7" s="224"/>
      <c r="K7" s="521"/>
      <c r="L7" s="521"/>
      <c r="M7" s="437"/>
      <c r="N7" s="224"/>
      <c r="O7" s="224"/>
    </row>
    <row r="8" spans="2:16" ht="16.5" customHeight="1" x14ac:dyDescent="0.25">
      <c r="B8" s="522" t="str">
        <f>REBANHO!F2</f>
        <v>Ano</v>
      </c>
      <c r="C8" s="523">
        <f>REBANHO!I2</f>
        <v>2016</v>
      </c>
      <c r="D8" s="524"/>
      <c r="E8" s="525"/>
      <c r="H8" s="526"/>
      <c r="I8" s="224"/>
      <c r="J8" s="224"/>
      <c r="K8" s="527"/>
      <c r="L8" s="224"/>
      <c r="M8" s="224"/>
      <c r="N8" s="224"/>
      <c r="O8" s="224"/>
    </row>
    <row r="9" spans="2:16" x14ac:dyDescent="0.25">
      <c r="B9" s="517" t="str">
        <f>REBANHO!F3</f>
        <v>Área total da propriedade (ha)</v>
      </c>
      <c r="C9" s="520">
        <f>IF(REBANHO!I3="","",REBANHO!I3)</f>
        <v>1100</v>
      </c>
      <c r="D9" s="524"/>
      <c r="E9" s="525"/>
      <c r="H9" s="86"/>
      <c r="I9" s="224"/>
      <c r="J9" s="224"/>
      <c r="K9" s="521"/>
      <c r="L9" s="224"/>
      <c r="M9" s="224"/>
      <c r="N9" s="224"/>
      <c r="O9" s="224"/>
    </row>
    <row r="10" spans="2:16" x14ac:dyDescent="0.25">
      <c r="B10" s="517" t="str">
        <f>REBANHO!F4</f>
        <v>Área de pasto (ha)</v>
      </c>
      <c r="C10" s="520">
        <f>IF(REBANHO!I4="","",REBANHO!I4)</f>
        <v>100.9</v>
      </c>
      <c r="D10" s="524"/>
      <c r="E10" s="525"/>
      <c r="H10" s="86"/>
      <c r="I10" s="224"/>
      <c r="J10" s="224"/>
      <c r="K10" s="521"/>
      <c r="L10" s="224"/>
      <c r="M10" s="224"/>
      <c r="N10" s="224"/>
      <c r="O10" s="224"/>
    </row>
    <row r="11" spans="2:16" x14ac:dyDescent="0.25">
      <c r="B11" s="517" t="s">
        <v>117</v>
      </c>
      <c r="C11" s="520">
        <f>IF(REBANHO!I5="","",REBANHO!I5)</f>
        <v>11</v>
      </c>
      <c r="D11" s="524"/>
      <c r="E11" s="525"/>
      <c r="H11" s="86"/>
      <c r="I11" s="224"/>
      <c r="J11" s="224"/>
      <c r="K11" s="521"/>
      <c r="L11" s="224"/>
      <c r="M11" s="224"/>
      <c r="N11" s="224"/>
      <c r="O11" s="224"/>
    </row>
    <row r="12" spans="2:16" x14ac:dyDescent="0.25">
      <c r="B12" s="517" t="s">
        <v>118</v>
      </c>
      <c r="C12" s="520" t="str">
        <f>IF(REBANHO!I6="","",REBANHO!I6)</f>
        <v/>
      </c>
      <c r="D12" s="524"/>
      <c r="E12" s="525"/>
      <c r="H12" s="86"/>
      <c r="I12" s="224"/>
      <c r="J12" s="224"/>
      <c r="K12" s="521"/>
      <c r="L12" s="224"/>
      <c r="M12" s="224"/>
      <c r="N12" s="224"/>
      <c r="O12" s="224"/>
    </row>
    <row r="13" spans="2:16" ht="15.75" thickBot="1" x14ac:dyDescent="0.3">
      <c r="B13" s="528" t="s">
        <v>286</v>
      </c>
      <c r="C13" s="529">
        <f>IF(REBANHO!I7="","",REBANHO!I7)</f>
        <v>6</v>
      </c>
      <c r="D13" s="530"/>
      <c r="E13" s="531"/>
      <c r="H13" s="86"/>
      <c r="I13" s="224"/>
      <c r="J13" s="224"/>
      <c r="K13" s="521"/>
      <c r="L13" s="224"/>
      <c r="M13" s="224"/>
      <c r="N13" s="224"/>
      <c r="O13" s="224"/>
    </row>
    <row r="14" spans="2:16" ht="16.5" thickTop="1" thickBot="1" x14ac:dyDescent="0.3">
      <c r="M14" s="231"/>
    </row>
    <row r="15" spans="2:16" ht="16.5" thickTop="1" thickBot="1" x14ac:dyDescent="0.3">
      <c r="B15" s="1230" t="s">
        <v>18</v>
      </c>
      <c r="C15" s="1231"/>
      <c r="D15" s="271"/>
      <c r="G15" s="938" t="s">
        <v>501</v>
      </c>
      <c r="H15" s="939"/>
      <c r="I15" s="939"/>
      <c r="J15" s="532">
        <f>IF(C8=0,"",C8+1)</f>
        <v>2017</v>
      </c>
      <c r="L15" s="1249" t="s">
        <v>255</v>
      </c>
      <c r="M15" s="1250"/>
      <c r="N15" s="83" t="s">
        <v>47</v>
      </c>
    </row>
    <row r="16" spans="2:16" ht="15.75" thickTop="1" x14ac:dyDescent="0.25">
      <c r="B16" s="533" t="s">
        <v>19</v>
      </c>
      <c r="C16" s="534">
        <f>IF(AND(INVESTIMENTOS!$R$24="",INVESTIMENTOS!$T$24=""),"-",D55)</f>
        <v>362730.8</v>
      </c>
      <c r="D16" s="535"/>
      <c r="G16" s="536" t="s">
        <v>12</v>
      </c>
      <c r="H16" s="537"/>
      <c r="I16" s="537"/>
      <c r="J16" s="538">
        <f>IF(AND(INVESTIMENTOS!$R$24="",INVESTIMENTOS!$T$24=""),"-",P480)</f>
        <v>0</v>
      </c>
      <c r="L16" s="1253" t="s">
        <v>246</v>
      </c>
      <c r="M16" s="1254"/>
      <c r="N16" s="431">
        <f>IF(AND(INVESTIMENTOS!$R$24="",INVESTIMENTOS!$T$24=""),"-",REBANHO!Q58)</f>
        <v>0</v>
      </c>
      <c r="P16" s="539"/>
    </row>
    <row r="17" spans="1:37" x14ac:dyDescent="0.25">
      <c r="B17" s="533" t="s">
        <v>398</v>
      </c>
      <c r="C17" s="534">
        <f>IF(AND(INVESTIMENTOS!$R$24="",INVESTIMENTOS!$T$24=""),"-",IF(OR(C50=0,C50="",C50="-"),0,(D79/C50)*C55))</f>
        <v>185470.57336836576</v>
      </c>
      <c r="D17" s="231"/>
      <c r="G17" s="536" t="s">
        <v>13</v>
      </c>
      <c r="H17" s="537"/>
      <c r="I17" s="537"/>
      <c r="J17" s="538">
        <f>IF(AND(INVESTIMENTOS!$R$24="",INVESTIMENTOS!$T$24=""),"-",P555)</f>
        <v>0</v>
      </c>
      <c r="L17" s="1253" t="s">
        <v>256</v>
      </c>
      <c r="M17" s="1254"/>
      <c r="N17" s="431">
        <f>IF(AND(INVESTIMENTOS!$R$24="",INVESTIMENTOS!$T$24=""),"-",IF(AND(C7="",C9=""),0,C9*C7))</f>
        <v>33000000</v>
      </c>
    </row>
    <row r="18" spans="1:37" x14ac:dyDescent="0.25">
      <c r="A18" s="540"/>
      <c r="B18" s="533" t="s">
        <v>383</v>
      </c>
      <c r="C18" s="534">
        <f>IF(AND(INVESTIMENTOS!$R$24="",INVESTIMENTOS!$T$24=""),"-",IF(C50=0,0,IF(SUM(J59,M59,P59,S59)=0,(D83/C50)*C55,((K55*K83)+(N55*N83)+(Q55*Q83)+(T55*T83)))))</f>
        <v>3728.7193596102443</v>
      </c>
      <c r="D18" s="231"/>
      <c r="G18" s="536" t="s">
        <v>14</v>
      </c>
      <c r="H18" s="537"/>
      <c r="I18" s="537"/>
      <c r="J18" s="538">
        <f>IF(AND(INVESTIMENTOS!$R$24="",INVESTIMENTOS!$T$24=""),"-",P630)</f>
        <v>0</v>
      </c>
      <c r="L18" s="1253" t="s">
        <v>410</v>
      </c>
      <c r="M18" s="1254"/>
      <c r="N18" s="431">
        <f>IF(AND(INVESTIMENTOS!$R$24="",INVESTIMENTOS!$T$24=""),"-",SUM(INVESTIMENTOS!K52,INVESTIMENTOS!K83,INVESTIMENTOS!K112,INVESTIMENTOS!K141,INVESTIMENTOS!K169))</f>
        <v>335440</v>
      </c>
    </row>
    <row r="19" spans="1:37" ht="15.75" thickBot="1" x14ac:dyDescent="0.3">
      <c r="B19" s="533" t="s">
        <v>384</v>
      </c>
      <c r="C19" s="534">
        <f>IF(AND(INVESTIMENTOS!$R$24="",INVESTIMENTOS!$T$24=""),"-",C16-C17-C18)</f>
        <v>173531.507272024</v>
      </c>
      <c r="D19" s="231"/>
      <c r="G19" s="536" t="s">
        <v>237</v>
      </c>
      <c r="H19" s="537"/>
      <c r="I19" s="537"/>
      <c r="J19" s="538">
        <f>IF(AND(INVESTIMENTOS!$R$24="",INVESTIMENTOS!$T$24=""),"-",P705)</f>
        <v>0</v>
      </c>
      <c r="L19" s="1258" t="s">
        <v>134</v>
      </c>
      <c r="M19" s="1259"/>
      <c r="N19" s="432">
        <f>IF(AND(INVESTIMENTOS!$R$24="",INVESTIMENTOS!$T$24=""),"-",SUM(N16:N18))</f>
        <v>33335440</v>
      </c>
      <c r="O19" s="434"/>
      <c r="P19" s="434"/>
      <c r="Q19" s="434"/>
    </row>
    <row r="20" spans="1:37" ht="15.75" thickTop="1" x14ac:dyDescent="0.25">
      <c r="B20" s="533" t="s">
        <v>456</v>
      </c>
      <c r="C20" s="534">
        <f>IF(AND(INVESTIMENTOS!$R$24="",INVESTIMENTOS!$T$24=""),"-",SAÍDAS!R98)</f>
        <v>0</v>
      </c>
      <c r="D20" s="231"/>
      <c r="G20" s="541"/>
      <c r="H20" s="542"/>
      <c r="I20" s="542"/>
      <c r="J20" s="538"/>
    </row>
    <row r="21" spans="1:37" ht="15.75" thickBot="1" x14ac:dyDescent="0.3">
      <c r="B21" s="546" t="s">
        <v>385</v>
      </c>
      <c r="C21" s="547">
        <f>IF(AND(INVESTIMENTOS!$R$24="",INVESTIMENTOS!$T$24=""),"-",C19-C20)</f>
        <v>173531.507272024</v>
      </c>
      <c r="D21" s="231"/>
      <c r="G21" s="543" t="s">
        <v>17</v>
      </c>
      <c r="H21" s="544"/>
      <c r="I21" s="544"/>
      <c r="J21" s="545">
        <f>IF(AND(INVESTIMENTOS!$R$24="",INVESTIMENTOS!$T$24=""),"-",SUM(J16:J19))</f>
        <v>0</v>
      </c>
      <c r="W21" s="1084"/>
      <c r="X21" s="1085" t="s">
        <v>292</v>
      </c>
      <c r="Y21" s="1086"/>
      <c r="Z21" s="1084"/>
      <c r="AA21" s="1087"/>
      <c r="AB21" s="1085"/>
    </row>
    <row r="22" spans="1:37" ht="15.75" thickTop="1" x14ac:dyDescent="0.25">
      <c r="B22" s="823" t="s">
        <v>457</v>
      </c>
      <c r="D22" s="231"/>
      <c r="W22" s="86"/>
      <c r="X22" s="86"/>
      <c r="Y22" s="782"/>
      <c r="Z22" s="86"/>
      <c r="AA22" s="86"/>
      <c r="AB22" s="86"/>
      <c r="AC22" s="86"/>
    </row>
    <row r="23" spans="1:37" ht="15.75" thickBot="1" x14ac:dyDescent="0.3">
      <c r="D23" s="231"/>
      <c r="E23" s="231"/>
      <c r="F23" s="231"/>
      <c r="H23" s="231"/>
      <c r="W23" s="1088"/>
      <c r="X23" s="786"/>
      <c r="Y23" s="786"/>
      <c r="Z23" s="786"/>
      <c r="AA23" s="86"/>
      <c r="AB23" s="86"/>
      <c r="AC23" s="86"/>
    </row>
    <row r="24" spans="1:37" ht="15.75" thickTop="1" x14ac:dyDescent="0.25">
      <c r="B24" s="823"/>
      <c r="D24" s="231"/>
      <c r="E24" s="1225" t="s">
        <v>468</v>
      </c>
      <c r="F24" s="1226"/>
      <c r="G24" s="1224" t="s">
        <v>469</v>
      </c>
      <c r="H24" s="1224"/>
      <c r="I24" s="1224"/>
      <c r="J24" s="1224" t="s">
        <v>470</v>
      </c>
      <c r="K24" s="1224"/>
      <c r="L24" s="1224"/>
      <c r="M24" s="1260" t="s">
        <v>254</v>
      </c>
      <c r="N24" s="1251" t="s">
        <v>483</v>
      </c>
      <c r="W24" s="1088"/>
      <c r="X24" s="786"/>
      <c r="Y24" s="786"/>
      <c r="Z24" s="786"/>
      <c r="AA24" s="86"/>
      <c r="AB24" s="86"/>
      <c r="AC24" s="86"/>
    </row>
    <row r="25" spans="1:37" ht="15.75" thickBot="1" x14ac:dyDescent="0.3">
      <c r="B25" s="456"/>
      <c r="C25" s="548"/>
      <c r="D25" s="231"/>
      <c r="E25" s="937"/>
      <c r="F25" s="935"/>
      <c r="G25" s="936" t="s">
        <v>294</v>
      </c>
      <c r="H25" s="936" t="s">
        <v>280</v>
      </c>
      <c r="I25" s="936" t="s">
        <v>296</v>
      </c>
      <c r="J25" s="936" t="s">
        <v>294</v>
      </c>
      <c r="K25" s="936" t="s">
        <v>280</v>
      </c>
      <c r="L25" s="936" t="s">
        <v>296</v>
      </c>
      <c r="M25" s="1261"/>
      <c r="N25" s="1252"/>
      <c r="T25" s="782"/>
      <c r="W25" s="786"/>
      <c r="X25" s="548"/>
      <c r="Y25" s="548"/>
      <c r="Z25" s="782"/>
      <c r="AA25" s="782"/>
      <c r="AB25" s="782"/>
      <c r="AC25" s="86"/>
    </row>
    <row r="26" spans="1:37" ht="16.5" thickTop="1" thickBot="1" x14ac:dyDescent="0.3">
      <c r="B26" s="549" t="s">
        <v>397</v>
      </c>
      <c r="C26" s="550"/>
      <c r="D26" s="231"/>
      <c r="E26" s="551" t="s">
        <v>12</v>
      </c>
      <c r="F26" s="552"/>
      <c r="G26" s="553" t="str">
        <f>IF(INVESTIMENTOS!R24="","-",K79)</f>
        <v>-</v>
      </c>
      <c r="H26" s="553" t="str">
        <f>IF(INVESTIMENTOS!R24="","-",K84)</f>
        <v>-</v>
      </c>
      <c r="I26" s="553" t="str">
        <f>IF(INVESTIMENTOS!R24="","-",K92)</f>
        <v>-</v>
      </c>
      <c r="J26" s="553" t="str">
        <f>IF(INVESTIMENTOS!R24="","-",L79)</f>
        <v>-</v>
      </c>
      <c r="K26" s="553" t="str">
        <f>IF(INVESTIMENTOS!R24="","-",L84)</f>
        <v>-</v>
      </c>
      <c r="L26" s="553" t="str">
        <f>IF(INVESTIMENTOS!R24="","-",L92)</f>
        <v>-</v>
      </c>
      <c r="M26" s="1045">
        <f>IF(AND(INVESTIMENTOS!$R$24="",INVESTIMENTOS!$T$24=""),"-",IF(INVESTIMENTOS!R24="",P350,T308))</f>
        <v>0</v>
      </c>
      <c r="N26" s="1049">
        <f>IF(AND(INVESTIMENTOS!$R$24="",INVESTIMENTOS!$T$24=""),"-",IF(INVESTIMENTOS!R24="",P401,T359))</f>
        <v>0</v>
      </c>
      <c r="W26" s="786"/>
      <c r="X26" s="548"/>
      <c r="Y26" s="548"/>
      <c r="Z26" s="782"/>
      <c r="AA26" s="786"/>
      <c r="AB26" s="782"/>
      <c r="AC26" s="86"/>
    </row>
    <row r="27" spans="1:37" ht="15.75" thickTop="1" x14ac:dyDescent="0.25">
      <c r="B27" s="554" t="s">
        <v>485</v>
      </c>
      <c r="C27" s="555">
        <f>IF(AND(INVESTIMENTOS!$R$24="",INVESTIMENTOS!$T$24=""),"-",Z57)</f>
        <v>-48560.599182856706</v>
      </c>
      <c r="D27" s="231"/>
      <c r="E27" s="556" t="s">
        <v>13</v>
      </c>
      <c r="F27" s="537"/>
      <c r="G27" s="557" t="str">
        <f>IF(INVESTIMENTOS!R24="","-",N79)</f>
        <v>-</v>
      </c>
      <c r="H27" s="557" t="str">
        <f>IF(INVESTIMENTOS!R24="","-",N87)</f>
        <v>-</v>
      </c>
      <c r="I27" s="557" t="str">
        <f>IF(INVESTIMENTOS!R24="","-",N92)</f>
        <v>-</v>
      </c>
      <c r="J27" s="557" t="str">
        <f>IF(INVESTIMENTOS!R24="","-",O79)</f>
        <v>-</v>
      </c>
      <c r="K27" s="557" t="str">
        <f>IF(INVESTIMENTOS!R24="","-",O87)</f>
        <v>-</v>
      </c>
      <c r="L27" s="557" t="str">
        <f>IF(INVESTIMENTOS!R24="","-",O92)</f>
        <v>-</v>
      </c>
      <c r="M27" s="1046">
        <f>IF(AND(INVESTIMENTOS!$R$24="",INVESTIMENTOS!$T$24=""),"-",IF(INVESTIMENTOS!R24="",P351,T316))</f>
        <v>151.875</v>
      </c>
      <c r="N27" s="1050">
        <f>IF(AND(INVESTIMENTOS!$R$24="",INVESTIMENTOS!$T$24=""),"-",IF(INVESTIMENTOS!R24="",P402,T367))</f>
        <v>1713.1271699911497</v>
      </c>
      <c r="W27" s="86"/>
      <c r="X27" s="86"/>
      <c r="Y27" s="86"/>
      <c r="Z27" s="86"/>
      <c r="AA27" s="86"/>
      <c r="AB27" s="86"/>
      <c r="AC27" s="86"/>
    </row>
    <row r="28" spans="1:37" ht="15.75" thickBot="1" x14ac:dyDescent="0.3">
      <c r="B28" s="82" t="s">
        <v>486</v>
      </c>
      <c r="C28" s="91">
        <f>IF(AND(INVESTIMENTOS!$R$24="",INVESTIMENTOS!$T$24=""),"-",Z58)</f>
        <v>-155175.99965879999</v>
      </c>
      <c r="D28" s="231"/>
      <c r="E28" s="556" t="s">
        <v>14</v>
      </c>
      <c r="F28" s="537"/>
      <c r="G28" s="557" t="str">
        <f>IF(INVESTIMENTOS!R24="","-",Q79)</f>
        <v>-</v>
      </c>
      <c r="H28" s="557" t="str">
        <f>IF(INVESTIMENTOS!R24="","-",Q84)</f>
        <v>-</v>
      </c>
      <c r="I28" s="557" t="str">
        <f>IF(INVESTIMENTOS!R24="","-",Q92)</f>
        <v>-</v>
      </c>
      <c r="J28" s="557" t="str">
        <f>IF(INVESTIMENTOS!R24="","-",R79)</f>
        <v>-</v>
      </c>
      <c r="K28" s="557" t="str">
        <f>IF(INVESTIMENTOS!R24="","-",R84)</f>
        <v>-</v>
      </c>
      <c r="L28" s="557" t="str">
        <f>IF(INVESTIMENTOS!R24="","-",R92)</f>
        <v>-</v>
      </c>
      <c r="M28" s="1046">
        <f>IF(AND(INVESTIMENTOS!$R$24="",INVESTIMENTOS!$T$24=""),"-",IF(INVESTIMENTOS!R24="",P352,T324))</f>
        <v>85</v>
      </c>
      <c r="N28" s="1050">
        <f>IF(AND(INVESTIMENTOS!$R$24="",INVESTIMENTOS!$T$24=""),"-",IF(INVESTIMENTOS!R24="",P403,T375))</f>
        <v>2609.77602287426</v>
      </c>
      <c r="W28" s="86"/>
      <c r="X28" s="786"/>
      <c r="Y28" s="786"/>
      <c r="Z28" s="782"/>
      <c r="AA28" s="782"/>
      <c r="AB28" s="782"/>
      <c r="AC28" s="86"/>
    </row>
    <row r="29" spans="1:37" ht="16.5" thickTop="1" thickBot="1" x14ac:dyDescent="0.3">
      <c r="B29" s="1105" t="s">
        <v>499</v>
      </c>
      <c r="C29" s="1106">
        <f>IF(AND(INVESTIMENTOS!$R$24="",INVESTIMENTOS!$T$24=""),"-",IF(N16+N18=0,0,((C16-C17)/(N16+N18))*100))</f>
        <v>52.844093319709707</v>
      </c>
      <c r="D29" s="231"/>
      <c r="E29" s="1227" t="s">
        <v>237</v>
      </c>
      <c r="F29" s="1228"/>
      <c r="G29" s="560" t="str">
        <f>IF(INVESTIMENTOS!R24="","-",T79)</f>
        <v>-</v>
      </c>
      <c r="H29" s="560" t="str">
        <f>IF(INVESTIMENTOS!R24="","-",T84)</f>
        <v>-</v>
      </c>
      <c r="I29" s="560" t="str">
        <f>IF(INVESTIMENTOS!R24="","-",T92)</f>
        <v>-</v>
      </c>
      <c r="J29" s="560" t="str">
        <f>IF(INVESTIMENTOS!R24="","-",U79)</f>
        <v>-</v>
      </c>
      <c r="K29" s="560" t="str">
        <f>IF(INVESTIMENTOS!R24="","-",U84)</f>
        <v>-</v>
      </c>
      <c r="L29" s="560" t="str">
        <f>IF(INVESTIMENTOS!R24="","-",U92)</f>
        <v>-</v>
      </c>
      <c r="M29" s="1047">
        <f>IF(AND(INVESTIMENTOS!$R$24="",INVESTIMENTOS!$T$24=""),"-",IF(INVESTIMENTOS!R24="",P353,T333))</f>
        <v>1</v>
      </c>
      <c r="N29" s="1051">
        <f>IF(AND(INVESTIMENTOS!$R$24="",INVESTIMENTOS!$T$24=""),"-",IF(INVESTIMENTOS!R24="",P404,T384))</f>
        <v>40.949009462863373</v>
      </c>
      <c r="W29" s="86"/>
      <c r="X29" s="786"/>
      <c r="Y29" s="786"/>
      <c r="Z29" s="782"/>
      <c r="AA29" s="782"/>
      <c r="AB29" s="782"/>
      <c r="AC29" s="86"/>
    </row>
    <row r="30" spans="1:37" ht="16.5" thickTop="1" thickBot="1" x14ac:dyDescent="0.3">
      <c r="B30" s="558" t="s">
        <v>394</v>
      </c>
      <c r="C30" s="559">
        <f>IF(AND(INVESTIMENTOS!$R$24="",INVESTIMENTOS!$T$24=""),"-",IF(N16+N18=0,0,((C16-C17)/(N16+N17+N18))*100))</f>
        <v>0.53174707347985883</v>
      </c>
      <c r="D30" s="231"/>
      <c r="E30" s="1238" t="s">
        <v>445</v>
      </c>
      <c r="F30" s="1239"/>
      <c r="G30" s="797">
        <f>IF(AND(INVESTIMENTOS!$R$24="",INVESTIMENTOS!$T$24=""),"-",IF(INVESTIMENTOS!$R$24&lt;&gt;"","-",IF(OR($C$50=0,$C$50="-",$C$50=""),0,D79/$C$50)))</f>
        <v>1655.9872622175515</v>
      </c>
      <c r="H30" s="797">
        <f>IF(AND(INVESTIMENTOS!$R$24="",INVESTIMENTOS!$T$24=""),"-",IF(INVESTIMENTOS!$R$24&lt;&gt;"","-",IF(OR($C$50=0,$C$50="-",$C$50=""),0,D84/$C$50)))</f>
        <v>1689.2793993569287</v>
      </c>
      <c r="I30" s="797">
        <f>IF(AND(INVESTIMENTOS!$R$24="",INVESTIMENTOS!$T$24=""),"-",IF(INVESTIMENTOS!$R$24&lt;&gt;"","-",IF(OR($C$50=0,$C$50="-",$C$50=""),0,D92/$C$50)))</f>
        <v>2541.6363094988101</v>
      </c>
      <c r="J30" s="797">
        <f>IF(AND(INVESTIMENTOS!$R$24="",INVESTIMENTOS!$T$24=""),"-",IF(INVESTIMENTOS!$R$24&lt;&gt;"","-",IF(OR($C$50=0,$C$50="-",$C$50=""),0,D79/$F$50)))</f>
        <v>90.268403175944073</v>
      </c>
      <c r="K30" s="797">
        <f>IF(AND(INVESTIMENTOS!$R$24="",INVESTIMENTOS!$T$24=""),"-",IF(INVESTIMENTOS!$R$24&lt;&gt;"","-",IF(OR($C$50=0,$C$50="-",$C$50=""),0,D84/$F$50)))</f>
        <v>92.083168377617056</v>
      </c>
      <c r="L30" s="797">
        <f>IF(AND(INVESTIMENTOS!$R$24="",INVESTIMENTOS!$T$24=""),"-",IF(INVESTIMENTOS!$R$24&lt;&gt;"","-",IF(OR($C$50=0,$C$50="-",$C$50=""),0,D92/$F$50)))</f>
        <v>138.54542021369511</v>
      </c>
      <c r="M30" s="1048">
        <f>IF(AND(INVESTIMENTOS!$R$24="",INVESTIMENTOS!$T$24=""),"-",SUM(M26:M29))</f>
        <v>237.875</v>
      </c>
      <c r="N30" s="1052">
        <f>IF(AND(INVESTIMENTOS!$R$24="",INVESTIMENTOS!$T$24=""),"-",SUM(N26:N29))</f>
        <v>4363.8522023282731</v>
      </c>
      <c r="W30" s="86"/>
      <c r="X30" s="548"/>
      <c r="Y30" s="785"/>
      <c r="Z30" s="782"/>
      <c r="AA30" s="786"/>
      <c r="AB30" s="782"/>
      <c r="AC30" s="86"/>
    </row>
    <row r="31" spans="1:37" ht="12" customHeight="1" thickTop="1" x14ac:dyDescent="0.25">
      <c r="B31" s="50" t="s">
        <v>500</v>
      </c>
      <c r="C31" s="340"/>
      <c r="D31" s="340"/>
      <c r="E31" s="340"/>
      <c r="F31" s="340"/>
      <c r="G31" s="340"/>
      <c r="H31" s="340"/>
      <c r="I31" s="340"/>
      <c r="J31" s="340"/>
      <c r="K31" s="340"/>
      <c r="L31" s="340"/>
      <c r="M31" s="340"/>
      <c r="N31" s="340"/>
      <c r="O31" s="782"/>
      <c r="P31" s="435"/>
      <c r="Q31" s="435"/>
      <c r="R31" s="782"/>
      <c r="S31" s="782"/>
      <c r="W31" s="86"/>
      <c r="X31" s="86"/>
      <c r="Y31" s="86"/>
      <c r="Z31" s="86"/>
      <c r="AA31" s="86"/>
      <c r="AB31" s="86"/>
      <c r="AC31" s="86"/>
    </row>
    <row r="32" spans="1:37" s="224" customFormat="1" ht="12" customHeight="1" thickBot="1" x14ac:dyDescent="0.3">
      <c r="A32" s="561"/>
      <c r="B32" s="562"/>
      <c r="C32" s="824"/>
      <c r="D32" s="824"/>
      <c r="E32" s="824"/>
      <c r="F32" s="824"/>
      <c r="G32" s="824"/>
      <c r="H32" s="824"/>
      <c r="I32" s="824"/>
      <c r="J32" s="824"/>
      <c r="K32" s="824"/>
      <c r="L32" s="824"/>
      <c r="M32" s="824"/>
      <c r="N32" s="824"/>
      <c r="O32" s="782"/>
      <c r="P32" s="436"/>
      <c r="Q32" s="436"/>
      <c r="R32" s="86"/>
      <c r="S32" s="86"/>
      <c r="T32" s="86"/>
      <c r="U32" s="86"/>
      <c r="V32" s="86"/>
      <c r="W32" s="86"/>
      <c r="X32" s="86"/>
      <c r="Y32" s="86"/>
      <c r="Z32" s="86"/>
      <c r="AA32" s="86"/>
      <c r="AB32" s="86"/>
      <c r="AC32" s="86"/>
      <c r="AD32" s="86"/>
      <c r="AE32" s="86"/>
      <c r="AF32" s="86"/>
      <c r="AG32" s="86"/>
      <c r="AH32" s="86"/>
      <c r="AI32" s="86"/>
      <c r="AJ32" s="86"/>
      <c r="AK32" s="86"/>
    </row>
    <row r="33" spans="2:29" ht="16.5" thickTop="1" thickBot="1" x14ac:dyDescent="0.3">
      <c r="B33" s="563" t="s">
        <v>20</v>
      </c>
      <c r="C33" s="458" t="s">
        <v>0</v>
      </c>
      <c r="D33" s="458" t="s">
        <v>1</v>
      </c>
      <c r="E33" s="458" t="s">
        <v>2</v>
      </c>
      <c r="F33" s="458" t="s">
        <v>3</v>
      </c>
      <c r="G33" s="458" t="s">
        <v>4</v>
      </c>
      <c r="H33" s="458" t="s">
        <v>5</v>
      </c>
      <c r="I33" s="458" t="s">
        <v>6</v>
      </c>
      <c r="J33" s="458" t="s">
        <v>7</v>
      </c>
      <c r="K33" s="458" t="s">
        <v>8</v>
      </c>
      <c r="L33" s="458" t="s">
        <v>9</v>
      </c>
      <c r="M33" s="458" t="s">
        <v>10</v>
      </c>
      <c r="N33" s="458" t="s">
        <v>11</v>
      </c>
      <c r="O33" s="457" t="s">
        <v>17</v>
      </c>
      <c r="W33" s="86"/>
      <c r="X33" s="86"/>
      <c r="Y33" s="86"/>
      <c r="Z33" s="86"/>
      <c r="AA33" s="86"/>
      <c r="AB33" s="86"/>
      <c r="AC33" s="86"/>
    </row>
    <row r="34" spans="2:29" ht="15.75" thickTop="1" x14ac:dyDescent="0.25">
      <c r="B34" s="564" t="s">
        <v>238</v>
      </c>
      <c r="C34" s="565">
        <f>IF(AND(INVESTIMENTOS!$R$24="",INVESTIMENTOS!$T$24=""),"-",IF($C50=0,0,ENTRADAS!D70-((SAÍDAS!E70+SAÍDAS!E91-SAÍDAS!E90)/$C50)*$C55-($C18/12)-SAÍDAS!E98))</f>
        <v>-6071.0225670580794</v>
      </c>
      <c r="D34" s="565">
        <f>IF(AND(INVESTIMENTOS!$R$24="",INVESTIMENTOS!$T$24=""),"-",IF($C50=0,0,ENTRADAS!E70-((SAÍDAS!F70+SAÍDAS!F91-SAÍDAS!F90)/$C50)*$C55-($C18/12)-SAÍDAS!F98))</f>
        <v>-4141.1478008993827</v>
      </c>
      <c r="E34" s="565">
        <f>IF(AND(INVESTIMENTOS!$R$24="",INVESTIMENTOS!$T$24=""),"-",IF($C50=0,0,ENTRADAS!F70-((SAÍDAS!G70+SAÍDAS!G91-SAÍDAS!G90)/$C50)*$C55-($C18/12)-SAÍDAS!G98))</f>
        <v>-91695.918331640307</v>
      </c>
      <c r="F34" s="565">
        <f>IF(AND(INVESTIMENTOS!$R$24="",INVESTIMENTOS!$T$24=""),"-",IF($C50=0,0,ENTRADAS!G70-((SAÍDAS!H70+SAÍDAS!H91-SAÍDAS!H90)/$C50)*$C55-($C18/12)-SAÍDAS!H98))</f>
        <v>-4388.024858177364</v>
      </c>
      <c r="G34" s="565">
        <f>IF(AND(INVESTIMENTOS!$R$24="",INVESTIMENTOS!$T$24=""),"-",IF($C50=0,0,ENTRADAS!H70-((SAÍDAS!I70+SAÍDAS!I91-SAÍDAS!I90)/$C50)*$C55-($C18/12)-SAÍDAS!I98))</f>
        <v>-5197.9051734690083</v>
      </c>
      <c r="H34" s="565">
        <f>IF(AND(INVESTIMENTOS!$R$24="",INVESTIMENTOS!$T$24=""),"-",IF($C50=0,0,ENTRADAS!I70-((SAÍDAS!J70+SAÍDAS!J91-SAÍDAS!J90)/$C50)*$C55-($C18/12)-SAÍDAS!J98))</f>
        <v>-5432.0846374732128</v>
      </c>
      <c r="I34" s="565">
        <f>IF(AND(INVESTIMENTOS!$R$24="",INVESTIMENTOS!$T$24=""),"-",IF($C50=0,0,ENTRADAS!J70-((SAÍDAS!K70+SAÍDAS!K91-SAÍDAS!K90)/$C50)*$C55-($C18/12)-SAÍDAS!K98))</f>
        <v>247493.39660267392</v>
      </c>
      <c r="J34" s="565">
        <f>IF(AND(INVESTIMENTOS!$R$24="",INVESTIMENTOS!$T$24=""),"-",IF($C50=0,0,ENTRADAS!K70-((SAÍDAS!L70+SAÍDAS!L91-SAÍDAS!L90)/$C50)*$C55-($C18/12)-SAÍDAS!L98))</f>
        <v>-23984.849913353399</v>
      </c>
      <c r="K34" s="565">
        <f>IF(AND(INVESTIMENTOS!$R$24="",INVESTIMENTOS!$T$24=""),"-",IF($C50=0,0,ENTRADAS!L70-((SAÍDAS!M70+SAÍDAS!M91-SAÍDAS!M90)/$C50)*$C55-($C18/12)-SAÍDAS!M98))</f>
        <v>-310.72661330085367</v>
      </c>
      <c r="L34" s="565">
        <f>IF(AND(INVESTIMENTOS!$R$24="",INVESTIMENTOS!$T$24=""),"-",IF($C50=0,0,ENTRADAS!M70-((SAÍDAS!N70+SAÍDAS!N91-SAÍDAS!N90)/$C50)*$C55-($C18/12)-SAÍDAS!N98))</f>
        <v>-310.72661330085367</v>
      </c>
      <c r="M34" s="565">
        <f>IF(AND(INVESTIMENTOS!$R$24="",INVESTIMENTOS!$T$24=""),"-",IF($C50=0,0,ENTRADAS!N70-((SAÍDAS!O70+SAÍDAS!O91-SAÍDAS!O90)/$C50)*$C55-($C18/12)-SAÍDAS!O98))</f>
        <v>-310.72661330085367</v>
      </c>
      <c r="N34" s="565">
        <f>IF(AND(INVESTIMENTOS!$R$24="",INVESTIMENTOS!$T$24=""),"-",IF($C50=0,0,ENTRADAS!O70-((SAÍDAS!P70+SAÍDAS!P91-SAÍDAS!P90)/$C50)*$C55-($C18/12)-SAÍDAS!P98))</f>
        <v>-310.72661330085367</v>
      </c>
      <c r="O34" s="822">
        <f>IF(AND(INVESTIMENTOS!$R$24="",INVESTIMENTOS!$T$24=""),"-",SUM(C34:N34))</f>
        <v>105339.53686739976</v>
      </c>
      <c r="P34" s="566"/>
      <c r="W34" s="86"/>
      <c r="X34" s="86"/>
      <c r="Y34" s="86"/>
      <c r="Z34" s="86"/>
      <c r="AA34" s="1089"/>
      <c r="AB34" s="86"/>
      <c r="AC34" s="86"/>
    </row>
    <row r="35" spans="2:29" x14ac:dyDescent="0.25">
      <c r="B35" s="567" t="s">
        <v>458</v>
      </c>
      <c r="C35" s="568">
        <f>IF(AND(INVESTIMENTOS!$R$24="",INVESTIMENTOS!$T$24=""),"-",$C18/12)</f>
        <v>310.72661330085367</v>
      </c>
      <c r="D35" s="568">
        <f>IF(AND(INVESTIMENTOS!$R$24="",INVESTIMENTOS!$T$24=""),"-",$C18/12)</f>
        <v>310.72661330085367</v>
      </c>
      <c r="E35" s="568">
        <f>IF(AND(INVESTIMENTOS!$R$24="",INVESTIMENTOS!$T$24=""),"-",$C18/12)</f>
        <v>310.72661330085367</v>
      </c>
      <c r="F35" s="568">
        <f>IF(AND(INVESTIMENTOS!$R$24="",INVESTIMENTOS!$T$24=""),"-",$C18/12)</f>
        <v>310.72661330085367</v>
      </c>
      <c r="G35" s="568">
        <f>IF(AND(INVESTIMENTOS!$R$24="",INVESTIMENTOS!$T$24=""),"-",$C18/12)</f>
        <v>310.72661330085367</v>
      </c>
      <c r="H35" s="568">
        <f>IF(AND(INVESTIMENTOS!$R$24="",INVESTIMENTOS!$T$24=""),"-",$C18/12)</f>
        <v>310.72661330085367</v>
      </c>
      <c r="I35" s="568">
        <f>IF(AND(INVESTIMENTOS!$R$24="",INVESTIMENTOS!$T$24=""),"-",$C18/12)</f>
        <v>310.72661330085367</v>
      </c>
      <c r="J35" s="568">
        <f>IF(AND(INVESTIMENTOS!$R$24="",INVESTIMENTOS!$T$24=""),"-",$C18/12)</f>
        <v>310.72661330085367</v>
      </c>
      <c r="K35" s="568">
        <f>IF(AND(INVESTIMENTOS!$R$24="",INVESTIMENTOS!$T$24=""),"-",$C18/12)</f>
        <v>310.72661330085367</v>
      </c>
      <c r="L35" s="568">
        <f>IF(AND(INVESTIMENTOS!$R$24="",INVESTIMENTOS!$T$24=""),"-",$C18/12)</f>
        <v>310.72661330085367</v>
      </c>
      <c r="M35" s="568">
        <f>IF(AND(INVESTIMENTOS!$R$24="",INVESTIMENTOS!$T$24=""),"-",$C18/12)</f>
        <v>310.72661330085367</v>
      </c>
      <c r="N35" s="568">
        <f>IF(AND(INVESTIMENTOS!$R$24="",INVESTIMENTOS!$T$24=""),"-",$C18/12)</f>
        <v>310.72661330085367</v>
      </c>
      <c r="O35" s="569">
        <f>IF(AND(INVESTIMENTOS!$R$24="",INVESTIMENTOS!$T$24=""),"-",SUM(C35:N35))</f>
        <v>3728.7193596102447</v>
      </c>
      <c r="W35" s="86"/>
      <c r="X35" s="86"/>
      <c r="Y35" s="782"/>
      <c r="Z35" s="86"/>
      <c r="AA35" s="86"/>
      <c r="AB35" s="86"/>
      <c r="AC35" s="86"/>
    </row>
    <row r="36" spans="2:29" x14ac:dyDescent="0.25">
      <c r="B36" s="567" t="s">
        <v>389</v>
      </c>
      <c r="C36" s="568">
        <f>IF(AND(INVESTIMENTOS!$R$24="",INVESTIMENTOS!$T$24=""),"-",ENTRADAS!D73)</f>
        <v>0</v>
      </c>
      <c r="D36" s="568">
        <f>IF(AND(INVESTIMENTOS!$R$24="",INVESTIMENTOS!$T$24=""),"-",ENTRADAS!E73)</f>
        <v>0</v>
      </c>
      <c r="E36" s="568">
        <f>IF(AND(INVESTIMENTOS!$R$24="",INVESTIMENTOS!$T$24=""),"-",ENTRADAS!F73)</f>
        <v>0</v>
      </c>
      <c r="F36" s="568">
        <f>IF(AND(INVESTIMENTOS!$R$24="",INVESTIMENTOS!$T$24=""),"-",ENTRADAS!G73)</f>
        <v>0</v>
      </c>
      <c r="G36" s="568">
        <f>IF(AND(INVESTIMENTOS!$R$24="",INVESTIMENTOS!$T$24=""),"-",ENTRADAS!H73)</f>
        <v>0</v>
      </c>
      <c r="H36" s="568">
        <f>IF(AND(INVESTIMENTOS!$R$24="",INVESTIMENTOS!$T$24=""),"-",ENTRADAS!I73)</f>
        <v>0</v>
      </c>
      <c r="I36" s="568">
        <f>IF(AND(INVESTIMENTOS!$R$24="",INVESTIMENTOS!$T$24=""),"-",ENTRADAS!J73)</f>
        <v>0</v>
      </c>
      <c r="J36" s="568">
        <f>IF(AND(INVESTIMENTOS!$R$24="",INVESTIMENTOS!$T$24=""),"-",ENTRADAS!K73)</f>
        <v>0</v>
      </c>
      <c r="K36" s="568">
        <f>IF(AND(INVESTIMENTOS!$R$24="",INVESTIMENTOS!$T$24=""),"-",ENTRADAS!L73)</f>
        <v>0</v>
      </c>
      <c r="L36" s="568">
        <f>IF(AND(INVESTIMENTOS!$R$24="",INVESTIMENTOS!$T$24=""),"-",ENTRADAS!M73)</f>
        <v>0</v>
      </c>
      <c r="M36" s="568">
        <f>IF(AND(INVESTIMENTOS!$R$24="",INVESTIMENTOS!$T$24=""),"-",ENTRADAS!N73)</f>
        <v>0</v>
      </c>
      <c r="N36" s="568">
        <f>IF(AND(INVESTIMENTOS!$R$24="",INVESTIMENTOS!$T$24=""),"-",ENTRADAS!O73)</f>
        <v>0</v>
      </c>
      <c r="O36" s="569">
        <f>IF(AND(INVESTIMENTOS!$R$24="",INVESTIMENTOS!$T$24=""),"-",SUM(C36:N36))</f>
        <v>0</v>
      </c>
      <c r="W36" s="1088"/>
      <c r="X36" s="786"/>
      <c r="Y36" s="786"/>
      <c r="Z36" s="786"/>
      <c r="AA36" s="86"/>
      <c r="AB36" s="86"/>
      <c r="AC36" s="86"/>
    </row>
    <row r="37" spans="2:29" x14ac:dyDescent="0.25">
      <c r="B37" s="567" t="s">
        <v>387</v>
      </c>
      <c r="C37" s="568">
        <f>IF(AND(INVESTIMENTOS!$R$24="",INVESTIMENTOS!$T$24=""),"-",ENTRADAS!D74)</f>
        <v>0</v>
      </c>
      <c r="D37" s="568">
        <f>IF(AND(INVESTIMENTOS!$R$24="",INVESTIMENTOS!$T$24=""),"-",ENTRADAS!E74)</f>
        <v>0</v>
      </c>
      <c r="E37" s="568">
        <f>IF(AND(INVESTIMENTOS!$R$24="",INVESTIMENTOS!$T$24=""),"-",ENTRADAS!F74)</f>
        <v>180000</v>
      </c>
      <c r="F37" s="568">
        <f>IF(AND(INVESTIMENTOS!$R$24="",INVESTIMENTOS!$T$24=""),"-",ENTRADAS!G74)</f>
        <v>0</v>
      </c>
      <c r="G37" s="568">
        <f>IF(AND(INVESTIMENTOS!$R$24="",INVESTIMENTOS!$T$24=""),"-",ENTRADAS!H74)</f>
        <v>0</v>
      </c>
      <c r="H37" s="568">
        <f>IF(AND(INVESTIMENTOS!$R$24="",INVESTIMENTOS!$T$24=""),"-",ENTRADAS!I74)</f>
        <v>0</v>
      </c>
      <c r="I37" s="568">
        <f>IF(AND(INVESTIMENTOS!$R$24="",INVESTIMENTOS!$T$24=""),"-",ENTRADAS!J74)</f>
        <v>112900</v>
      </c>
      <c r="J37" s="568">
        <f>IF(AND(INVESTIMENTOS!$R$24="",INVESTIMENTOS!$T$24=""),"-",ENTRADAS!K74)</f>
        <v>41850</v>
      </c>
      <c r="K37" s="568">
        <f>IF(AND(INVESTIMENTOS!$R$24="",INVESTIMENTOS!$T$24=""),"-",ENTRADAS!L74)</f>
        <v>0</v>
      </c>
      <c r="L37" s="568">
        <f>IF(AND(INVESTIMENTOS!$R$24="",INVESTIMENTOS!$T$24=""),"-",ENTRADAS!M74)</f>
        <v>0</v>
      </c>
      <c r="M37" s="568">
        <f>IF(AND(INVESTIMENTOS!$R$24="",INVESTIMENTOS!$T$24=""),"-",ENTRADAS!N74)</f>
        <v>0</v>
      </c>
      <c r="N37" s="568">
        <f>IF(AND(INVESTIMENTOS!$R$24="",INVESTIMENTOS!$T$24=""),"-",ENTRADAS!O74)</f>
        <v>0</v>
      </c>
      <c r="O37" s="569">
        <f>IF(AND(INVESTIMENTOS!$R$24="",INVESTIMENTOS!$T$24=""),"-",SUM(C37:N37))</f>
        <v>334750</v>
      </c>
      <c r="W37" s="1088"/>
      <c r="X37" s="786"/>
      <c r="Y37" s="786"/>
      <c r="Z37" s="786"/>
      <c r="AA37" s="86"/>
      <c r="AB37" s="86"/>
      <c r="AC37" s="86"/>
    </row>
    <row r="38" spans="2:29" x14ac:dyDescent="0.25">
      <c r="B38" s="567" t="s">
        <v>380</v>
      </c>
      <c r="C38" s="568">
        <f>IF(AND(INVESTIMENTOS!$R$24="",INVESTIMENTOS!$T$24=""),"-",ENTRADAS!D75)</f>
        <v>0</v>
      </c>
      <c r="D38" s="568">
        <f>IF(AND(INVESTIMENTOS!$R$24="",INVESTIMENTOS!$T$24=""),"-",ENTRADAS!E75)</f>
        <v>0</v>
      </c>
      <c r="E38" s="568">
        <f>IF(AND(INVESTIMENTOS!$R$24="",INVESTIMENTOS!$T$24=""),"-",ENTRADAS!F75)</f>
        <v>0</v>
      </c>
      <c r="F38" s="568">
        <f>IF(AND(INVESTIMENTOS!$R$24="",INVESTIMENTOS!$T$24=""),"-",ENTRADAS!G75)</f>
        <v>0</v>
      </c>
      <c r="G38" s="568">
        <f>IF(AND(INVESTIMENTOS!$R$24="",INVESTIMENTOS!$T$24=""),"-",ENTRADAS!H75)</f>
        <v>0</v>
      </c>
      <c r="H38" s="568">
        <f>IF(AND(INVESTIMENTOS!$R$24="",INVESTIMENTOS!$T$24=""),"-",ENTRADAS!I75)</f>
        <v>0</v>
      </c>
      <c r="I38" s="568">
        <f>IF(AND(INVESTIMENTOS!$R$24="",INVESTIMENTOS!$T$24=""),"-",ENTRADAS!J75)</f>
        <v>0</v>
      </c>
      <c r="J38" s="568">
        <f>IF(AND(INVESTIMENTOS!$R$24="",INVESTIMENTOS!$T$24=""),"-",ENTRADAS!K75)</f>
        <v>0</v>
      </c>
      <c r="K38" s="568">
        <f>IF(AND(INVESTIMENTOS!$R$24="",INVESTIMENTOS!$T$24=""),"-",ENTRADAS!L75)</f>
        <v>0</v>
      </c>
      <c r="L38" s="568">
        <f>IF(AND(INVESTIMENTOS!$R$24="",INVESTIMENTOS!$T$24=""),"-",ENTRADAS!M75)</f>
        <v>0</v>
      </c>
      <c r="M38" s="568">
        <f>IF(AND(INVESTIMENTOS!$R$24="",INVESTIMENTOS!$T$24=""),"-",ENTRADAS!N75)</f>
        <v>0</v>
      </c>
      <c r="N38" s="568">
        <f>IF(AND(INVESTIMENTOS!$R$24="",INVESTIMENTOS!$T$24=""),"-",ENTRADAS!O75)</f>
        <v>0</v>
      </c>
      <c r="O38" s="569">
        <f>IF(AND(INVESTIMENTOS!$R$24="",INVESTIMENTOS!$T$24=""),"-",SUM(C38:N38))</f>
        <v>0</v>
      </c>
      <c r="W38" s="786"/>
      <c r="X38" s="548"/>
      <c r="Y38" s="548"/>
      <c r="Z38" s="782"/>
      <c r="AA38" s="782"/>
      <c r="AB38" s="782"/>
      <c r="AC38" s="86"/>
    </row>
    <row r="39" spans="2:29" x14ac:dyDescent="0.25">
      <c r="B39" s="567" t="s">
        <v>452</v>
      </c>
      <c r="C39" s="568">
        <f>IF(AND(INVESTIMENTOS!$R$24="",INVESTIMENTOS!$T$24=""),"-",IF($C50=0,0,(SAÍDAS!E70+SAÍDAS!E91-SAÍDAS!E90)-((SAÍDAS!E70+SAÍDAS!E91-SAÍDAS!E90)/$C50)*$C55))</f>
        <v>6473.9040462427747</v>
      </c>
      <c r="D39" s="568">
        <f>IF(AND(INVESTIMENTOS!$R$24="",INVESTIMENTOS!$T$24=""),"-",IF($C50=0,0,(SAÍDAS!F70+SAÍDAS!F91-SAÍDAS!F90)-((SAÍDAS!F70+SAÍDAS!F91-SAÍDAS!F90)/$C50)*$C55))</f>
        <v>4304.9488124014715</v>
      </c>
      <c r="E39" s="568">
        <f>IF(AND(INVESTIMENTOS!$R$24="",INVESTIMENTOS!$T$24=""),"-",IF($C50=0,0,(SAÍDAS!G70+SAÍDAS!G91-SAÍDAS!G90)-((SAÍDAS!G70+SAÍDAS!G91-SAÍDAS!G90)/$C50)*$C55))</f>
        <v>102706.34828166055</v>
      </c>
      <c r="F39" s="568">
        <f>IF(AND(INVESTIMENTOS!$R$24="",INVESTIMENTOS!$T$24=""),"-",IF($C50=0,0,(SAÍDAS!H70+SAÍDAS!H91-SAÍDAS!H90)-((SAÍDAS!H70+SAÍDAS!H91-SAÍDAS!H90)/$C50)*$C55))</f>
        <v>7954.06175512349</v>
      </c>
      <c r="G39" s="568">
        <f>IF(AND(INVESTIMENTOS!$R$24="",INVESTIMENTOS!$T$24=""),"-",IF($C50=0,0,(SAÍDAS!I70+SAÍDAS!I91-SAÍDAS!I90)-((SAÍDAS!I70+SAÍDAS!I91-SAÍDAS!I90)/$C50)*$C55))</f>
        <v>5492.6214398318443</v>
      </c>
      <c r="H39" s="568">
        <f>IF(AND(INVESTIMENTOS!$R$24="",INVESTIMENTOS!$T$24=""),"-",IF($C50=0,0,(SAÍDAS!J70+SAÍDAS!J91-SAÍDAS!J90)-((SAÍDAS!J70+SAÍDAS!J91-SAÍDAS!J90)/$C50)*$C55))</f>
        <v>5755.8119758276389</v>
      </c>
      <c r="I39" s="568">
        <f>IF(AND(INVESTIMENTOS!$R$24="",INVESTIMENTOS!$T$24=""),"-",IF($C50=0,0,(SAÍDAS!K70+SAÍDAS!K91-SAÍDAS!K90)-((SAÍDAS!K70+SAÍDAS!K91-SAÍDAS!K90)/$C50)*$C55))</f>
        <v>125792.59321597479</v>
      </c>
      <c r="J39" s="568">
        <f>IF(AND(INVESTIMENTOS!$R$24="",INVESTIMENTOS!$T$24=""),"-",IF($C50=0,0,(SAÍDAS!L70+SAÍDAS!L91-SAÍDAS!L90)-((SAÍDAS!L70+SAÍDAS!L91-SAÍDAS!L90)/$C50)*$C55))</f>
        <v>26606.96669994745</v>
      </c>
      <c r="K39" s="568">
        <f>IF(AND(INVESTIMENTOS!$R$24="",INVESTIMENTOS!$T$24=""),"-",IF($C50=0,0,(SAÍDAS!M70+SAÍDAS!M91-SAÍDAS!M90)-((SAÍDAS!M70+SAÍDAS!M91-SAÍDAS!M90)/$C50)*$C55))</f>
        <v>0</v>
      </c>
      <c r="L39" s="568">
        <f>IF(AND(INVESTIMENTOS!$R$24="",INVESTIMENTOS!$T$24=""),"-",IF($C50=0,0,(SAÍDAS!N70+SAÍDAS!N91-SAÍDAS!N90)-((SAÍDAS!N70+SAÍDAS!N91-SAÍDAS!N90)/$C50)*$C55))</f>
        <v>0</v>
      </c>
      <c r="M39" s="568">
        <f>IF(AND(INVESTIMENTOS!$R$24="",INVESTIMENTOS!$T$24=""),"-",IF($C50=0,0,(SAÍDAS!O70+SAÍDAS!O91-SAÍDAS!O90)-((SAÍDAS!O70+SAÍDAS!O91-SAÍDAS!O90)/$C50)*$C55))</f>
        <v>0</v>
      </c>
      <c r="N39" s="568">
        <f>IF(AND(INVESTIMENTOS!$R$24="",INVESTIMENTOS!$T$24=""),"-",IF($C50=0,0,(SAÍDAS!P70+SAÍDAS!P91-SAÍDAS!P90)-((SAÍDAS!P70+SAÍDAS!P91-SAÍDAS!P90)/$C50)*$C55))</f>
        <v>0</v>
      </c>
      <c r="O39" s="569">
        <f>IF(AND(INVESTIMENTOS!$R$24="",INVESTIMENTOS!$T$24=""),"-",SUM(C39:N39))</f>
        <v>285087.25622700999</v>
      </c>
      <c r="W39" s="786"/>
      <c r="X39" s="548"/>
      <c r="Y39" s="548"/>
      <c r="Z39" s="782"/>
      <c r="AA39" s="786"/>
      <c r="AB39" s="782"/>
      <c r="AC39" s="86"/>
    </row>
    <row r="40" spans="2:29" x14ac:dyDescent="0.25">
      <c r="B40" s="567" t="s">
        <v>386</v>
      </c>
      <c r="C40" s="568">
        <f>IF(AND(INVESTIMENTOS!$R$24="",INVESTIMENTOS!$T$24=""),"-",C139)</f>
        <v>2900</v>
      </c>
      <c r="D40" s="568">
        <f>IF(AND(INVESTIMENTOS!$R$24="",INVESTIMENTOS!$T$24=""),"-",D139)</f>
        <v>0</v>
      </c>
      <c r="E40" s="568">
        <f>IF(AND(INVESTIMENTOS!$R$24="",INVESTIMENTOS!$T$24=""),"-",E139)</f>
        <v>0</v>
      </c>
      <c r="F40" s="568">
        <f>IF(AND(INVESTIMENTOS!$R$24="",INVESTIMENTOS!$T$24=""),"-",F139)</f>
        <v>0</v>
      </c>
      <c r="G40" s="568">
        <f>IF(AND(INVESTIMENTOS!$R$24="",INVESTIMENTOS!$T$24=""),"-",G139)</f>
        <v>0</v>
      </c>
      <c r="H40" s="568">
        <f>IF(AND(INVESTIMENTOS!$R$24="",INVESTIMENTOS!$T$24=""),"-",H139)</f>
        <v>0</v>
      </c>
      <c r="I40" s="568">
        <f>IF(AND(INVESTIMENTOS!$R$24="",INVESTIMENTOS!$T$24=""),"-",I139)</f>
        <v>0</v>
      </c>
      <c r="J40" s="568">
        <f>IF(AND(INVESTIMENTOS!$R$24="",INVESTIMENTOS!$T$24=""),"-",J139)</f>
        <v>0</v>
      </c>
      <c r="K40" s="568">
        <f>IF(AND(INVESTIMENTOS!$R$24="",INVESTIMENTOS!$T$24=""),"-",K139)</f>
        <v>0</v>
      </c>
      <c r="L40" s="568">
        <f>IF(AND(INVESTIMENTOS!$R$24="",INVESTIMENTOS!$T$24=""),"-",L139)</f>
        <v>0</v>
      </c>
      <c r="M40" s="568">
        <f>IF(AND(INVESTIMENTOS!$R$24="",INVESTIMENTOS!$T$24=""),"-",M139)</f>
        <v>0</v>
      </c>
      <c r="N40" s="568">
        <f>IF(AND(INVESTIMENTOS!$R$24="",INVESTIMENTOS!$T$24=""),"-",N139)</f>
        <v>0</v>
      </c>
      <c r="O40" s="569">
        <f>IF(AND(INVESTIMENTOS!$R$24="",INVESTIMENTOS!$T$24=""),"-",SUM(C40:N40))</f>
        <v>2900</v>
      </c>
      <c r="W40" s="86"/>
      <c r="X40" s="86"/>
      <c r="Y40" s="86"/>
      <c r="Z40" s="86"/>
      <c r="AA40" s="86"/>
      <c r="AB40" s="86"/>
      <c r="AC40" s="86"/>
    </row>
    <row r="41" spans="2:29" x14ac:dyDescent="0.25">
      <c r="B41" s="567" t="s">
        <v>381</v>
      </c>
      <c r="C41" s="568">
        <f>IF(AND(INVESTIMENTOS!$R$24="",INVESTIMENTOS!$T$24=""),"-",C34+C35+C36+C37+C38-C39)</f>
        <v>-12234.2</v>
      </c>
      <c r="D41" s="568">
        <f>IF(AND(INVESTIMENTOS!$R$24="",INVESTIMENTOS!$T$24=""),"-",D34+D35+D36+D37+D38-D39)</f>
        <v>-8135.3700000000008</v>
      </c>
      <c r="E41" s="568">
        <f>IF(AND(INVESTIMENTOS!$R$24="",INVESTIMENTOS!$T$24=""),"-",E34+E35+E36+E37+E38-E39)</f>
        <v>-14091.540000000008</v>
      </c>
      <c r="F41" s="568">
        <f>IF(AND(INVESTIMENTOS!$R$24="",INVESTIMENTOS!$T$24=""),"-",F34+F35+F36+F37+F38-F39)</f>
        <v>-12031.36</v>
      </c>
      <c r="G41" s="568">
        <f>IF(AND(INVESTIMENTOS!$R$24="",INVESTIMENTOS!$T$24=""),"-",G34+G35+G36+G37+G38-G39)</f>
        <v>-10379.799999999999</v>
      </c>
      <c r="H41" s="568">
        <f>IF(AND(INVESTIMENTOS!$R$24="",INVESTIMENTOS!$T$24=""),"-",H34+H35+H36+H37+H38-H39)</f>
        <v>-10877.169999999998</v>
      </c>
      <c r="I41" s="568">
        <f>IF(AND(INVESTIMENTOS!$R$24="",INVESTIMENTOS!$T$24=""),"-",I34+I35+I36+I37+I38-I39)</f>
        <v>234911.52999999997</v>
      </c>
      <c r="J41" s="568">
        <f>IF(AND(INVESTIMENTOS!$R$24="",INVESTIMENTOS!$T$24=""),"-",J34+J35+J36+J37+J38-J39)</f>
        <v>-8431.0899999999965</v>
      </c>
      <c r="K41" s="568">
        <f>IF(AND(INVESTIMENTOS!$R$24="",INVESTIMENTOS!$T$24=""),"-",K34+K35+K36+K37+K38-K39)</f>
        <v>0</v>
      </c>
      <c r="L41" s="568">
        <f>IF(AND(INVESTIMENTOS!$R$24="",INVESTIMENTOS!$T$24=""),"-",L34+L35+L36+L37+L38-L39)</f>
        <v>0</v>
      </c>
      <c r="M41" s="568">
        <f>IF(AND(INVESTIMENTOS!$R$24="",INVESTIMENTOS!$T$24=""),"-",M34+M35+M36+M37+M38-M39)</f>
        <v>0</v>
      </c>
      <c r="N41" s="568">
        <f>IF(AND(INVESTIMENTOS!$R$24="",INVESTIMENTOS!$T$24=""),"-",N34+N35+N36+N37+N38-N39)</f>
        <v>0</v>
      </c>
      <c r="O41" s="569">
        <f>IF(AND(INVESTIMENTOS!$R$24="",INVESTIMENTOS!$T$24=""),"-",SUM(C41:N41))</f>
        <v>158730.99999999997</v>
      </c>
      <c r="W41" s="86"/>
      <c r="X41" s="786"/>
      <c r="Y41" s="786"/>
      <c r="Z41" s="782"/>
      <c r="AA41" s="782"/>
      <c r="AB41" s="782"/>
      <c r="AC41" s="86"/>
    </row>
    <row r="42" spans="2:29" x14ac:dyDescent="0.25">
      <c r="B42" s="567" t="s">
        <v>390</v>
      </c>
      <c r="C42" s="568">
        <f>IF(AND(INVESTIMENTOS!$R$24="",INVESTIMENTOS!$T$24=""),"-",SAÍDAS!E96)</f>
        <v>0</v>
      </c>
      <c r="D42" s="568">
        <f>IF(AND(INVESTIMENTOS!$R$24="",INVESTIMENTOS!$T$24=""),"-",SAÍDAS!F96)</f>
        <v>0</v>
      </c>
      <c r="E42" s="568">
        <f>IF(AND(INVESTIMENTOS!$R$24="",INVESTIMENTOS!$T$24=""),"-",SAÍDAS!G96)</f>
        <v>0</v>
      </c>
      <c r="F42" s="568">
        <f>IF(AND(INVESTIMENTOS!$R$24="",INVESTIMENTOS!$T$24=""),"-",SAÍDAS!H96)</f>
        <v>0</v>
      </c>
      <c r="G42" s="568">
        <f>IF(AND(INVESTIMENTOS!$R$24="",INVESTIMENTOS!$T$24=""),"-",SAÍDAS!I96)</f>
        <v>0</v>
      </c>
      <c r="H42" s="568">
        <f>IF(AND(INVESTIMENTOS!$R$24="",INVESTIMENTOS!$T$24=""),"-",SAÍDAS!J96)</f>
        <v>0</v>
      </c>
      <c r="I42" s="568">
        <f>IF(AND(INVESTIMENTOS!$R$24="",INVESTIMENTOS!$T$24=""),"-",SAÍDAS!K96)</f>
        <v>0</v>
      </c>
      <c r="J42" s="568">
        <f>IF(AND(INVESTIMENTOS!$R$24="",INVESTIMENTOS!$T$24=""),"-",SAÍDAS!L96)</f>
        <v>0</v>
      </c>
      <c r="K42" s="568">
        <f>IF(AND(INVESTIMENTOS!$R$24="",INVESTIMENTOS!$T$24=""),"-",SAÍDAS!M96)</f>
        <v>0</v>
      </c>
      <c r="L42" s="568">
        <f>IF(AND(INVESTIMENTOS!$R$24="",INVESTIMENTOS!$T$24=""),"-",SAÍDAS!N96)</f>
        <v>0</v>
      </c>
      <c r="M42" s="568">
        <f>IF(AND(INVESTIMENTOS!$R$24="",INVESTIMENTOS!$T$24=""),"-",SAÍDAS!O96)</f>
        <v>0</v>
      </c>
      <c r="N42" s="568">
        <f>IF(AND(INVESTIMENTOS!$R$24="",INVESTIMENTOS!$T$24=""),"-",SAÍDAS!P96)</f>
        <v>0</v>
      </c>
      <c r="O42" s="569">
        <f>IF(AND(INVESTIMENTOS!$R$24="",INVESTIMENTOS!$T$24=""),"-",SUM(C42:N42))</f>
        <v>0</v>
      </c>
      <c r="W42" s="86"/>
      <c r="X42" s="786"/>
      <c r="Y42" s="786"/>
      <c r="Z42" s="782"/>
      <c r="AA42" s="782"/>
      <c r="AB42" s="782"/>
      <c r="AC42" s="86"/>
    </row>
    <row r="43" spans="2:29" ht="15.75" thickBot="1" x14ac:dyDescent="0.3">
      <c r="B43" s="571" t="s">
        <v>388</v>
      </c>
      <c r="C43" s="572">
        <f>IF(AND(INVESTIMENTOS!$R$24="",INVESTIMENTOS!$T$24=""),"-",SAÍDAS!E97)</f>
        <v>0</v>
      </c>
      <c r="D43" s="572">
        <f>IF(AND(INVESTIMENTOS!$R$24="",INVESTIMENTOS!$T$24=""),"-",SAÍDAS!F97)</f>
        <v>0</v>
      </c>
      <c r="E43" s="572">
        <f>IF(AND(INVESTIMENTOS!$R$24="",INVESTIMENTOS!$T$24=""),"-",SAÍDAS!G97)</f>
        <v>0</v>
      </c>
      <c r="F43" s="572">
        <f>IF(AND(INVESTIMENTOS!$R$24="",INVESTIMENTOS!$T$24=""),"-",SAÍDAS!H97)</f>
        <v>0</v>
      </c>
      <c r="G43" s="572">
        <f>IF(AND(INVESTIMENTOS!$R$24="",INVESTIMENTOS!$T$24=""),"-",SAÍDAS!I97)</f>
        <v>0</v>
      </c>
      <c r="H43" s="572">
        <f>IF(AND(INVESTIMENTOS!$R$24="",INVESTIMENTOS!$T$24=""),"-",SAÍDAS!J97)</f>
        <v>0</v>
      </c>
      <c r="I43" s="572">
        <f>IF(AND(INVESTIMENTOS!$R$24="",INVESTIMENTOS!$T$24=""),"-",SAÍDAS!K97)</f>
        <v>0</v>
      </c>
      <c r="J43" s="572">
        <f>IF(AND(INVESTIMENTOS!$R$24="",INVESTIMENTOS!$T$24=""),"-",SAÍDAS!L97)</f>
        <v>0</v>
      </c>
      <c r="K43" s="572">
        <f>IF(AND(INVESTIMENTOS!$R$24="",INVESTIMENTOS!$T$24=""),"-",SAÍDAS!M97)</f>
        <v>0</v>
      </c>
      <c r="L43" s="572">
        <f>IF(AND(INVESTIMENTOS!$R$24="",INVESTIMENTOS!$T$24=""),"-",SAÍDAS!N97)</f>
        <v>0</v>
      </c>
      <c r="M43" s="572">
        <f>IF(AND(INVESTIMENTOS!$R$24="",INVESTIMENTOS!$T$24=""),"-",SAÍDAS!O97)</f>
        <v>0</v>
      </c>
      <c r="N43" s="572">
        <f>IF(AND(INVESTIMENTOS!$R$24="",INVESTIMENTOS!$T$24=""),"-",SAÍDAS!P97)</f>
        <v>0</v>
      </c>
      <c r="O43" s="570">
        <f>IF(AND(INVESTIMENTOS!$R$24="",INVESTIMENTOS!$T$24=""),"-",SUM(C43:N43))</f>
        <v>0</v>
      </c>
      <c r="W43" s="86"/>
      <c r="X43" s="548"/>
      <c r="Y43" s="785"/>
      <c r="Z43" s="782"/>
      <c r="AA43" s="786"/>
      <c r="AB43" s="782"/>
      <c r="AC43" s="86"/>
    </row>
    <row r="44" spans="2:29" ht="16.5" thickTop="1" thickBot="1" x14ac:dyDescent="0.3">
      <c r="B44" s="573" t="s">
        <v>382</v>
      </c>
      <c r="C44" s="574">
        <f>IF(AND(INVESTIMENTOS!$R$24="",INVESTIMENTOS!$T$24=""),"-",C41-C42-C43)</f>
        <v>-12234.2</v>
      </c>
      <c r="D44" s="574">
        <f>IF(AND(INVESTIMENTOS!$R$24="",INVESTIMENTOS!$T$24=""),"-",D41-D42-D43+C44)</f>
        <v>-20369.57</v>
      </c>
      <c r="E44" s="574">
        <f>IF(AND(INVESTIMENTOS!$R$24="",INVESTIMENTOS!$T$24=""),"-",E41-E42-E43+D44)</f>
        <v>-34461.110000000008</v>
      </c>
      <c r="F44" s="574">
        <f>IF(AND(INVESTIMENTOS!$R$24="",INVESTIMENTOS!$T$24=""),"-",F41-F42-F43+E44)</f>
        <v>-46492.470000000008</v>
      </c>
      <c r="G44" s="574">
        <f>IF(AND(INVESTIMENTOS!$R$24="",INVESTIMENTOS!$T$24=""),"-",G41-G42-G43+F44)</f>
        <v>-56872.270000000004</v>
      </c>
      <c r="H44" s="574">
        <f>IF(AND(INVESTIMENTOS!$R$24="",INVESTIMENTOS!$T$24=""),"-",H41-H42-H43+G44)</f>
        <v>-67749.440000000002</v>
      </c>
      <c r="I44" s="574">
        <f>IF(AND(INVESTIMENTOS!$R$24="",INVESTIMENTOS!$T$24=""),"-",I41-I42-I43+H44)</f>
        <v>167162.08999999997</v>
      </c>
      <c r="J44" s="574">
        <f>IF(AND(INVESTIMENTOS!$R$24="",INVESTIMENTOS!$T$24=""),"-",J41-J42-J43+I44)</f>
        <v>158730.99999999997</v>
      </c>
      <c r="K44" s="574">
        <f>IF(AND(INVESTIMENTOS!$R$24="",INVESTIMENTOS!$T$24=""),"-",K41-K42-K43+J44)</f>
        <v>158730.99999999997</v>
      </c>
      <c r="L44" s="574">
        <f>IF(AND(INVESTIMENTOS!$R$24="",INVESTIMENTOS!$T$24=""),"-",L41-L42-L43+K44)</f>
        <v>158730.99999999997</v>
      </c>
      <c r="M44" s="574">
        <f>IF(AND(INVESTIMENTOS!$R$24="",INVESTIMENTOS!$T$24=""),"-",M41-M42-M43+L44)</f>
        <v>158730.99999999997</v>
      </c>
      <c r="N44" s="574">
        <f>IF(AND(INVESTIMENTOS!$R$24="",INVESTIMENTOS!$T$24=""),"-",N41-N42-N43+M44)</f>
        <v>158730.99999999997</v>
      </c>
      <c r="O44" s="575">
        <f>N44</f>
        <v>158730.99999999997</v>
      </c>
      <c r="W44" s="86"/>
      <c r="X44" s="86"/>
      <c r="Y44" s="86"/>
      <c r="Z44" s="86"/>
      <c r="AA44" s="86"/>
      <c r="AB44" s="86"/>
      <c r="AC44" s="86"/>
    </row>
    <row r="45" spans="2:29" ht="11.25" customHeight="1" thickTop="1" x14ac:dyDescent="0.25">
      <c r="B45" s="827" t="s">
        <v>459</v>
      </c>
      <c r="C45" s="825"/>
      <c r="D45" s="825"/>
      <c r="E45" s="825"/>
      <c r="F45" s="825"/>
      <c r="G45" s="825"/>
      <c r="H45" s="825"/>
      <c r="I45" s="825"/>
      <c r="J45" s="825"/>
      <c r="K45" s="825"/>
      <c r="L45" s="825"/>
      <c r="M45" s="825"/>
      <c r="N45" s="825"/>
      <c r="O45" s="826"/>
      <c r="W45" s="86"/>
      <c r="X45" s="86"/>
      <c r="Y45" s="86"/>
      <c r="Z45" s="86"/>
      <c r="AA45" s="86"/>
      <c r="AB45" s="86"/>
      <c r="AC45" s="86"/>
    </row>
    <row r="46" spans="2:29" ht="15" customHeight="1" x14ac:dyDescent="0.25">
      <c r="C46" s="576"/>
      <c r="D46" s="576"/>
      <c r="E46" s="576"/>
      <c r="F46" s="576"/>
      <c r="G46" s="576"/>
      <c r="H46" s="576"/>
      <c r="I46" s="576"/>
      <c r="J46" s="576"/>
      <c r="K46" s="576"/>
      <c r="L46" s="576"/>
      <c r="M46" s="576"/>
      <c r="N46" s="576"/>
      <c r="W46" s="86"/>
      <c r="X46" s="86"/>
      <c r="Y46" s="86"/>
      <c r="Z46" s="86"/>
      <c r="AA46" s="86"/>
      <c r="AB46" s="86"/>
      <c r="AC46" s="86"/>
    </row>
    <row r="47" spans="2:29" ht="15.75" thickBot="1" x14ac:dyDescent="0.3">
      <c r="B47" s="228"/>
      <c r="C47" s="576"/>
      <c r="D47" s="576"/>
      <c r="E47" s="576"/>
      <c r="G47" s="576"/>
      <c r="H47" s="576"/>
      <c r="I47" s="576"/>
      <c r="J47" s="576"/>
      <c r="K47" s="576"/>
      <c r="L47" s="576"/>
      <c r="M47" s="576"/>
      <c r="N47" s="576"/>
    </row>
    <row r="48" spans="2:29" ht="16.5" thickTop="1" thickBot="1" x14ac:dyDescent="0.3">
      <c r="B48" s="577" t="s">
        <v>400</v>
      </c>
      <c r="C48" s="576"/>
      <c r="D48" s="576"/>
      <c r="E48" s="576"/>
      <c r="F48" s="576"/>
      <c r="G48" s="576"/>
      <c r="H48" s="576"/>
      <c r="I48" s="576"/>
      <c r="J48" s="576"/>
      <c r="K48" s="576"/>
      <c r="L48" s="576"/>
      <c r="M48" s="576"/>
      <c r="N48" s="576"/>
    </row>
    <row r="49" spans="2:28" ht="11.25" customHeight="1" thickTop="1" thickBot="1" x14ac:dyDescent="0.3">
      <c r="B49" s="228"/>
      <c r="C49" s="576"/>
      <c r="D49" s="576"/>
      <c r="E49" s="576"/>
      <c r="F49" s="576"/>
      <c r="G49" s="576"/>
      <c r="L49" s="578"/>
      <c r="M49" s="578"/>
      <c r="N49" s="578"/>
      <c r="O49" s="227"/>
      <c r="P49" s="227"/>
      <c r="X49" s="949" t="s">
        <v>464</v>
      </c>
      <c r="Y49" s="949"/>
      <c r="Z49" s="949"/>
      <c r="AA49" s="949"/>
      <c r="AB49" s="949"/>
    </row>
    <row r="50" spans="2:28" ht="16.5" thickTop="1" thickBot="1" x14ac:dyDescent="0.3">
      <c r="B50" s="549" t="s">
        <v>263</v>
      </c>
      <c r="C50" s="1097">
        <f>M30</f>
        <v>237.875</v>
      </c>
      <c r="D50" s="840">
        <f>C50</f>
        <v>237.875</v>
      </c>
      <c r="E50" s="840" t="s">
        <v>497</v>
      </c>
      <c r="F50" s="1098">
        <f>N30</f>
        <v>4363.8522023282731</v>
      </c>
      <c r="G50" s="1234" t="s">
        <v>484</v>
      </c>
      <c r="H50" s="1235"/>
      <c r="J50" s="1245" t="s">
        <v>293</v>
      </c>
      <c r="K50" s="1246"/>
      <c r="L50" s="1247"/>
      <c r="M50" s="1248" t="s">
        <v>13</v>
      </c>
      <c r="N50" s="1246"/>
      <c r="O50" s="1247"/>
      <c r="P50" s="1248" t="s">
        <v>14</v>
      </c>
      <c r="Q50" s="1246"/>
      <c r="R50" s="1247"/>
      <c r="S50" s="1255" t="s">
        <v>237</v>
      </c>
      <c r="T50" s="1256"/>
      <c r="U50" s="1257"/>
      <c r="X50" s="949" t="s">
        <v>491</v>
      </c>
      <c r="Y50" s="1091">
        <f>G71*C56</f>
        <v>3692.2869012587621</v>
      </c>
      <c r="Z50" s="949"/>
      <c r="AA50" s="949"/>
      <c r="AB50" s="949"/>
    </row>
    <row r="51" spans="2:28" ht="35.25" customHeight="1" thickTop="1" x14ac:dyDescent="0.25">
      <c r="B51" s="1082"/>
      <c r="C51" s="1092"/>
      <c r="D51" s="579" t="s">
        <v>41</v>
      </c>
      <c r="E51" s="917" t="s">
        <v>264</v>
      </c>
      <c r="F51" s="581" t="s">
        <v>462</v>
      </c>
      <c r="G51" s="579" t="s">
        <v>463</v>
      </c>
      <c r="H51" s="580" t="s">
        <v>265</v>
      </c>
      <c r="J51" s="1059" t="s">
        <v>41</v>
      </c>
      <c r="K51" s="579" t="s">
        <v>297</v>
      </c>
      <c r="L51" s="917" t="s">
        <v>464</v>
      </c>
      <c r="M51" s="917" t="s">
        <v>41</v>
      </c>
      <c r="N51" s="579" t="s">
        <v>297</v>
      </c>
      <c r="O51" s="917" t="s">
        <v>464</v>
      </c>
      <c r="P51" s="917" t="s">
        <v>41</v>
      </c>
      <c r="Q51" s="579" t="s">
        <v>297</v>
      </c>
      <c r="R51" s="917" t="s">
        <v>464</v>
      </c>
      <c r="S51" s="917" t="s">
        <v>41</v>
      </c>
      <c r="T51" s="917" t="s">
        <v>297</v>
      </c>
      <c r="U51" s="582" t="s">
        <v>464</v>
      </c>
      <c r="V51" s="1062"/>
      <c r="X51" s="949" t="s">
        <v>492</v>
      </c>
      <c r="Y51" s="1091">
        <f>(G59+G77)*C56</f>
        <v>399531.98121703183</v>
      </c>
      <c r="Z51" s="949"/>
      <c r="AA51" s="949" t="s">
        <v>408</v>
      </c>
      <c r="AB51" s="949">
        <f>IF(Y54=0,0,Y51/Y54)</f>
        <v>1.0760346240242078</v>
      </c>
    </row>
    <row r="52" spans="2:28" x14ac:dyDescent="0.25">
      <c r="B52" s="1093" t="s">
        <v>266</v>
      </c>
      <c r="C52" s="1095">
        <f>SUM(P189:P193)</f>
        <v>1</v>
      </c>
      <c r="D52" s="584">
        <f>ENTRADAS!P28</f>
        <v>3000</v>
      </c>
      <c r="E52" s="918">
        <f>IF(D52=0,0,(D52/$D$55)*100)</f>
        <v>0.82705962658809229</v>
      </c>
      <c r="F52" s="590">
        <f>IF(OR(C$50=0,C$50="",C$50="-"),0,D52/C$50)</f>
        <v>12.611665790856541</v>
      </c>
      <c r="G52" s="584">
        <f>IF(OR(F$50=0,F$50="",F$50="-"),0,D52/F$50)</f>
        <v>0.68746599584637436</v>
      </c>
      <c r="H52" s="585">
        <f>IF(D52=0,0,D52/$C$10)</f>
        <v>29.732408325074328</v>
      </c>
      <c r="J52" s="1060">
        <f>'RESULTADOS FINANCEIROS'!P230</f>
        <v>0</v>
      </c>
      <c r="K52" s="587">
        <f>P189</f>
        <v>0</v>
      </c>
      <c r="L52" s="918">
        <f>P209</f>
        <v>0</v>
      </c>
      <c r="M52" s="918">
        <f>'RESULTADOS FINANCEIROS'!$P231</f>
        <v>3000</v>
      </c>
      <c r="N52" s="587">
        <f>P190</f>
        <v>1</v>
      </c>
      <c r="O52" s="918">
        <f>P210</f>
        <v>31.179794403975762</v>
      </c>
      <c r="P52" s="918">
        <f>'RESULTADOS FINANCEIROS'!$P232</f>
        <v>0</v>
      </c>
      <c r="Q52" s="587">
        <f>P191</f>
        <v>0</v>
      </c>
      <c r="R52" s="918">
        <f>P211</f>
        <v>0</v>
      </c>
      <c r="S52" s="918">
        <f>SUM('RESULTADOS FINANCEIROS'!$P233,'RESULTADOS FINANCEIROS'!$P234)</f>
        <v>0</v>
      </c>
      <c r="T52" s="928">
        <f>P192+P193</f>
        <v>0</v>
      </c>
      <c r="U52" s="585">
        <f>P212+P213</f>
        <v>0</v>
      </c>
      <c r="V52" s="1062"/>
      <c r="X52" s="949" t="s">
        <v>493</v>
      </c>
      <c r="Y52" s="1083">
        <f>G83*C56</f>
        <v>8106.4618903786914</v>
      </c>
      <c r="Z52" s="949"/>
      <c r="AA52" s="949" t="s">
        <v>409</v>
      </c>
      <c r="AB52" s="949">
        <f>1-AB51</f>
        <v>-7.6034624024207798E-2</v>
      </c>
    </row>
    <row r="53" spans="2:28" x14ac:dyDescent="0.25">
      <c r="B53" s="1093" t="s">
        <v>267</v>
      </c>
      <c r="C53" s="1095">
        <f>SUM(P197:P199)</f>
        <v>111</v>
      </c>
      <c r="D53" s="584">
        <f>ENTRADAS!P43</f>
        <v>359730.8</v>
      </c>
      <c r="E53" s="918">
        <f>IF(D53=0,0,(D53/$D$55)*100)</f>
        <v>99.172940373411905</v>
      </c>
      <c r="F53" s="590">
        <f>IF(OR(C$50=0,C$50="",C$50="-"),0,D53/C$50)</f>
        <v>1512.2682080924856</v>
      </c>
      <c r="G53" s="584">
        <f>IF(OR(F$50=0,F$50="",F$50="-"),0,D53/F$50)</f>
        <v>82.434230886204304</v>
      </c>
      <c r="H53" s="585">
        <f>IF(D53=0,0,D53/$C$10)</f>
        <v>3565.2210109018829</v>
      </c>
      <c r="J53" s="1060" t="s">
        <v>107</v>
      </c>
      <c r="K53" s="583" t="s">
        <v>107</v>
      </c>
      <c r="L53" s="918" t="s">
        <v>107</v>
      </c>
      <c r="M53" s="918" t="s">
        <v>107</v>
      </c>
      <c r="N53" s="583" t="s">
        <v>107</v>
      </c>
      <c r="O53" s="918" t="s">
        <v>107</v>
      </c>
      <c r="P53" s="918">
        <f>P238</f>
        <v>359730.8</v>
      </c>
      <c r="Q53" s="583">
        <f>P197</f>
        <v>111</v>
      </c>
      <c r="R53" s="918">
        <f>P217</f>
        <v>4435.7682619647358</v>
      </c>
      <c r="S53" s="918">
        <f>P239+P240</f>
        <v>0</v>
      </c>
      <c r="T53" s="929">
        <f>P198+P199</f>
        <v>0</v>
      </c>
      <c r="U53" s="585">
        <f>P218+P219</f>
        <v>0</v>
      </c>
      <c r="X53" s="949"/>
      <c r="Y53" s="949"/>
      <c r="Z53" s="949"/>
      <c r="AA53" s="949"/>
      <c r="AB53" s="949"/>
    </row>
    <row r="54" spans="2:28" x14ac:dyDescent="0.25">
      <c r="B54" s="1093" t="s">
        <v>88</v>
      </c>
      <c r="C54" s="1095">
        <f>SUM(P202:P205)</f>
        <v>0</v>
      </c>
      <c r="D54" s="584">
        <f>ENTRADAS!P68</f>
        <v>0</v>
      </c>
      <c r="E54" s="918">
        <f>IF(D54=0,0,(D54/$D$55)*100)</f>
        <v>0</v>
      </c>
      <c r="F54" s="590">
        <f>IF(OR(C$50=0,C$50="",C$50="-"),0,D54/C$50)</f>
        <v>0</v>
      </c>
      <c r="G54" s="584">
        <f>IF(OR(F$50=0,F$50="",F$50="-"),0,D54/F$50)</f>
        <v>0</v>
      </c>
      <c r="H54" s="585">
        <f>IF(D54=0,0,D54/$C$10)</f>
        <v>0</v>
      </c>
      <c r="J54" s="1060">
        <f>P243</f>
        <v>0</v>
      </c>
      <c r="K54" s="583">
        <f>P202</f>
        <v>0</v>
      </c>
      <c r="L54" s="918">
        <f>P222</f>
        <v>0</v>
      </c>
      <c r="M54" s="918">
        <f>$P244</f>
        <v>0</v>
      </c>
      <c r="N54" s="583">
        <f>P203</f>
        <v>0</v>
      </c>
      <c r="O54" s="918">
        <f>P223</f>
        <v>0</v>
      </c>
      <c r="P54" s="918">
        <f>P245</f>
        <v>0</v>
      </c>
      <c r="Q54" s="583">
        <f>P204</f>
        <v>0</v>
      </c>
      <c r="R54" s="918">
        <f>P224</f>
        <v>0</v>
      </c>
      <c r="S54" s="918">
        <f>P246</f>
        <v>0</v>
      </c>
      <c r="T54" s="929">
        <f>P205</f>
        <v>0</v>
      </c>
      <c r="U54" s="585">
        <f>P224+P225</f>
        <v>0</v>
      </c>
      <c r="X54" s="949" t="s">
        <v>494</v>
      </c>
      <c r="Y54" s="1083">
        <f>G55*C56</f>
        <v>371300.30232934537</v>
      </c>
      <c r="Z54" s="949"/>
      <c r="AA54" s="949"/>
      <c r="AB54" s="949"/>
    </row>
    <row r="55" spans="2:28" ht="15.75" thickBot="1" x14ac:dyDescent="0.3">
      <c r="B55" s="1094" t="s">
        <v>134</v>
      </c>
      <c r="C55" s="1096">
        <f>SUM(C52:C54)</f>
        <v>112</v>
      </c>
      <c r="D55" s="592">
        <f>SUM(D52:D54)</f>
        <v>362730.8</v>
      </c>
      <c r="E55" s="919" t="s">
        <v>107</v>
      </c>
      <c r="F55" s="594">
        <f>IF(OR(C$50=0,C$50="",C$50="-"),0,D55/C$50)</f>
        <v>1524.879873883342</v>
      </c>
      <c r="G55" s="592">
        <f>IF(OR(F$50=0,F$50="",F$50="-"),0,D55/F$50)</f>
        <v>83.121696882050671</v>
      </c>
      <c r="H55" s="593">
        <f>IF(D55=0,0,D55/$C$10)</f>
        <v>3594.9534192269571</v>
      </c>
      <c r="J55" s="1061">
        <f t="shared" ref="J55" si="0">SUM(J52:J54)</f>
        <v>0</v>
      </c>
      <c r="K55" s="591">
        <f t="shared" ref="K55:U55" si="1">SUM(K52:K54)</f>
        <v>0</v>
      </c>
      <c r="L55" s="919">
        <f t="shared" si="1"/>
        <v>0</v>
      </c>
      <c r="M55" s="919">
        <f t="shared" si="1"/>
        <v>3000</v>
      </c>
      <c r="N55" s="591">
        <f t="shared" si="1"/>
        <v>1</v>
      </c>
      <c r="O55" s="919">
        <f t="shared" si="1"/>
        <v>31.179794403975762</v>
      </c>
      <c r="P55" s="919">
        <f t="shared" si="1"/>
        <v>359730.8</v>
      </c>
      <c r="Q55" s="591">
        <f t="shared" si="1"/>
        <v>111</v>
      </c>
      <c r="R55" s="919">
        <f t="shared" si="1"/>
        <v>4435.7682619647358</v>
      </c>
      <c r="S55" s="919">
        <f t="shared" si="1"/>
        <v>0</v>
      </c>
      <c r="T55" s="930">
        <f t="shared" si="1"/>
        <v>0</v>
      </c>
      <c r="U55" s="593">
        <f t="shared" si="1"/>
        <v>0</v>
      </c>
      <c r="X55" s="949"/>
      <c r="Y55" s="949"/>
      <c r="Z55" s="949"/>
      <c r="AA55" s="949"/>
      <c r="AB55" s="949"/>
    </row>
    <row r="56" spans="2:28" ht="16.5" thickTop="1" thickBot="1" x14ac:dyDescent="0.3">
      <c r="B56" s="228"/>
      <c r="C56" s="647">
        <f>SUM(L55,O55,R55,U55)</f>
        <v>4466.9480563687111</v>
      </c>
      <c r="D56" s="576"/>
      <c r="E56" s="576"/>
      <c r="F56" s="576"/>
      <c r="G56" s="576"/>
      <c r="H56" s="576"/>
      <c r="I56" s="576"/>
      <c r="J56" s="576"/>
      <c r="K56" s="576"/>
      <c r="L56" s="576"/>
      <c r="M56" s="576"/>
      <c r="N56" s="576"/>
      <c r="O56" s="576"/>
      <c r="P56" s="576"/>
      <c r="Q56" s="576"/>
      <c r="R56" s="576"/>
      <c r="S56" s="576"/>
      <c r="T56" s="576"/>
      <c r="U56" s="634"/>
      <c r="X56" s="949"/>
      <c r="Y56" s="949"/>
      <c r="Z56" s="949"/>
      <c r="AA56" s="949"/>
      <c r="AB56" s="949"/>
    </row>
    <row r="57" spans="2:28" ht="16.5" thickTop="1" thickBot="1" x14ac:dyDescent="0.3">
      <c r="B57" s="933" t="s">
        <v>268</v>
      </c>
      <c r="C57" s="926"/>
      <c r="D57" s="927"/>
      <c r="E57" s="927"/>
      <c r="F57" s="927"/>
      <c r="G57" s="927"/>
      <c r="H57" s="931"/>
      <c r="I57" s="576"/>
      <c r="J57" s="1245" t="s">
        <v>293</v>
      </c>
      <c r="K57" s="1246"/>
      <c r="L57" s="1247"/>
      <c r="M57" s="1248" t="s">
        <v>13</v>
      </c>
      <c r="N57" s="1246"/>
      <c r="O57" s="1247"/>
      <c r="P57" s="1248" t="s">
        <v>14</v>
      </c>
      <c r="Q57" s="1246"/>
      <c r="R57" s="1247"/>
      <c r="S57" s="1255" t="s">
        <v>237</v>
      </c>
      <c r="T57" s="1256"/>
      <c r="U57" s="1257"/>
      <c r="X57" s="949" t="s">
        <v>495</v>
      </c>
      <c r="Y57" s="949"/>
      <c r="Z57" s="1091">
        <f>Y50/AB52</f>
        <v>-48560.599182856706</v>
      </c>
      <c r="AA57" s="949"/>
      <c r="AB57" s="949"/>
    </row>
    <row r="58" spans="2:28" ht="15.75" thickTop="1" x14ac:dyDescent="0.25">
      <c r="B58" s="932" t="s">
        <v>269</v>
      </c>
      <c r="C58" s="595"/>
      <c r="D58" s="579" t="s">
        <v>41</v>
      </c>
      <c r="E58" s="917" t="s">
        <v>264</v>
      </c>
      <c r="F58" s="581" t="s">
        <v>462</v>
      </c>
      <c r="G58" s="579" t="s">
        <v>463</v>
      </c>
      <c r="H58" s="582" t="s">
        <v>270</v>
      </c>
      <c r="I58" s="576"/>
      <c r="J58" s="581" t="s">
        <v>41</v>
      </c>
      <c r="K58" s="579" t="s">
        <v>295</v>
      </c>
      <c r="L58" s="579" t="s">
        <v>465</v>
      </c>
      <c r="M58" s="579" t="s">
        <v>41</v>
      </c>
      <c r="N58" s="579" t="s">
        <v>295</v>
      </c>
      <c r="O58" s="579" t="s">
        <v>465</v>
      </c>
      <c r="P58" s="579" t="s">
        <v>41</v>
      </c>
      <c r="Q58" s="579" t="s">
        <v>295</v>
      </c>
      <c r="R58" s="579" t="s">
        <v>465</v>
      </c>
      <c r="S58" s="579" t="s">
        <v>41</v>
      </c>
      <c r="T58" s="917" t="s">
        <v>295</v>
      </c>
      <c r="U58" s="582" t="s">
        <v>465</v>
      </c>
      <c r="X58" s="949" t="s">
        <v>496</v>
      </c>
      <c r="Y58" s="949"/>
      <c r="Z58" s="1091">
        <f>(Y50+Y52)/AB52</f>
        <v>-155175.99965879999</v>
      </c>
      <c r="AA58" s="949"/>
      <c r="AB58" s="949"/>
    </row>
    <row r="59" spans="2:28" x14ac:dyDescent="0.25">
      <c r="B59" s="596" t="s">
        <v>271</v>
      </c>
      <c r="C59" s="597"/>
      <c r="D59" s="598">
        <f>SUM(D60:D69)</f>
        <v>55675.9</v>
      </c>
      <c r="E59" s="920">
        <f t="shared" ref="E59:E69" si="2">IF(D$79=0,0,(D59/$D$79)*100)</f>
        <v>14.133881731772732</v>
      </c>
      <c r="F59" s="600">
        <f>IF(OR(C$50=0,C$50="",C$50="-"),0,D59/C$50)</f>
        <v>234.05528113504994</v>
      </c>
      <c r="G59" s="598">
        <f>IF(OR(F$50=0,F$50="",F$50="-"),0,D59/F$50)</f>
        <v>12.758429346047718</v>
      </c>
      <c r="H59" s="599">
        <f t="shared" ref="H59:H69" si="3">IF(D59=0,0,D59/$C$10)</f>
        <v>551.79286422200198</v>
      </c>
      <c r="I59" s="576"/>
      <c r="J59" s="600">
        <f>SUM(J60:J69)</f>
        <v>0</v>
      </c>
      <c r="K59" s="598">
        <f>IF(J59=0,0,J59/M$26)</f>
        <v>0</v>
      </c>
      <c r="L59" s="598">
        <f>IF($J59=0,0,$J59/N$26)</f>
        <v>0</v>
      </c>
      <c r="M59" s="598">
        <f>SUM(M60:M69)</f>
        <v>0</v>
      </c>
      <c r="N59" s="598">
        <f>IF(M59=0,0,M59/M$27)</f>
        <v>0</v>
      </c>
      <c r="O59" s="598">
        <f>IF(M59=0,0,N59/N$27)</f>
        <v>0</v>
      </c>
      <c r="P59" s="598">
        <f>SUM(P60:P69)</f>
        <v>0</v>
      </c>
      <c r="Q59" s="598">
        <f>IF($P59=0,0,$P59/M$28)</f>
        <v>0</v>
      </c>
      <c r="R59" s="598">
        <f>IF($P59=0,0,$P59/N$28)</f>
        <v>0</v>
      </c>
      <c r="S59" s="598">
        <f>SUM(S60:S69)</f>
        <v>0</v>
      </c>
      <c r="T59" s="920">
        <f>IF($S59=0,0,$S59/M$29)</f>
        <v>0</v>
      </c>
      <c r="U59" s="599">
        <f>IF($S59=0,0,$S59/N$29)</f>
        <v>0</v>
      </c>
    </row>
    <row r="60" spans="2:28" x14ac:dyDescent="0.25">
      <c r="B60" s="601" t="s">
        <v>53</v>
      </c>
      <c r="C60" s="602"/>
      <c r="D60" s="584">
        <f>SUMIFS(SAÍDAS!$R$31:$R$69,SAÍDAS!$C$31:$C$69,'RESULTADOS FINANCEIROS'!B60)</f>
        <v>7314.64</v>
      </c>
      <c r="E60" s="918">
        <f t="shared" si="2"/>
        <v>1.8568942158185879</v>
      </c>
      <c r="F60" s="590">
        <f>IF(OR(C$50=0,C$50="",C$50="-"),0,D60/C$50)</f>
        <v>30.749931686810299</v>
      </c>
      <c r="G60" s="584">
        <f>IF(OR(F$50=0,F$50="",F$50="-"),0,D60/F$50)</f>
        <v>1.676188757285908</v>
      </c>
      <c r="H60" s="585">
        <f t="shared" si="3"/>
        <v>72.493954410307239</v>
      </c>
      <c r="I60" s="576"/>
      <c r="J60" s="590">
        <f>IF(SAÍDAS!$X$29="",0,SUMIFS(SAÍDAS!$V$31:$V$69,SAÍDAS!$C$31:$C$69,'RESULTADOS FINANCEIROS'!B60))</f>
        <v>0</v>
      </c>
      <c r="K60" s="584">
        <f>IF(J60=0,0,J60/M$26)</f>
        <v>0</v>
      </c>
      <c r="L60" s="584">
        <f t="shared" ref="L60:L92" si="4">IF($J60=0,0,$J60/N$26)</f>
        <v>0</v>
      </c>
      <c r="M60" s="584">
        <f>IF(SAÍDAS!$X$29="",0,SUMIFS(SAÍDAS!$X$31:$X$69,SAÍDAS!$C$31:$C$69,'RESULTADOS FINANCEIROS'!B60))</f>
        <v>0</v>
      </c>
      <c r="N60" s="584">
        <f>IF(M60=0,0,M60/M$27)</f>
        <v>0</v>
      </c>
      <c r="O60" s="584">
        <f t="shared" ref="O60:O100" si="5">IF(M60=0,0,N60/N$27)</f>
        <v>0</v>
      </c>
      <c r="P60" s="584">
        <f>IF(SAÍDAS!$X$29="",0,SUMIFS(SAÍDAS!$Z$31:$Z$69,SAÍDAS!$C$31:$C$69,'RESULTADOS FINANCEIROS'!B60))</f>
        <v>0</v>
      </c>
      <c r="Q60" s="584">
        <f t="shared" ref="Q60:Q69" si="6">IF(P60=0,0,P60/$M$28)</f>
        <v>0</v>
      </c>
      <c r="R60" s="584">
        <f t="shared" ref="R60:R100" si="7">IF($P60=0,0,$P60/N$28)</f>
        <v>0</v>
      </c>
      <c r="S60" s="584">
        <f>IF(SAÍDAS!$X$29="",0,SUMIFS(SAÍDAS!$T$31:$T$69,SAÍDAS!$C$31:$C$69,'RESULTADOS FINANCEIROS'!B60))</f>
        <v>0</v>
      </c>
      <c r="T60" s="918">
        <f t="shared" ref="T60:T69" si="8">IF(S60=0,0,S60/$M$29)</f>
        <v>0</v>
      </c>
      <c r="U60" s="585">
        <f t="shared" ref="U60:U100" si="9">IF($S60=0,0,$S60/N$29)</f>
        <v>0</v>
      </c>
    </row>
    <row r="61" spans="2:28" x14ac:dyDescent="0.25">
      <c r="B61" s="601" t="s">
        <v>79</v>
      </c>
      <c r="C61" s="602"/>
      <c r="D61" s="584">
        <f>SUMIFS(SAÍDAS!$R$31:$R$69,SAÍDAS!$C$31:$C$69,'RESULTADOS FINANCEIROS'!B61)</f>
        <v>7459.2599999999993</v>
      </c>
      <c r="E61" s="918">
        <f t="shared" si="2"/>
        <v>1.8936074431943277</v>
      </c>
      <c r="F61" s="590">
        <f t="shared" ref="F61:F69" si="10">IF(OR(C$50=0,C$50="",C$50="-"),0,D61/C$50)</f>
        <v>31.357898055701522</v>
      </c>
      <c r="G61" s="584">
        <f t="shared" ref="G61:G69" si="11">IF(OR(F$50=0,F$50="",F$50="-"),0,D61/F$50)</f>
        <v>1.7093292013923418</v>
      </c>
      <c r="H61" s="585">
        <f t="shared" si="3"/>
        <v>73.927254707631306</v>
      </c>
      <c r="I61" s="576"/>
      <c r="J61" s="590">
        <f>IF(SAÍDAS!$X$29="",0,SUMIFS(SAÍDAS!$V$31:$V$69,SAÍDAS!$C$31:$C$69,'RESULTADOS FINANCEIROS'!B61))</f>
        <v>0</v>
      </c>
      <c r="K61" s="584">
        <f t="shared" ref="K61:K69" si="12">IF(J61=0,0,J61/$M$26)</f>
        <v>0</v>
      </c>
      <c r="L61" s="584">
        <f t="shared" si="4"/>
        <v>0</v>
      </c>
      <c r="M61" s="584">
        <f>IF(SAÍDAS!$X$29="",0,SUMIFS(SAÍDAS!$X$31:$X$69,SAÍDAS!$C$31:$C$69,'RESULTADOS FINANCEIROS'!B61))</f>
        <v>0</v>
      </c>
      <c r="N61" s="584">
        <f t="shared" ref="N61:N69" si="13">IF(M61=0,0,M61/$M$27)</f>
        <v>0</v>
      </c>
      <c r="O61" s="584">
        <f t="shared" si="5"/>
        <v>0</v>
      </c>
      <c r="P61" s="584">
        <f>IF(SAÍDAS!$X$29="",0,SUMIFS(SAÍDAS!$Z$31:$Z$69,SAÍDAS!$C$31:$C$69,'RESULTADOS FINANCEIROS'!B61))</f>
        <v>0</v>
      </c>
      <c r="Q61" s="584">
        <f t="shared" si="6"/>
        <v>0</v>
      </c>
      <c r="R61" s="584">
        <f t="shared" si="7"/>
        <v>0</v>
      </c>
      <c r="S61" s="584">
        <f>IF(SAÍDAS!$X$29="",0,SUMIFS(SAÍDAS!$T$31:$T$69,SAÍDAS!$C$31:$C$69,'RESULTADOS FINANCEIROS'!B61))</f>
        <v>0</v>
      </c>
      <c r="T61" s="918">
        <f t="shared" si="8"/>
        <v>0</v>
      </c>
      <c r="U61" s="585">
        <f t="shared" si="9"/>
        <v>0</v>
      </c>
    </row>
    <row r="62" spans="2:28" x14ac:dyDescent="0.25">
      <c r="B62" s="601" t="s">
        <v>65</v>
      </c>
      <c r="C62" s="602"/>
      <c r="D62" s="584">
        <f>SUMIFS(SAÍDAS!$R$31:$R$69,SAÍDAS!$C$31:$C$69,'RESULTADOS FINANCEIROS'!B62)</f>
        <v>2555.61</v>
      </c>
      <c r="E62" s="918">
        <f t="shared" si="2"/>
        <v>0.6487670516782974</v>
      </c>
      <c r="F62" s="590">
        <f t="shared" si="10"/>
        <v>10.743499737256963</v>
      </c>
      <c r="G62" s="584">
        <f t="shared" si="11"/>
        <v>0.58563165788165095</v>
      </c>
      <c r="H62" s="585">
        <f t="shared" si="3"/>
        <v>25.328146679881069</v>
      </c>
      <c r="I62" s="576"/>
      <c r="J62" s="590">
        <f>IF(SAÍDAS!$X$29="",0,SUMIFS(SAÍDAS!$V$31:$V$69,SAÍDAS!$C$31:$C$69,'RESULTADOS FINANCEIROS'!B62))</f>
        <v>0</v>
      </c>
      <c r="K62" s="584">
        <f t="shared" si="12"/>
        <v>0</v>
      </c>
      <c r="L62" s="584">
        <f t="shared" si="4"/>
        <v>0</v>
      </c>
      <c r="M62" s="584">
        <f>IF(SAÍDAS!$X$29="",0,SUMIFS(SAÍDAS!$X$31:$X$69,SAÍDAS!$C$31:$C$69,'RESULTADOS FINANCEIROS'!B62))</f>
        <v>0</v>
      </c>
      <c r="N62" s="584">
        <f t="shared" si="13"/>
        <v>0</v>
      </c>
      <c r="O62" s="584">
        <f t="shared" si="5"/>
        <v>0</v>
      </c>
      <c r="P62" s="584">
        <f>IF(SAÍDAS!$X$29="",0,SUMIFS(SAÍDAS!$Z$31:$Z$69,SAÍDAS!$C$31:$C$69,'RESULTADOS FINANCEIROS'!B62))</f>
        <v>0</v>
      </c>
      <c r="Q62" s="584">
        <f t="shared" si="6"/>
        <v>0</v>
      </c>
      <c r="R62" s="584">
        <f t="shared" si="7"/>
        <v>0</v>
      </c>
      <c r="S62" s="584">
        <f>IF(SAÍDAS!$X$29="",0,SUMIFS(SAÍDAS!$T$31:$T$69,SAÍDAS!$C$31:$C$69,'RESULTADOS FINANCEIROS'!B62))</f>
        <v>0</v>
      </c>
      <c r="T62" s="918">
        <f t="shared" si="8"/>
        <v>0</v>
      </c>
      <c r="U62" s="585">
        <f t="shared" si="9"/>
        <v>0</v>
      </c>
      <c r="Y62" s="1090"/>
    </row>
    <row r="63" spans="2:28" x14ac:dyDescent="0.25">
      <c r="B63" s="601" t="s">
        <v>77</v>
      </c>
      <c r="C63" s="602"/>
      <c r="D63" s="584">
        <f>SUMIFS(SAÍDAS!$R$31:$R$69,SAÍDAS!$C$31:$C$69,'RESULTADOS FINANCEIROS'!B63)</f>
        <v>7290.94</v>
      </c>
      <c r="E63" s="918">
        <f t="shared" si="2"/>
        <v>1.8508777347730543</v>
      </c>
      <c r="F63" s="590">
        <f t="shared" si="10"/>
        <v>30.650299527062533</v>
      </c>
      <c r="G63" s="584">
        <f t="shared" si="11"/>
        <v>1.6707577759187213</v>
      </c>
      <c r="H63" s="585">
        <f t="shared" si="3"/>
        <v>72.259068384539134</v>
      </c>
      <c r="I63" s="576"/>
      <c r="J63" s="590">
        <f>IF(SAÍDAS!$X$29="",0,SUMIFS(SAÍDAS!$V$31:$V$69,SAÍDAS!$C$31:$C$69,'RESULTADOS FINANCEIROS'!B63))</f>
        <v>0</v>
      </c>
      <c r="K63" s="584">
        <f t="shared" si="12"/>
        <v>0</v>
      </c>
      <c r="L63" s="584">
        <f t="shared" si="4"/>
        <v>0</v>
      </c>
      <c r="M63" s="584">
        <f>IF(SAÍDAS!$X$29="",0,SUMIFS(SAÍDAS!$X$31:$X$69,SAÍDAS!$C$31:$C$69,'RESULTADOS FINANCEIROS'!B63))</f>
        <v>0</v>
      </c>
      <c r="N63" s="584">
        <f t="shared" si="13"/>
        <v>0</v>
      </c>
      <c r="O63" s="584">
        <f t="shared" si="5"/>
        <v>0</v>
      </c>
      <c r="P63" s="584">
        <f>IF(SAÍDAS!$X$29="",0,SUMIFS(SAÍDAS!$Z$31:$Z$69,SAÍDAS!$C$31:$C$69,'RESULTADOS FINANCEIROS'!B63))</f>
        <v>0</v>
      </c>
      <c r="Q63" s="584">
        <f t="shared" si="6"/>
        <v>0</v>
      </c>
      <c r="R63" s="584">
        <f t="shared" si="7"/>
        <v>0</v>
      </c>
      <c r="S63" s="584">
        <f>IF(SAÍDAS!$X$29="",0,SUMIFS(SAÍDAS!$T$31:$T$69,SAÍDAS!$C$31:$C$69,'RESULTADOS FINANCEIROS'!B63))</f>
        <v>0</v>
      </c>
      <c r="T63" s="918">
        <f t="shared" si="8"/>
        <v>0</v>
      </c>
      <c r="U63" s="585">
        <f t="shared" si="9"/>
        <v>0</v>
      </c>
      <c r="Y63" s="576"/>
    </row>
    <row r="64" spans="2:28" x14ac:dyDescent="0.25">
      <c r="B64" s="601" t="s">
        <v>46</v>
      </c>
      <c r="C64" s="602"/>
      <c r="D64" s="584">
        <f>SUMIFS(SAÍDAS!$R$31:$R$69,SAÍDAS!$C$31:$C$69,'RESULTADOS FINANCEIROS'!B64)</f>
        <v>22405</v>
      </c>
      <c r="E64" s="918">
        <f t="shared" si="2"/>
        <v>5.6877323976867569</v>
      </c>
      <c r="F64" s="590">
        <f t="shared" si="10"/>
        <v>94.188124014713608</v>
      </c>
      <c r="G64" s="584">
        <f t="shared" si="11"/>
        <v>5.1342252123126721</v>
      </c>
      <c r="H64" s="585">
        <f t="shared" si="3"/>
        <v>222.05153617443011</v>
      </c>
      <c r="I64" s="576"/>
      <c r="J64" s="590">
        <f>IF(SAÍDAS!$X$29="",0,SUMIFS(SAÍDAS!$V$31:$V$69,SAÍDAS!$C$31:$C$69,'RESULTADOS FINANCEIROS'!B64))</f>
        <v>0</v>
      </c>
      <c r="K64" s="584">
        <f t="shared" si="12"/>
        <v>0</v>
      </c>
      <c r="L64" s="584">
        <f t="shared" si="4"/>
        <v>0</v>
      </c>
      <c r="M64" s="584">
        <f>IF(SAÍDAS!$X$29="",0,SUMIFS(SAÍDAS!$X$31:$X$69,SAÍDAS!$C$31:$C$69,'RESULTADOS FINANCEIROS'!B64))</f>
        <v>0</v>
      </c>
      <c r="N64" s="584">
        <f t="shared" si="13"/>
        <v>0</v>
      </c>
      <c r="O64" s="584">
        <f t="shared" si="5"/>
        <v>0</v>
      </c>
      <c r="P64" s="584">
        <f>IF(SAÍDAS!$X$29="",0,SUMIFS(SAÍDAS!$Z$31:$Z$69,SAÍDAS!$C$31:$C$69,'RESULTADOS FINANCEIROS'!B64))</f>
        <v>0</v>
      </c>
      <c r="Q64" s="584">
        <f t="shared" si="6"/>
        <v>0</v>
      </c>
      <c r="R64" s="584">
        <f t="shared" si="7"/>
        <v>0</v>
      </c>
      <c r="S64" s="584">
        <f>IF(SAÍDAS!$X$29="",0,SUMIFS(SAÍDAS!$T$31:$T$69,SAÍDAS!$C$31:$C$69,'RESULTADOS FINANCEIROS'!B64))</f>
        <v>0</v>
      </c>
      <c r="T64" s="918">
        <f t="shared" si="8"/>
        <v>0</v>
      </c>
      <c r="U64" s="585">
        <f t="shared" si="9"/>
        <v>0</v>
      </c>
    </row>
    <row r="65" spans="2:21" x14ac:dyDescent="0.25">
      <c r="B65" s="601" t="s">
        <v>70</v>
      </c>
      <c r="C65" s="602"/>
      <c r="D65" s="584">
        <f>SUMIFS(SAÍDAS!$R$31:$R$69,SAÍDAS!$C$31:$C$69,'RESULTADOS FINANCEIROS'!B65)</f>
        <v>0</v>
      </c>
      <c r="E65" s="918">
        <f t="shared" si="2"/>
        <v>0</v>
      </c>
      <c r="F65" s="590">
        <f t="shared" si="10"/>
        <v>0</v>
      </c>
      <c r="G65" s="584">
        <f t="shared" si="11"/>
        <v>0</v>
      </c>
      <c r="H65" s="585">
        <f t="shared" si="3"/>
        <v>0</v>
      </c>
      <c r="I65" s="576"/>
      <c r="J65" s="590">
        <f>IF(SAÍDAS!$X$29="",0,SUMIFS(SAÍDAS!$V$31:$V$69,SAÍDAS!$C$31:$C$69,'RESULTADOS FINANCEIROS'!B65))</f>
        <v>0</v>
      </c>
      <c r="K65" s="584">
        <f t="shared" si="12"/>
        <v>0</v>
      </c>
      <c r="L65" s="584">
        <f t="shared" si="4"/>
        <v>0</v>
      </c>
      <c r="M65" s="584">
        <f>IF(SAÍDAS!$X$29="",0,SUMIFS(SAÍDAS!$X$31:$X$69,SAÍDAS!$C$31:$C$69,'RESULTADOS FINANCEIROS'!B65))</f>
        <v>0</v>
      </c>
      <c r="N65" s="584">
        <f t="shared" si="13"/>
        <v>0</v>
      </c>
      <c r="O65" s="584">
        <f t="shared" si="5"/>
        <v>0</v>
      </c>
      <c r="P65" s="584">
        <f>IF(SAÍDAS!$X$29="",0,SUMIFS(SAÍDAS!$Z$31:$Z$69,SAÍDAS!$C$31:$C$69,'RESULTADOS FINANCEIROS'!B65))</f>
        <v>0</v>
      </c>
      <c r="Q65" s="584">
        <f t="shared" si="6"/>
        <v>0</v>
      </c>
      <c r="R65" s="584">
        <f t="shared" si="7"/>
        <v>0</v>
      </c>
      <c r="S65" s="584">
        <f>IF(SAÍDAS!$X$29="",0,SUMIFS(SAÍDAS!$T$31:$T$69,SAÍDAS!$C$31:$C$69,'RESULTADOS FINANCEIROS'!B65))</f>
        <v>0</v>
      </c>
      <c r="T65" s="918">
        <f t="shared" si="8"/>
        <v>0</v>
      </c>
      <c r="U65" s="585">
        <f t="shared" si="9"/>
        <v>0</v>
      </c>
    </row>
    <row r="66" spans="2:21" x14ac:dyDescent="0.25">
      <c r="B66" s="601" t="s">
        <v>73</v>
      </c>
      <c r="C66" s="602"/>
      <c r="D66" s="584">
        <f>SUMIFS(SAÍDAS!$R$31:$R$69,SAÍDAS!$C$31:$C$69,'RESULTADOS FINANCEIROS'!B66)</f>
        <v>6099.8</v>
      </c>
      <c r="E66" s="918">
        <f t="shared" si="2"/>
        <v>1.5484949823436589</v>
      </c>
      <c r="F66" s="590">
        <f t="shared" si="10"/>
        <v>25.642879663688912</v>
      </c>
      <c r="G66" s="584">
        <f t="shared" si="11"/>
        <v>1.3978016938212381</v>
      </c>
      <c r="H66" s="585">
        <f t="shared" si="3"/>
        <v>60.45391476709613</v>
      </c>
      <c r="I66" s="576"/>
      <c r="J66" s="590">
        <f>IF(SAÍDAS!$X$29="",0,SUMIFS(SAÍDAS!$V$31:$V$69,SAÍDAS!$C$31:$C$69,'RESULTADOS FINANCEIROS'!B66))</f>
        <v>0</v>
      </c>
      <c r="K66" s="584">
        <f t="shared" si="12"/>
        <v>0</v>
      </c>
      <c r="L66" s="584">
        <f t="shared" si="4"/>
        <v>0</v>
      </c>
      <c r="M66" s="584">
        <f>IF(SAÍDAS!$X$29="",0,SUMIFS(SAÍDAS!$X$31:$X$69,SAÍDAS!$C$31:$C$69,'RESULTADOS FINANCEIROS'!B66))</f>
        <v>0</v>
      </c>
      <c r="N66" s="584">
        <f t="shared" si="13"/>
        <v>0</v>
      </c>
      <c r="O66" s="584">
        <f t="shared" si="5"/>
        <v>0</v>
      </c>
      <c r="P66" s="584">
        <f>IF(SAÍDAS!$X$29="",0,SUMIFS(SAÍDAS!$Z$31:$Z$69,SAÍDAS!$C$31:$C$69,'RESULTADOS FINANCEIROS'!B66))</f>
        <v>0</v>
      </c>
      <c r="Q66" s="584">
        <f t="shared" si="6"/>
        <v>0</v>
      </c>
      <c r="R66" s="584">
        <f t="shared" si="7"/>
        <v>0</v>
      </c>
      <c r="S66" s="584">
        <f>IF(SAÍDAS!$X$29="",0,SUMIFS(SAÍDAS!$T$31:$T$69,SAÍDAS!$C$31:$C$69,'RESULTADOS FINANCEIROS'!B66))</f>
        <v>0</v>
      </c>
      <c r="T66" s="918">
        <f t="shared" si="8"/>
        <v>0</v>
      </c>
      <c r="U66" s="585">
        <f t="shared" si="9"/>
        <v>0</v>
      </c>
    </row>
    <row r="67" spans="2:21" x14ac:dyDescent="0.25">
      <c r="B67" s="601" t="s">
        <v>51</v>
      </c>
      <c r="C67" s="602"/>
      <c r="D67" s="584">
        <f>SUMIFS(SAÍDAS!$R$31:$R$69,SAÍDAS!$C$31:$C$69,'RESULTADOS FINANCEIROS'!B67)</f>
        <v>2330</v>
      </c>
      <c r="E67" s="918">
        <f t="shared" si="2"/>
        <v>0.59149370616425545</v>
      </c>
      <c r="F67" s="590">
        <f t="shared" si="10"/>
        <v>9.795060430898582</v>
      </c>
      <c r="G67" s="584">
        <f t="shared" si="11"/>
        <v>0.53393192344068408</v>
      </c>
      <c r="H67" s="585">
        <f t="shared" si="3"/>
        <v>23.09217046580773</v>
      </c>
      <c r="I67" s="576"/>
      <c r="J67" s="590">
        <f>IF(SAÍDAS!$X$29="",0,SUMIFS(SAÍDAS!$V$31:$V$69,SAÍDAS!$C$31:$C$69,'RESULTADOS FINANCEIROS'!B67))</f>
        <v>0</v>
      </c>
      <c r="K67" s="584">
        <f t="shared" si="12"/>
        <v>0</v>
      </c>
      <c r="L67" s="584">
        <f t="shared" si="4"/>
        <v>0</v>
      </c>
      <c r="M67" s="584">
        <f>IF(SAÍDAS!$X$29="",0,SUMIFS(SAÍDAS!$X$31:$X$69,SAÍDAS!$C$31:$C$69,'RESULTADOS FINANCEIROS'!B67))</f>
        <v>0</v>
      </c>
      <c r="N67" s="584">
        <f t="shared" si="13"/>
        <v>0</v>
      </c>
      <c r="O67" s="584">
        <f t="shared" si="5"/>
        <v>0</v>
      </c>
      <c r="P67" s="584">
        <f>IF(SAÍDAS!$X$29="",0,SUMIFS(SAÍDAS!$Z$31:$Z$69,SAÍDAS!$C$31:$C$69,'RESULTADOS FINANCEIROS'!B67))</f>
        <v>0</v>
      </c>
      <c r="Q67" s="584">
        <f t="shared" si="6"/>
        <v>0</v>
      </c>
      <c r="R67" s="584">
        <f t="shared" si="7"/>
        <v>0</v>
      </c>
      <c r="S67" s="584">
        <f>IF(SAÍDAS!$X$29="",0,SUMIFS(SAÍDAS!$T$31:$T$69,SAÍDAS!$C$31:$C$69,'RESULTADOS FINANCEIROS'!B67))</f>
        <v>0</v>
      </c>
      <c r="T67" s="918">
        <f t="shared" si="8"/>
        <v>0</v>
      </c>
      <c r="U67" s="585">
        <f t="shared" si="9"/>
        <v>0</v>
      </c>
    </row>
    <row r="68" spans="2:21" x14ac:dyDescent="0.25">
      <c r="B68" s="601" t="s">
        <v>85</v>
      </c>
      <c r="C68" s="602"/>
      <c r="D68" s="584">
        <f>SUMIFS(SAÍDAS!$R$31:$R$69,SAÍDAS!$C$31:$C$69,'RESULTADOS FINANCEIROS'!B68)</f>
        <v>70.650000000000006</v>
      </c>
      <c r="E68" s="918">
        <f t="shared" si="2"/>
        <v>1.7935206154723025E-2</v>
      </c>
      <c r="F68" s="590">
        <f t="shared" si="10"/>
        <v>0.29700472937467159</v>
      </c>
      <c r="G68" s="584">
        <f t="shared" si="11"/>
        <v>1.6189824202182117E-2</v>
      </c>
      <c r="H68" s="585">
        <f t="shared" si="3"/>
        <v>0.70019821605550048</v>
      </c>
      <c r="I68" s="576"/>
      <c r="J68" s="590">
        <f>IF(SAÍDAS!$X$29="",0,SUMIFS(SAÍDAS!$V$31:$V$69,SAÍDAS!$C$31:$C$69,'RESULTADOS FINANCEIROS'!B68))</f>
        <v>0</v>
      </c>
      <c r="K68" s="584">
        <f t="shared" si="12"/>
        <v>0</v>
      </c>
      <c r="L68" s="584">
        <f t="shared" si="4"/>
        <v>0</v>
      </c>
      <c r="M68" s="584">
        <f>IF(SAÍDAS!$X$29="",0,SUMIFS(SAÍDAS!$X$31:$X$69,SAÍDAS!$C$31:$C$69,'RESULTADOS FINANCEIROS'!B68))</f>
        <v>0</v>
      </c>
      <c r="N68" s="584">
        <f t="shared" si="13"/>
        <v>0</v>
      </c>
      <c r="O68" s="584">
        <f t="shared" si="5"/>
        <v>0</v>
      </c>
      <c r="P68" s="584">
        <f>IF(SAÍDAS!$X$29="",0,SUMIFS(SAÍDAS!$Z$31:$Z$69,SAÍDAS!$C$31:$C$69,'RESULTADOS FINANCEIROS'!B68))</f>
        <v>0</v>
      </c>
      <c r="Q68" s="584">
        <f t="shared" si="6"/>
        <v>0</v>
      </c>
      <c r="R68" s="584">
        <f t="shared" si="7"/>
        <v>0</v>
      </c>
      <c r="S68" s="584">
        <f>IF(SAÍDAS!$X$29="",0,SUMIFS(SAÍDAS!$T$31:$T$69,SAÍDAS!$C$31:$C$69,'RESULTADOS FINANCEIROS'!B68))</f>
        <v>0</v>
      </c>
      <c r="T68" s="918">
        <f t="shared" si="8"/>
        <v>0</v>
      </c>
      <c r="U68" s="585">
        <f t="shared" si="9"/>
        <v>0</v>
      </c>
    </row>
    <row r="69" spans="2:21" x14ac:dyDescent="0.25">
      <c r="B69" s="601" t="s">
        <v>88</v>
      </c>
      <c r="C69" s="602"/>
      <c r="D69" s="584">
        <f>SUMIFS(SAÍDAS!$R$31:$R$69,SAÍDAS!$C$31:$C$69,'RESULTADOS FINANCEIROS'!B69)</f>
        <v>150</v>
      </c>
      <c r="E69" s="918">
        <f t="shared" si="2"/>
        <v>3.8078993959072237E-2</v>
      </c>
      <c r="F69" s="590">
        <f t="shared" si="10"/>
        <v>0.63058328954282716</v>
      </c>
      <c r="G69" s="584">
        <f t="shared" si="11"/>
        <v>3.4373299792318714E-2</v>
      </c>
      <c r="H69" s="585">
        <f t="shared" si="3"/>
        <v>1.4866204162537164</v>
      </c>
      <c r="I69" s="576"/>
      <c r="J69" s="590">
        <f>IF(SAÍDAS!$X$29="",0,SUMIFS(SAÍDAS!$V$31:$V$69,SAÍDAS!$C$31:$C$69,'RESULTADOS FINANCEIROS'!B69))</f>
        <v>0</v>
      </c>
      <c r="K69" s="584">
        <f t="shared" si="12"/>
        <v>0</v>
      </c>
      <c r="L69" s="584">
        <f t="shared" si="4"/>
        <v>0</v>
      </c>
      <c r="M69" s="584">
        <f>IF(SAÍDAS!$X$29="",0,SUMIFS(SAÍDAS!$X$31:$X$69,SAÍDAS!$C$31:$C$69,'RESULTADOS FINANCEIROS'!B69))</f>
        <v>0</v>
      </c>
      <c r="N69" s="584">
        <f t="shared" si="13"/>
        <v>0</v>
      </c>
      <c r="O69" s="584">
        <f t="shared" si="5"/>
        <v>0</v>
      </c>
      <c r="P69" s="584">
        <f>IF(SAÍDAS!$X$29="",0,SUMIFS(SAÍDAS!$Z$31:$Z$69,SAÍDAS!$C$31:$C$69,'RESULTADOS FINANCEIROS'!B69))</f>
        <v>0</v>
      </c>
      <c r="Q69" s="584">
        <f t="shared" si="6"/>
        <v>0</v>
      </c>
      <c r="R69" s="584">
        <f t="shared" si="7"/>
        <v>0</v>
      </c>
      <c r="S69" s="584">
        <f>IF(SAÍDAS!$X$29="",0,SUMIFS(SAÍDAS!$T$31:$T$69,SAÍDAS!$C$31:$C$69,'RESULTADOS FINANCEIROS'!B69))</f>
        <v>0</v>
      </c>
      <c r="T69" s="918">
        <f t="shared" si="8"/>
        <v>0</v>
      </c>
      <c r="U69" s="585">
        <f t="shared" si="9"/>
        <v>0</v>
      </c>
    </row>
    <row r="70" spans="2:21" x14ac:dyDescent="0.25">
      <c r="B70" s="603"/>
      <c r="C70" s="576"/>
      <c r="D70" s="589"/>
      <c r="E70" s="589"/>
      <c r="F70" s="589"/>
      <c r="G70" s="606"/>
      <c r="H70" s="604"/>
      <c r="I70" s="576"/>
      <c r="J70" s="605"/>
      <c r="K70" s="606"/>
      <c r="L70" s="606">
        <f t="shared" si="4"/>
        <v>0</v>
      </c>
      <c r="M70" s="606"/>
      <c r="N70" s="606"/>
      <c r="O70" s="606"/>
      <c r="P70" s="606"/>
      <c r="Q70" s="606"/>
      <c r="R70" s="606">
        <f t="shared" si="7"/>
        <v>0</v>
      </c>
      <c r="S70" s="606"/>
      <c r="T70" s="606"/>
      <c r="U70" s="607"/>
    </row>
    <row r="71" spans="2:21" x14ac:dyDescent="0.25">
      <c r="B71" s="596" t="s">
        <v>272</v>
      </c>
      <c r="C71" s="597"/>
      <c r="D71" s="598">
        <f>SUM(D72:D75)</f>
        <v>3607.0699999999997</v>
      </c>
      <c r="E71" s="920">
        <f>IF(D$79=0,0,(D71/$D$79)*100)</f>
        <v>0.91569064493300445</v>
      </c>
      <c r="F71" s="600">
        <f>IF(OR(C$50=0,C$50="",C$50="-"),0,D71/C$50)</f>
        <v>15.163720441408302</v>
      </c>
      <c r="G71" s="598">
        <f>IF(OR(F$50=0,F$50="",F$50="-"),0,D71/F$50)</f>
        <v>0.82657932321252703</v>
      </c>
      <c r="H71" s="599">
        <f>IF(D71=0,0,D71/$C$10)</f>
        <v>35.748959365708615</v>
      </c>
      <c r="I71" s="576"/>
      <c r="J71" s="600">
        <f>SUM(J72:J75)</f>
        <v>0</v>
      </c>
      <c r="K71" s="598">
        <f>IF(J71=0,0,J71/M$26)</f>
        <v>0</v>
      </c>
      <c r="L71" s="598">
        <f t="shared" si="4"/>
        <v>0</v>
      </c>
      <c r="M71" s="598">
        <f>SUM(M72:M75)</f>
        <v>0</v>
      </c>
      <c r="N71" s="598">
        <f>IF(M71=0,0,M71/M$27)</f>
        <v>0</v>
      </c>
      <c r="O71" s="598">
        <f t="shared" si="5"/>
        <v>0</v>
      </c>
      <c r="P71" s="598">
        <f>SUM(P72:P75)</f>
        <v>0</v>
      </c>
      <c r="Q71" s="598">
        <f>IF(P71=0,0,P71/$M$28)</f>
        <v>0</v>
      </c>
      <c r="R71" s="598">
        <f t="shared" si="7"/>
        <v>0</v>
      </c>
      <c r="S71" s="598">
        <f>SUM(S72:S75)</f>
        <v>0</v>
      </c>
      <c r="T71" s="920">
        <f>IF(S71=0,0,S71/$M$29)</f>
        <v>0</v>
      </c>
      <c r="U71" s="599">
        <f t="shared" si="9"/>
        <v>0</v>
      </c>
    </row>
    <row r="72" spans="2:21" x14ac:dyDescent="0.25">
      <c r="B72" s="601" t="s">
        <v>85</v>
      </c>
      <c r="C72" s="602"/>
      <c r="D72" s="584">
        <f>SUMIFS(SAÍDAS!$R$73:$R$90,SAÍDAS!$C$73:$C$90,'RESULTADOS FINANCEIROS'!B72)</f>
        <v>446.56</v>
      </c>
      <c r="E72" s="918">
        <f>IF(D$79=0,0,(D72/$D$79)*100)</f>
        <v>0.11336370361575532</v>
      </c>
      <c r="F72" s="590">
        <f>IF(OR(C$50=0,C$50="",C$50="-"),0,D72/C$50)</f>
        <v>1.8772884918549659</v>
      </c>
      <c r="G72" s="584">
        <f>IF(OR(F$50=0,F$50="",F$50="-"),0,D72/F$50)</f>
        <v>0.1023316050350523</v>
      </c>
      <c r="H72" s="585">
        <f>IF(D72=0,0,D72/$C$10)</f>
        <v>4.4257680872150642</v>
      </c>
      <c r="I72" s="576"/>
      <c r="J72" s="590">
        <f>IF(SAÍDAS!$X$29="",0,SUMIFS(SAÍDAS!$V$73:$V$90,SAÍDAS!$C$73:$C$90,'RESULTADOS FINANCEIROS'!B72))</f>
        <v>0</v>
      </c>
      <c r="K72" s="584">
        <f>IF(J72=0,0,J72/M$26)</f>
        <v>0</v>
      </c>
      <c r="L72" s="584">
        <f t="shared" si="4"/>
        <v>0</v>
      </c>
      <c r="M72" s="584">
        <f>IF(SAÍDAS!$X$29="",0,SUMIFS(SAÍDAS!$X$73:$X$90,SAÍDAS!$C$73:$C$90,'RESULTADOS FINANCEIROS'!B72))</f>
        <v>0</v>
      </c>
      <c r="N72" s="584">
        <f>IF(M72=0,0,M72/M$27)</f>
        <v>0</v>
      </c>
      <c r="O72" s="584">
        <f t="shared" si="5"/>
        <v>0</v>
      </c>
      <c r="P72" s="584">
        <f>IF(SAÍDAS!$X$29="",0,SUMIFS(SAÍDAS!$Z$73:$Z$90,SAÍDAS!$C$73:$C$90,'RESULTADOS FINANCEIROS'!B72))</f>
        <v>0</v>
      </c>
      <c r="Q72" s="584">
        <f>IF(P72=0,0,P72/$M$28)</f>
        <v>0</v>
      </c>
      <c r="R72" s="584">
        <f t="shared" si="7"/>
        <v>0</v>
      </c>
      <c r="S72" s="584">
        <f>IF(SAÍDAS!$X$29="",0,SUMIFS(SAÍDAS!$T$73:$T$90,SAÍDAS!$C$73:$C$90,'RESULTADOS FINANCEIROS'!B72))</f>
        <v>0</v>
      </c>
      <c r="T72" s="918">
        <f>IF(S72=0,0,S72/$M$29)</f>
        <v>0</v>
      </c>
      <c r="U72" s="585">
        <f t="shared" si="9"/>
        <v>0</v>
      </c>
    </row>
    <row r="73" spans="2:21" x14ac:dyDescent="0.25">
      <c r="B73" s="601" t="s">
        <v>96</v>
      </c>
      <c r="C73" s="602"/>
      <c r="D73" s="584">
        <f>SUMIFS(SAÍDAS!$R$73:$R$90,SAÍDAS!$C$73:$C$90,'RESULTADOS FINANCEIROS'!B73)</f>
        <v>0</v>
      </c>
      <c r="E73" s="918">
        <f>IF(D$79=0,0,(D73/$D$79)*100)</f>
        <v>0</v>
      </c>
      <c r="F73" s="590">
        <f t="shared" ref="F73:F75" si="14">IF(OR(C$50=0,C$50="",C$50="-"),0,D73/C$50)</f>
        <v>0</v>
      </c>
      <c r="G73" s="584">
        <f t="shared" ref="G73:G74" si="15">IF(OR(F$50=0,F$50="",F$50="-"),0,D73/F$50)</f>
        <v>0</v>
      </c>
      <c r="H73" s="585">
        <f>IF(D73=0,0,D73/$C$10)</f>
        <v>0</v>
      </c>
      <c r="I73" s="576"/>
      <c r="J73" s="590">
        <f>IF(SAÍDAS!$X$29="",0,SUMIFS(SAÍDAS!$V$73:$V$90,SAÍDAS!$C$73:$C$90,'RESULTADOS FINANCEIROS'!B73))</f>
        <v>0</v>
      </c>
      <c r="K73" s="584">
        <f>IF(J73=0,0,J73/$M$26)</f>
        <v>0</v>
      </c>
      <c r="L73" s="584">
        <f t="shared" si="4"/>
        <v>0</v>
      </c>
      <c r="M73" s="584">
        <f>IF(SAÍDAS!$X$29="",0,SUMIFS(SAÍDAS!$X$73:$X$90,SAÍDAS!$C$73:$C$90,'RESULTADOS FINANCEIROS'!B73))</f>
        <v>0</v>
      </c>
      <c r="N73" s="584">
        <f>IF(M73=0,0,M73/$M$27)</f>
        <v>0</v>
      </c>
      <c r="O73" s="584">
        <f t="shared" si="5"/>
        <v>0</v>
      </c>
      <c r="P73" s="584">
        <f>IF(SAÍDAS!$X$29="",0,SUMIFS(SAÍDAS!$Z$73:$Z$90,SAÍDAS!$C$73:$C$90,'RESULTADOS FINANCEIROS'!B73))</f>
        <v>0</v>
      </c>
      <c r="Q73" s="584">
        <f>IF(P73=0,0,P73/$M$28)</f>
        <v>0</v>
      </c>
      <c r="R73" s="584">
        <f t="shared" si="7"/>
        <v>0</v>
      </c>
      <c r="S73" s="584">
        <f>IF(SAÍDAS!$X$29="",0,SUMIFS(SAÍDAS!$T$73:$T$90,SAÍDAS!$C$73:$C$90,'RESULTADOS FINANCEIROS'!B73))</f>
        <v>0</v>
      </c>
      <c r="T73" s="918">
        <f>IF(S73=0,0,S73/$M$29)</f>
        <v>0</v>
      </c>
      <c r="U73" s="585">
        <f t="shared" si="9"/>
        <v>0</v>
      </c>
    </row>
    <row r="74" spans="2:21" x14ac:dyDescent="0.25">
      <c r="B74" s="601" t="s">
        <v>46</v>
      </c>
      <c r="C74" s="602"/>
      <c r="D74" s="584">
        <f>SUMIFS(SAÍDAS!$R$73:$R$90,SAÍDAS!$C$73:$C$90,'RESULTADOS FINANCEIROS'!B74)</f>
        <v>1600</v>
      </c>
      <c r="E74" s="918">
        <f>IF(D$79=0,0,(D74/$D$79)*100)</f>
        <v>0.40617593556343717</v>
      </c>
      <c r="F74" s="590">
        <f t="shared" si="14"/>
        <v>6.7262217551234889</v>
      </c>
      <c r="G74" s="584">
        <f t="shared" si="15"/>
        <v>0.36664853111806628</v>
      </c>
      <c r="H74" s="585">
        <f>IF(D74=0,0,D74/$C$10)</f>
        <v>15.857284440039642</v>
      </c>
      <c r="I74" s="576"/>
      <c r="J74" s="590">
        <f>IF(SAÍDAS!$X$29="",0,SUMIFS(SAÍDAS!$V$73:$V$90,SAÍDAS!$C$73:$C$90,'RESULTADOS FINANCEIROS'!B74))</f>
        <v>0</v>
      </c>
      <c r="K74" s="584">
        <f>IF(J74=0,0,J74/$M$26)</f>
        <v>0</v>
      </c>
      <c r="L74" s="584">
        <f t="shared" si="4"/>
        <v>0</v>
      </c>
      <c r="M74" s="584">
        <f>IF(SAÍDAS!$X$29="",0,SUMIFS(SAÍDAS!$X$73:$X$90,SAÍDAS!$C$73:$C$90,'RESULTADOS FINANCEIROS'!B74))</f>
        <v>0</v>
      </c>
      <c r="N74" s="584">
        <f>IF(M74=0,0,M74/$M$27)</f>
        <v>0</v>
      </c>
      <c r="O74" s="584">
        <f t="shared" si="5"/>
        <v>0</v>
      </c>
      <c r="P74" s="584">
        <f>IF(SAÍDAS!$X$29="",0,SUMIFS(SAÍDAS!$Z$73:$Z$90,SAÍDAS!$C$73:$C$90,'RESULTADOS FINANCEIROS'!B74))</f>
        <v>0</v>
      </c>
      <c r="Q74" s="584">
        <f>IF(P74=0,0,P74/$M$28)</f>
        <v>0</v>
      </c>
      <c r="R74" s="584">
        <f t="shared" si="7"/>
        <v>0</v>
      </c>
      <c r="S74" s="584">
        <f>IF(SAÍDAS!$X$29="",0,SUMIFS(SAÍDAS!$T$73:$T$90,SAÍDAS!$C$73:$C$90,'RESULTADOS FINANCEIROS'!B74))</f>
        <v>0</v>
      </c>
      <c r="T74" s="918">
        <f>IF(S74=0,0,S74/$M$29)</f>
        <v>0</v>
      </c>
      <c r="U74" s="585">
        <f t="shared" si="9"/>
        <v>0</v>
      </c>
    </row>
    <row r="75" spans="2:21" x14ac:dyDescent="0.25">
      <c r="B75" s="601" t="s">
        <v>88</v>
      </c>
      <c r="C75" s="602"/>
      <c r="D75" s="584">
        <f>SUMIFS(SAÍDAS!$R$73:$R$90,SAÍDAS!$C$73:$C$90,'RESULTADOS FINANCEIROS'!B75)</f>
        <v>1560.51</v>
      </c>
      <c r="E75" s="918">
        <f>IF(D$79=0,0,(D75/$D$79)*100)</f>
        <v>0.39615100575381212</v>
      </c>
      <c r="F75" s="590">
        <f t="shared" si="14"/>
        <v>6.5602101944298479</v>
      </c>
      <c r="G75" s="584">
        <f>IF(OR(F$50=0,F$50="",F$50="-"),0,D75/F$50)</f>
        <v>0.35759918705940852</v>
      </c>
      <c r="H75" s="585">
        <f>IF(D75=0,0,D75/$C$10)</f>
        <v>15.465906838453915</v>
      </c>
      <c r="I75" s="576"/>
      <c r="J75" s="590">
        <f>IF(SAÍDAS!$X$29="",0,SUMIFS(SAÍDAS!$V$73:$V$90,SAÍDAS!$C$73:$C$90,'RESULTADOS FINANCEIROS'!B75))</f>
        <v>0</v>
      </c>
      <c r="K75" s="584">
        <f>IF(J75=0,0,J75/$M$26)</f>
        <v>0</v>
      </c>
      <c r="L75" s="584">
        <f t="shared" si="4"/>
        <v>0</v>
      </c>
      <c r="M75" s="584">
        <f>IF(SAÍDAS!$X$29="",0,SUMIFS(SAÍDAS!$X$73:$X$90,SAÍDAS!$C$73:$C$90,'RESULTADOS FINANCEIROS'!B75))</f>
        <v>0</v>
      </c>
      <c r="N75" s="584">
        <f>IF(M75=0,0,M75/$M$27)</f>
        <v>0</v>
      </c>
      <c r="O75" s="584">
        <f t="shared" si="5"/>
        <v>0</v>
      </c>
      <c r="P75" s="584">
        <f>IF(SAÍDAS!$X$29="",0,SUMIFS(SAÍDAS!$Z$73:$Z$90,SAÍDAS!$C$73:$C$90,'RESULTADOS FINANCEIROS'!B75))</f>
        <v>0</v>
      </c>
      <c r="Q75" s="584">
        <f>IF(P75=0,0,P75/$M$28)</f>
        <v>0</v>
      </c>
      <c r="R75" s="584">
        <f t="shared" si="7"/>
        <v>0</v>
      </c>
      <c r="S75" s="584">
        <f>IF(SAÍDAS!$X$29="",0,SUMIFS(SAÍDAS!$T$73:$T$90,SAÍDAS!$C$73:$C$90,'RESULTADOS FINANCEIROS'!B75))</f>
        <v>0</v>
      </c>
      <c r="T75" s="918">
        <f>IF(S75=0,0,S75/$M$29)</f>
        <v>0</v>
      </c>
      <c r="U75" s="585">
        <f t="shared" si="9"/>
        <v>0</v>
      </c>
    </row>
    <row r="76" spans="2:21" x14ac:dyDescent="0.25">
      <c r="B76" s="603"/>
      <c r="C76" s="576"/>
      <c r="D76" s="589"/>
      <c r="E76" s="589"/>
      <c r="F76" s="589"/>
      <c r="G76" s="589"/>
      <c r="H76" s="608"/>
      <c r="I76" s="576"/>
      <c r="J76" s="609"/>
      <c r="K76" s="589"/>
      <c r="L76" s="589">
        <f t="shared" si="4"/>
        <v>0</v>
      </c>
      <c r="M76" s="589"/>
      <c r="N76" s="589"/>
      <c r="O76" s="589"/>
      <c r="P76" s="589"/>
      <c r="Q76" s="589"/>
      <c r="R76" s="589">
        <f t="shared" si="7"/>
        <v>0</v>
      </c>
      <c r="S76" s="589"/>
      <c r="T76" s="589"/>
      <c r="U76" s="608">
        <f t="shared" si="9"/>
        <v>0</v>
      </c>
    </row>
    <row r="77" spans="2:21" x14ac:dyDescent="0.25">
      <c r="B77" s="1243" t="s">
        <v>273</v>
      </c>
      <c r="C77" s="1244"/>
      <c r="D77" s="584">
        <f>SUM(SAÍDAS!E27:P27)-SUM(SAÍDAS!E26:P26)+IF(SAÍDAS!C7=0,SAÍDAS!C9,0)+IF(SAÍDAS!C11=0,SAÍDAS!C13,0)+IF(SAÍDAS!C15=0,SAÍDAS!C17,0)+IF(SAÍDAS!C19=0,SAÍDAS!C21,0)</f>
        <v>334635</v>
      </c>
      <c r="E77" s="918">
        <f>IF(D$79=0,0,(D77/$D$79)*100)</f>
        <v>84.95042762329426</v>
      </c>
      <c r="F77" s="590">
        <f>IF(OR(C$50=0,C$50="",C$50="-"),0,D77/C$50)</f>
        <v>1406.7682606410931</v>
      </c>
      <c r="G77" s="584">
        <f>IF(OR(F$50=0,F$50="",F$50="-"),0,D77/F$50)</f>
        <v>76.683394506683825</v>
      </c>
      <c r="H77" s="585">
        <f>IF(D77=0,0,D77/$C$10)</f>
        <v>3316.501486620416</v>
      </c>
      <c r="I77" s="576"/>
      <c r="J77" s="590">
        <f>IF(SAÍDAS!$X$29="",0,SUM(SAÍDAS!E10:P10))</f>
        <v>0</v>
      </c>
      <c r="K77" s="584">
        <f>IF(J77=0,0,J77/M$26)</f>
        <v>0</v>
      </c>
      <c r="L77" s="584">
        <f t="shared" si="4"/>
        <v>0</v>
      </c>
      <c r="M77" s="584">
        <f>IF(SAÍDAS!$X$29="",0,SUM(SAÍDAS!E14:P14))</f>
        <v>0</v>
      </c>
      <c r="N77" s="584">
        <f>IF(M77=0,0,M77/M$27)</f>
        <v>0</v>
      </c>
      <c r="O77" s="584">
        <f t="shared" si="5"/>
        <v>0</v>
      </c>
      <c r="P77" s="584">
        <f>IF(SAÍDAS!$X$29="",0,SUM(SAÍDAS!E18:P18))</f>
        <v>0</v>
      </c>
      <c r="Q77" s="584">
        <f>IF(P77=0,0,P77/$M$28)</f>
        <v>0</v>
      </c>
      <c r="R77" s="584">
        <f t="shared" si="7"/>
        <v>0</v>
      </c>
      <c r="S77" s="584">
        <f>IF(SAÍDAS!$X$29="",0,SUM(SAÍDAS!E22:P22))</f>
        <v>0</v>
      </c>
      <c r="T77" s="918">
        <f>IF(S77=0,0,S77/$M$29)</f>
        <v>0</v>
      </c>
      <c r="U77" s="585">
        <f t="shared" si="9"/>
        <v>0</v>
      </c>
    </row>
    <row r="78" spans="2:21" x14ac:dyDescent="0.25">
      <c r="B78" s="601" t="s">
        <v>274</v>
      </c>
      <c r="C78" s="602"/>
      <c r="D78" s="584">
        <f>SUM(D59,D77)</f>
        <v>390310.9</v>
      </c>
      <c r="E78" s="918">
        <f>IF(D$79=0,0,(D78/$D$79)*100)</f>
        <v>99.084309355066992</v>
      </c>
      <c r="F78" s="590">
        <f>IF(OR(C$50=0,C$50="",C$50="-"),0,D78/C$50)</f>
        <v>1640.823541776143</v>
      </c>
      <c r="G78" s="584">
        <f>IF(OR(F$50=0,F$50="",F$50="-"),0,D78/F$50)</f>
        <v>89.441823852731545</v>
      </c>
      <c r="H78" s="585">
        <f>IF(D78=0,0,D78/$C$10)</f>
        <v>3868.2943508424182</v>
      </c>
      <c r="I78" s="576"/>
      <c r="J78" s="590">
        <f>SUM(J59,J77)</f>
        <v>0</v>
      </c>
      <c r="K78" s="584">
        <f>IF(J78=0,0,J78/$M$26)</f>
        <v>0</v>
      </c>
      <c r="L78" s="584">
        <f t="shared" si="4"/>
        <v>0</v>
      </c>
      <c r="M78" s="584">
        <f>SUM(M59,M77)</f>
        <v>0</v>
      </c>
      <c r="N78" s="584">
        <f>IF(M78=0,0,M78/$M$27)</f>
        <v>0</v>
      </c>
      <c r="O78" s="584">
        <f t="shared" si="5"/>
        <v>0</v>
      </c>
      <c r="P78" s="584">
        <f>SUM(P59,P77)</f>
        <v>0</v>
      </c>
      <c r="Q78" s="584">
        <f>IF(P78=0,0,P78/$M$28)</f>
        <v>0</v>
      </c>
      <c r="R78" s="584">
        <f t="shared" si="7"/>
        <v>0</v>
      </c>
      <c r="S78" s="584">
        <f>SUM(S59,S77)</f>
        <v>0</v>
      </c>
      <c r="T78" s="918">
        <f>IF(S78=0,0,S78/$M$29)</f>
        <v>0</v>
      </c>
      <c r="U78" s="585">
        <f t="shared" si="9"/>
        <v>0</v>
      </c>
    </row>
    <row r="79" spans="2:21" x14ac:dyDescent="0.25">
      <c r="B79" s="610" t="s">
        <v>275</v>
      </c>
      <c r="C79" s="611"/>
      <c r="D79" s="612">
        <f>SUM(D78,D71)</f>
        <v>393917.97000000003</v>
      </c>
      <c r="E79" s="921" t="s">
        <v>107</v>
      </c>
      <c r="F79" s="615">
        <f>IF(OR(C$50=0,C$50="",C$50="-"),0,D79/C$50)</f>
        <v>1655.9872622175515</v>
      </c>
      <c r="G79" s="598">
        <f>IF(OR(F$50=0,F$50="",F$50="-"),0,D79/F$50)</f>
        <v>90.268403175944073</v>
      </c>
      <c r="H79" s="613">
        <f>IF(D79=0,0,D79/$C$10)</f>
        <v>3904.043310208127</v>
      </c>
      <c r="I79" s="614"/>
      <c r="J79" s="615">
        <f>SUM(J78,J71)</f>
        <v>0</v>
      </c>
      <c r="K79" s="612">
        <f>IF(J79=0,0,J79/M$26)</f>
        <v>0</v>
      </c>
      <c r="L79" s="612">
        <f t="shared" si="4"/>
        <v>0</v>
      </c>
      <c r="M79" s="612">
        <f>SUM(M78,M71)</f>
        <v>0</v>
      </c>
      <c r="N79" s="612">
        <f>IF(M79=0,0,M79/$M$27)</f>
        <v>0</v>
      </c>
      <c r="O79" s="612">
        <f t="shared" si="5"/>
        <v>0</v>
      </c>
      <c r="P79" s="612">
        <f>SUM(P78,P71)</f>
        <v>0</v>
      </c>
      <c r="Q79" s="612">
        <f>IF(P79=0,0,P79/$M$28)</f>
        <v>0</v>
      </c>
      <c r="R79" s="612">
        <f t="shared" si="7"/>
        <v>0</v>
      </c>
      <c r="S79" s="612">
        <f>SUM(S78,S71)</f>
        <v>0</v>
      </c>
      <c r="T79" s="921">
        <f>IF(S79=0,0,S79/$M$29)</f>
        <v>0</v>
      </c>
      <c r="U79" s="613">
        <f t="shared" si="9"/>
        <v>0</v>
      </c>
    </row>
    <row r="80" spans="2:21" x14ac:dyDescent="0.25">
      <c r="B80" s="616"/>
      <c r="C80" s="617"/>
      <c r="D80" s="618"/>
      <c r="E80" s="618"/>
      <c r="F80" s="618"/>
      <c r="G80" s="618"/>
      <c r="H80" s="619"/>
      <c r="I80" s="576"/>
      <c r="J80" s="620"/>
      <c r="K80" s="618"/>
      <c r="L80" s="618"/>
      <c r="M80" s="618"/>
      <c r="N80" s="618"/>
      <c r="O80" s="618"/>
      <c r="P80" s="618"/>
      <c r="Q80" s="618"/>
      <c r="R80" s="618"/>
      <c r="S80" s="618"/>
      <c r="T80" s="618"/>
      <c r="U80" s="619"/>
    </row>
    <row r="81" spans="2:21" x14ac:dyDescent="0.25">
      <c r="B81" s="621" t="s">
        <v>276</v>
      </c>
      <c r="C81" s="622"/>
      <c r="D81" s="623"/>
      <c r="E81" s="623"/>
      <c r="F81" s="623"/>
      <c r="G81" s="623"/>
      <c r="H81" s="604"/>
      <c r="I81" s="576"/>
      <c r="J81" s="624"/>
      <c r="K81" s="623"/>
      <c r="L81" s="623"/>
      <c r="M81" s="623"/>
      <c r="N81" s="623"/>
      <c r="O81" s="623"/>
      <c r="P81" s="623"/>
      <c r="Q81" s="623"/>
      <c r="R81" s="623"/>
      <c r="S81" s="623"/>
      <c r="T81" s="623"/>
      <c r="U81" s="604"/>
    </row>
    <row r="82" spans="2:21" x14ac:dyDescent="0.25">
      <c r="B82" s="601" t="s">
        <v>294</v>
      </c>
      <c r="C82" s="602"/>
      <c r="D82" s="584">
        <f>D79</f>
        <v>393917.97000000003</v>
      </c>
      <c r="E82" s="918">
        <f>IF(D$84=0,0,(D82/$D$84)*100)</f>
        <v>98.029210730205392</v>
      </c>
      <c r="F82" s="590">
        <f>IF(OR(C$50=0,C$50="",C$50="-"),0,D82/C$50)</f>
        <v>1655.9872622175515</v>
      </c>
      <c r="G82" s="584">
        <f>IF(OR(F$50=0,F$50="",F$50="-"),0,D82/F$50)</f>
        <v>90.268403175944073</v>
      </c>
      <c r="H82" s="585">
        <f>IF(D82=0,0,D82/$C$10)</f>
        <v>3904.043310208127</v>
      </c>
      <c r="I82" s="576"/>
      <c r="J82" s="590">
        <f>J79</f>
        <v>0</v>
      </c>
      <c r="K82" s="584">
        <f>IF(J82=0,0,J82/M$26)</f>
        <v>0</v>
      </c>
      <c r="L82" s="584">
        <f t="shared" si="4"/>
        <v>0</v>
      </c>
      <c r="M82" s="584">
        <f>M79</f>
        <v>0</v>
      </c>
      <c r="N82" s="584">
        <f>IF(M82=0,0,M82/$M$27)</f>
        <v>0</v>
      </c>
      <c r="O82" s="584">
        <f t="shared" si="5"/>
        <v>0</v>
      </c>
      <c r="P82" s="584">
        <f>P79</f>
        <v>0</v>
      </c>
      <c r="Q82" s="584">
        <f>IF(P82=0,0,P82/$M$28)</f>
        <v>0</v>
      </c>
      <c r="R82" s="584">
        <f t="shared" si="7"/>
        <v>0</v>
      </c>
      <c r="S82" s="584">
        <f>S79</f>
        <v>0</v>
      </c>
      <c r="T82" s="918">
        <f>IF(S82=0,0,S82/$M$29)</f>
        <v>0</v>
      </c>
      <c r="U82" s="585">
        <f t="shared" si="9"/>
        <v>0</v>
      </c>
    </row>
    <row r="83" spans="2:21" x14ac:dyDescent="0.25">
      <c r="B83" s="601" t="s">
        <v>277</v>
      </c>
      <c r="C83" s="602"/>
      <c r="D83" s="584">
        <f>C149</f>
        <v>7919.3671220293472</v>
      </c>
      <c r="E83" s="918">
        <f>IF(D$84=0,0,(D83/$D$84)*100)</f>
        <v>1.9707892697946099</v>
      </c>
      <c r="F83" s="590">
        <f>IF(OR(C$50=0,C$50="",C$50="-"),0,D83/C$50)</f>
        <v>33.292137139377182</v>
      </c>
      <c r="G83" s="584">
        <f>IF(OR(F$50=0,F$50="",F$50="-"),0,D83/F$50)</f>
        <v>1.8147652016729803</v>
      </c>
      <c r="H83" s="585">
        <f>IF(D83=0,0,D83/$C$10)</f>
        <v>78.487285649448438</v>
      </c>
      <c r="I83" s="576"/>
      <c r="J83" s="590">
        <f>IF(SAÍDAS!$X$29="",0,H149)</f>
        <v>0</v>
      </c>
      <c r="K83" s="584">
        <f>IF(J83=0,0,J83/M$26)</f>
        <v>0</v>
      </c>
      <c r="L83" s="584">
        <f t="shared" si="4"/>
        <v>0</v>
      </c>
      <c r="M83" s="584">
        <f>IF(SAÍDAS!$X$29="",0,J149)</f>
        <v>0</v>
      </c>
      <c r="N83" s="584">
        <f>IF(M83=0,0,M83/$M$27)</f>
        <v>0</v>
      </c>
      <c r="O83" s="584">
        <f t="shared" si="5"/>
        <v>0</v>
      </c>
      <c r="P83" s="584">
        <f>IF(SAÍDAS!$X$29="",0,L149)</f>
        <v>0</v>
      </c>
      <c r="Q83" s="584">
        <f>IF(P83=0,0,P83/$M$28)</f>
        <v>0</v>
      </c>
      <c r="R83" s="584">
        <f t="shared" si="7"/>
        <v>0</v>
      </c>
      <c r="S83" s="584">
        <f>IF(SAÍDAS!$X$29="",0,F149)</f>
        <v>0</v>
      </c>
      <c r="T83" s="918">
        <f>IF(S83=0,0,S83/$M$29)</f>
        <v>0</v>
      </c>
      <c r="U83" s="585">
        <f t="shared" si="9"/>
        <v>0</v>
      </c>
    </row>
    <row r="84" spans="2:21" x14ac:dyDescent="0.25">
      <c r="B84" s="610" t="s">
        <v>278</v>
      </c>
      <c r="C84" s="611"/>
      <c r="D84" s="612">
        <f>SUM(D82:D83)</f>
        <v>401837.33712202939</v>
      </c>
      <c r="E84" s="921" t="s">
        <v>107</v>
      </c>
      <c r="F84" s="615">
        <f>IF(OR(C$50=0,C$50="",C$50="-"),0,D84/C$50)</f>
        <v>1689.2793993569287</v>
      </c>
      <c r="G84" s="598">
        <f>IF(OR(F$50=0,F$50="",F$50="-"),0,D84/F$50)</f>
        <v>92.083168377617056</v>
      </c>
      <c r="H84" s="613">
        <f>IF(D84=0,0,D84/$C$10)</f>
        <v>3982.5305958575755</v>
      </c>
      <c r="I84" s="614"/>
      <c r="J84" s="615">
        <f>SUM(J82:J83)</f>
        <v>0</v>
      </c>
      <c r="K84" s="612">
        <f>IF(J84=0,0,J84/M$26)</f>
        <v>0</v>
      </c>
      <c r="L84" s="612">
        <f t="shared" si="4"/>
        <v>0</v>
      </c>
      <c r="M84" s="612">
        <f>SUM(M82:M83)</f>
        <v>0</v>
      </c>
      <c r="N84" s="612">
        <f>IF(M84=0,0,M84/$M$27)</f>
        <v>0</v>
      </c>
      <c r="O84" s="612">
        <f t="shared" si="5"/>
        <v>0</v>
      </c>
      <c r="P84" s="612">
        <f>SUM(P82:P83)</f>
        <v>0</v>
      </c>
      <c r="Q84" s="612">
        <f>IF(P84=0,0,P84/$M$28)</f>
        <v>0</v>
      </c>
      <c r="R84" s="612">
        <f t="shared" si="7"/>
        <v>0</v>
      </c>
      <c r="S84" s="612">
        <f>SUM(S82:S83)</f>
        <v>0</v>
      </c>
      <c r="T84" s="921">
        <f>IF(S84=0,0,S84/$M$29)</f>
        <v>0</v>
      </c>
      <c r="U84" s="613">
        <f t="shared" si="9"/>
        <v>0</v>
      </c>
    </row>
    <row r="85" spans="2:21" x14ac:dyDescent="0.25">
      <c r="B85" s="616"/>
      <c r="C85" s="617"/>
      <c r="D85" s="618"/>
      <c r="E85" s="618"/>
      <c r="F85" s="618"/>
      <c r="G85" s="618"/>
      <c r="H85" s="619"/>
      <c r="I85" s="576"/>
      <c r="J85" s="620"/>
      <c r="K85" s="618"/>
      <c r="L85" s="618"/>
      <c r="M85" s="618"/>
      <c r="N85" s="618"/>
      <c r="O85" s="618"/>
      <c r="P85" s="618"/>
      <c r="Q85" s="618"/>
      <c r="R85" s="618">
        <f t="shared" si="7"/>
        <v>0</v>
      </c>
      <c r="S85" s="618"/>
      <c r="T85" s="618"/>
      <c r="U85" s="619"/>
    </row>
    <row r="86" spans="2:21" x14ac:dyDescent="0.25">
      <c r="B86" s="621" t="s">
        <v>279</v>
      </c>
      <c r="C86" s="622"/>
      <c r="D86" s="623"/>
      <c r="E86" s="623"/>
      <c r="F86" s="623"/>
      <c r="G86" s="623"/>
      <c r="H86" s="604"/>
      <c r="I86" s="576"/>
      <c r="J86" s="624"/>
      <c r="K86" s="623"/>
      <c r="L86" s="623"/>
      <c r="M86" s="623"/>
      <c r="N86" s="623"/>
      <c r="O86" s="623"/>
      <c r="P86" s="623"/>
      <c r="Q86" s="623"/>
      <c r="R86" s="623">
        <f t="shared" si="7"/>
        <v>0</v>
      </c>
      <c r="S86" s="623"/>
      <c r="T86" s="623"/>
      <c r="U86" s="604"/>
    </row>
    <row r="87" spans="2:21" x14ac:dyDescent="0.25">
      <c r="B87" s="601" t="s">
        <v>280</v>
      </c>
      <c r="C87" s="602"/>
      <c r="D87" s="625">
        <f>D84</f>
        <v>401837.33712202939</v>
      </c>
      <c r="E87" s="918">
        <f>IF(D$92=0,0,(D87/$D$92)*100)</f>
        <v>66.464245613883321</v>
      </c>
      <c r="F87" s="590">
        <f>IF(OR(C$50=0,C$50="",C$50="-"),0,D87/C$50)</f>
        <v>1689.2793993569287</v>
      </c>
      <c r="G87" s="584">
        <f>IF(OR(F$50=0,F$50="",F$50="-"),0,D87/F$50)</f>
        <v>92.083168377617056</v>
      </c>
      <c r="H87" s="585">
        <f t="shared" ref="H87:H92" si="16">IF(D87=0,0,D87/$C$10)</f>
        <v>3982.5305958575755</v>
      </c>
      <c r="I87" s="576"/>
      <c r="J87" s="626">
        <f>J84</f>
        <v>0</v>
      </c>
      <c r="K87" s="584">
        <f>IF(J87=0,0,J87/M$26)</f>
        <v>0</v>
      </c>
      <c r="L87" s="584">
        <f t="shared" si="4"/>
        <v>0</v>
      </c>
      <c r="M87" s="625">
        <f>M84</f>
        <v>0</v>
      </c>
      <c r="N87" s="584">
        <f t="shared" ref="N87:N92" si="17">IF(M87=0,0,M87/$M$27)</f>
        <v>0</v>
      </c>
      <c r="O87" s="584">
        <f t="shared" si="5"/>
        <v>0</v>
      </c>
      <c r="P87" s="625">
        <f>P84</f>
        <v>0</v>
      </c>
      <c r="Q87" s="584">
        <f t="shared" ref="Q87:Q92" si="18">IF(P87=0,0,P87/$M$28)</f>
        <v>0</v>
      </c>
      <c r="R87" s="584">
        <f t="shared" si="7"/>
        <v>0</v>
      </c>
      <c r="S87" s="625">
        <f>S84</f>
        <v>0</v>
      </c>
      <c r="T87" s="918">
        <f t="shared" ref="T87:T92" si="19">IF(S87=0,0,S87/$M$29)</f>
        <v>0</v>
      </c>
      <c r="U87" s="1053">
        <f t="shared" si="9"/>
        <v>0</v>
      </c>
    </row>
    <row r="88" spans="2:21" x14ac:dyDescent="0.25">
      <c r="B88" s="601" t="s">
        <v>455</v>
      </c>
      <c r="C88" s="602"/>
      <c r="D88" s="625">
        <f>IF(OR(C$50=0,C$50="",C$50="-"),0,N16*(C13/100))</f>
        <v>0</v>
      </c>
      <c r="E88" s="918">
        <f>IF(D$92=0,0,(D88/$D$92)*100)</f>
        <v>0</v>
      </c>
      <c r="F88" s="590">
        <f t="shared" ref="F88:F91" si="20">IF(OR(C$50=0,C$50="",C$50="-"),0,D88/C$50)</f>
        <v>0</v>
      </c>
      <c r="G88" s="584">
        <f t="shared" ref="G88:G91" si="21">IF(OR(F$50=0,F$50="",F$50="-"),0,D88/F$50)</f>
        <v>0</v>
      </c>
      <c r="H88" s="585">
        <f t="shared" si="16"/>
        <v>0</v>
      </c>
      <c r="I88" s="576"/>
      <c r="J88" s="626">
        <f>IF(OR(C13="",SAÍDAS!$X$29=""),0,REBANHO!Q42*($C$13/100))</f>
        <v>0</v>
      </c>
      <c r="K88" s="584">
        <f t="shared" ref="K88:K91" si="22">IF(J88=0,0,J88/$M$26)</f>
        <v>0</v>
      </c>
      <c r="L88" s="584">
        <f t="shared" si="4"/>
        <v>0</v>
      </c>
      <c r="M88" s="625">
        <f>IF(OR(C13="",SAÍDAS!$X$29=""),0,REBANHO!Q47*($C$13/100))</f>
        <v>0</v>
      </c>
      <c r="N88" s="584">
        <f t="shared" si="17"/>
        <v>0</v>
      </c>
      <c r="O88" s="584">
        <f t="shared" si="5"/>
        <v>0</v>
      </c>
      <c r="P88" s="625">
        <f>IF(OR(C13="",SAÍDAS!$X$29=""),0,REBANHO!Q52*($C$13/100))</f>
        <v>0</v>
      </c>
      <c r="Q88" s="584">
        <f t="shared" si="18"/>
        <v>0</v>
      </c>
      <c r="R88" s="584">
        <f t="shared" si="7"/>
        <v>0</v>
      </c>
      <c r="S88" s="625">
        <f>IF(OR(C13="",SAÍDAS!$X$29=""),0,REBANHO!Q57*($C$13/100))</f>
        <v>0</v>
      </c>
      <c r="T88" s="918">
        <f t="shared" si="19"/>
        <v>0</v>
      </c>
      <c r="U88" s="1053">
        <f t="shared" si="9"/>
        <v>0</v>
      </c>
    </row>
    <row r="89" spans="2:21" x14ac:dyDescent="0.25">
      <c r="B89" s="601" t="s">
        <v>453</v>
      </c>
      <c r="C89" s="602"/>
      <c r="D89" s="625">
        <f>IF(OR(C$50=0,C$50="",C$50="-"),0,C10*C7*(C13/100))</f>
        <v>181620</v>
      </c>
      <c r="E89" s="918">
        <f>IF(D$92=0,0,(D89/$D$92)*100)</f>
        <v>30.040106215236325</v>
      </c>
      <c r="F89" s="590">
        <f t="shared" si="20"/>
        <v>763.51024697845503</v>
      </c>
      <c r="G89" s="584">
        <f t="shared" si="21"/>
        <v>41.619191388539498</v>
      </c>
      <c r="H89" s="585">
        <f t="shared" si="16"/>
        <v>1800</v>
      </c>
      <c r="I89" s="576"/>
      <c r="J89" s="626">
        <f>IF(SAÍDAS!$X$29="",0,(INVESTIMENTOS!T$12/100)*$D89)</f>
        <v>0</v>
      </c>
      <c r="K89" s="584">
        <f t="shared" si="22"/>
        <v>0</v>
      </c>
      <c r="L89" s="584">
        <f t="shared" si="4"/>
        <v>0</v>
      </c>
      <c r="M89" s="625">
        <f>IF(SAÍDAS!$X$29="",0,(INVESTIMENTOS!T$13/100)*$D89)</f>
        <v>0</v>
      </c>
      <c r="N89" s="584">
        <f t="shared" si="17"/>
        <v>0</v>
      </c>
      <c r="O89" s="584">
        <f t="shared" si="5"/>
        <v>0</v>
      </c>
      <c r="P89" s="625">
        <f>IF(SAÍDAS!$X$29="",0,(INVESTIMENTOS!T$14/100)*$D89)</f>
        <v>0</v>
      </c>
      <c r="Q89" s="584">
        <f>IF(P89=0,0,P89/$M$28)</f>
        <v>0</v>
      </c>
      <c r="R89" s="584">
        <f t="shared" si="7"/>
        <v>0</v>
      </c>
      <c r="S89" s="625">
        <f>IF(SAÍDAS!$X$29="",0,(INVESTIMENTOS!T$15/100)*$D89)</f>
        <v>0</v>
      </c>
      <c r="T89" s="918">
        <f t="shared" si="19"/>
        <v>0</v>
      </c>
      <c r="U89" s="1053">
        <f t="shared" si="9"/>
        <v>0</v>
      </c>
    </row>
    <row r="90" spans="2:21" x14ac:dyDescent="0.25">
      <c r="B90" s="601" t="s">
        <v>454</v>
      </c>
      <c r="C90" s="602"/>
      <c r="D90" s="625">
        <f>IF(OR(C$50=0,C$50="",C$50="-"),0,SUM(INVESTIMENTOS!H52,INVESTIMENTOS!F83,INVESTIMENTOS!F112,INVESTIMENTOS!F141,INVESTIMENTOS!F169)*($C$13/100))</f>
        <v>18134.399999999998</v>
      </c>
      <c r="E90" s="918">
        <f>IF(D$92=0,0,(D90/$D$92)*100)</f>
        <v>2.9994455574803518</v>
      </c>
      <c r="F90" s="590">
        <f t="shared" si="20"/>
        <v>76.234997372569623</v>
      </c>
      <c r="G90" s="584">
        <f t="shared" si="21"/>
        <v>4.1555944516921626</v>
      </c>
      <c r="H90" s="585">
        <f t="shared" si="16"/>
        <v>179.72646184340928</v>
      </c>
      <c r="I90" s="576"/>
      <c r="J90" s="626">
        <f>IF(SAÍDAS!$X$29="",0,(INVESTIMENTOS!T$12/100)*$D90)</f>
        <v>0</v>
      </c>
      <c r="K90" s="584">
        <f t="shared" si="22"/>
        <v>0</v>
      </c>
      <c r="L90" s="584">
        <f t="shared" si="4"/>
        <v>0</v>
      </c>
      <c r="M90" s="625">
        <f>IF(SAÍDAS!$X$29="",0,(INVESTIMENTOS!T$13/100)*$D90)</f>
        <v>0</v>
      </c>
      <c r="N90" s="584">
        <f t="shared" si="17"/>
        <v>0</v>
      </c>
      <c r="O90" s="584">
        <f t="shared" si="5"/>
        <v>0</v>
      </c>
      <c r="P90" s="625">
        <f>IF(SAÍDAS!$X$29="",0,(INVESTIMENTOS!T$14/100)*$D90)</f>
        <v>0</v>
      </c>
      <c r="Q90" s="584">
        <f t="shared" si="18"/>
        <v>0</v>
      </c>
      <c r="R90" s="584">
        <f t="shared" si="7"/>
        <v>0</v>
      </c>
      <c r="S90" s="625">
        <f>IF(SAÍDAS!$X$29="",0,(INVESTIMENTOS!T$15/100)*$D90)</f>
        <v>0</v>
      </c>
      <c r="T90" s="918">
        <f t="shared" si="19"/>
        <v>0</v>
      </c>
      <c r="U90" s="1053">
        <f t="shared" si="9"/>
        <v>0</v>
      </c>
    </row>
    <row r="91" spans="2:21" x14ac:dyDescent="0.25">
      <c r="B91" s="601" t="s">
        <v>281</v>
      </c>
      <c r="C91" s="602"/>
      <c r="D91" s="761">
        <v>3000</v>
      </c>
      <c r="E91" s="918">
        <f>IF(D$92=0,0,(D91/$D$92)*100)</f>
        <v>0.49620261340000527</v>
      </c>
      <c r="F91" s="590">
        <f t="shared" si="20"/>
        <v>12.611665790856541</v>
      </c>
      <c r="G91" s="584">
        <f t="shared" si="21"/>
        <v>0.68746599584637436</v>
      </c>
      <c r="H91" s="585">
        <f t="shared" si="16"/>
        <v>29.732408325074328</v>
      </c>
      <c r="I91" s="576"/>
      <c r="J91" s="626">
        <f>IF(SAÍDAS!$X$29="",0,(INVESTIMENTOS!T$12/100)*$D91)</f>
        <v>0</v>
      </c>
      <c r="K91" s="584">
        <f t="shared" si="22"/>
        <v>0</v>
      </c>
      <c r="L91" s="584">
        <f t="shared" si="4"/>
        <v>0</v>
      </c>
      <c r="M91" s="625">
        <f>IF(SAÍDAS!$X$29="",0,(INVESTIMENTOS!T$13/100)*$D91)</f>
        <v>0</v>
      </c>
      <c r="N91" s="584">
        <f t="shared" si="17"/>
        <v>0</v>
      </c>
      <c r="O91" s="584">
        <f t="shared" si="5"/>
        <v>0</v>
      </c>
      <c r="P91" s="625">
        <f>IF(SAÍDAS!$X$29="",0,(INVESTIMENTOS!T$14/100)*$D91)</f>
        <v>0</v>
      </c>
      <c r="Q91" s="584">
        <f t="shared" si="18"/>
        <v>0</v>
      </c>
      <c r="R91" s="584">
        <f t="shared" si="7"/>
        <v>0</v>
      </c>
      <c r="S91" s="625">
        <f>IF(SAÍDAS!$X$29="",0,(INVESTIMENTOS!T$15/100)*$D91)</f>
        <v>0</v>
      </c>
      <c r="T91" s="918">
        <f t="shared" si="19"/>
        <v>0</v>
      </c>
      <c r="U91" s="1053">
        <f t="shared" si="9"/>
        <v>0</v>
      </c>
    </row>
    <row r="92" spans="2:21" ht="15.75" thickBot="1" x14ac:dyDescent="0.3">
      <c r="B92" s="627" t="s">
        <v>399</v>
      </c>
      <c r="C92" s="628"/>
      <c r="D92" s="629">
        <f>SUM(D87:D91)</f>
        <v>604591.73712202942</v>
      </c>
      <c r="E92" s="922" t="s">
        <v>107</v>
      </c>
      <c r="F92" s="646">
        <f>IF(OR(C$50=0,C$50="",C$50="-"),0,D92/C$50)</f>
        <v>2541.6363094988101</v>
      </c>
      <c r="G92" s="598">
        <f>IF(OR(F$50=0,F$50="",F$50="-"),0,D92/F$50)</f>
        <v>138.54542021369511</v>
      </c>
      <c r="H92" s="630">
        <f t="shared" si="16"/>
        <v>5991.9894660260588</v>
      </c>
      <c r="I92" s="614"/>
      <c r="J92" s="631">
        <f>SUM(J87:J91)</f>
        <v>0</v>
      </c>
      <c r="K92" s="612">
        <f>IF(J92=0,0,J92/M$26)</f>
        <v>0</v>
      </c>
      <c r="L92" s="612">
        <f t="shared" si="4"/>
        <v>0</v>
      </c>
      <c r="M92" s="629">
        <f>SUM(M87:M91)</f>
        <v>0</v>
      </c>
      <c r="N92" s="612">
        <f t="shared" si="17"/>
        <v>0</v>
      </c>
      <c r="O92" s="612">
        <f t="shared" si="5"/>
        <v>0</v>
      </c>
      <c r="P92" s="612">
        <f>SUM(P87:P91)</f>
        <v>0</v>
      </c>
      <c r="Q92" s="612">
        <f t="shared" si="18"/>
        <v>0</v>
      </c>
      <c r="R92" s="612">
        <f t="shared" si="7"/>
        <v>0</v>
      </c>
      <c r="S92" s="632">
        <f>SUM(S87:S91)</f>
        <v>0</v>
      </c>
      <c r="T92" s="925">
        <f t="shared" si="19"/>
        <v>0</v>
      </c>
      <c r="U92" s="630">
        <f t="shared" si="9"/>
        <v>0</v>
      </c>
    </row>
    <row r="93" spans="2:21" ht="16.5" thickTop="1" thickBot="1" x14ac:dyDescent="0.3">
      <c r="B93" s="633"/>
      <c r="C93" s="634"/>
      <c r="D93" s="635"/>
      <c r="E93" s="635"/>
      <c r="F93" s="635"/>
      <c r="G93" s="635"/>
      <c r="H93" s="635"/>
      <c r="I93" s="576"/>
      <c r="J93" s="635"/>
      <c r="K93" s="635"/>
      <c r="L93" s="635"/>
      <c r="M93" s="635"/>
      <c r="N93" s="635"/>
      <c r="O93" s="635"/>
      <c r="P93" s="635"/>
      <c r="Q93" s="635"/>
      <c r="R93" s="635">
        <f t="shared" si="7"/>
        <v>0</v>
      </c>
      <c r="S93" s="636"/>
      <c r="T93" s="589"/>
      <c r="U93" s="1054"/>
    </row>
    <row r="94" spans="2:21" ht="16.5" thickTop="1" thickBot="1" x14ac:dyDescent="0.3">
      <c r="B94" s="459" t="s">
        <v>282</v>
      </c>
      <c r="C94" s="637"/>
      <c r="D94" s="638" t="s">
        <v>41</v>
      </c>
      <c r="E94" s="923" t="s">
        <v>264</v>
      </c>
      <c r="F94" s="640" t="s">
        <v>462</v>
      </c>
      <c r="G94" s="638" t="s">
        <v>463</v>
      </c>
      <c r="H94" s="639" t="s">
        <v>270</v>
      </c>
      <c r="I94" s="576"/>
      <c r="J94" s="640" t="s">
        <v>41</v>
      </c>
      <c r="K94" s="638" t="s">
        <v>295</v>
      </c>
      <c r="L94" s="579" t="s">
        <v>465</v>
      </c>
      <c r="M94" s="638" t="s">
        <v>41</v>
      </c>
      <c r="N94" s="638" t="s">
        <v>295</v>
      </c>
      <c r="O94" s="579" t="s">
        <v>465</v>
      </c>
      <c r="P94" s="638" t="s">
        <v>41</v>
      </c>
      <c r="Q94" s="638" t="s">
        <v>295</v>
      </c>
      <c r="R94" s="579" t="s">
        <v>465</v>
      </c>
      <c r="S94" s="638" t="s">
        <v>41</v>
      </c>
      <c r="T94" s="923" t="s">
        <v>295</v>
      </c>
      <c r="U94" s="1056" t="s">
        <v>465</v>
      </c>
    </row>
    <row r="95" spans="2:21" ht="15.75" thickTop="1" x14ac:dyDescent="0.25">
      <c r="B95" s="641" t="s">
        <v>245</v>
      </c>
      <c r="C95" s="642"/>
      <c r="D95" s="588">
        <f>SUM(SAÍDAS!E26:P26)</f>
        <v>0</v>
      </c>
      <c r="E95" s="924">
        <f>IF(D$100=0,0,(D95/$D$100)*100)</f>
        <v>0</v>
      </c>
      <c r="F95" s="586">
        <f>IF(OR(C$50=0,C$50="",C$50="-"),0,D95/C$50)</f>
        <v>0</v>
      </c>
      <c r="G95" s="588">
        <f>IF(OR(F$50=0,F$50="",F$50="-"),0,D95/F$50)</f>
        <v>0</v>
      </c>
      <c r="H95" s="643">
        <f t="shared" ref="H95:H100" si="23">IF(D95=0,0,D95/$C$10)</f>
        <v>0</v>
      </c>
      <c r="I95" s="576"/>
      <c r="J95" s="644" t="s">
        <v>107</v>
      </c>
      <c r="K95" s="645" t="s">
        <v>107</v>
      </c>
      <c r="L95" s="645" t="s">
        <v>107</v>
      </c>
      <c r="M95" s="645" t="s">
        <v>107</v>
      </c>
      <c r="N95" s="645" t="s">
        <v>107</v>
      </c>
      <c r="O95" s="645" t="s">
        <v>107</v>
      </c>
      <c r="P95" s="645" t="s">
        <v>107</v>
      </c>
      <c r="Q95" s="645" t="s">
        <v>107</v>
      </c>
      <c r="R95" s="645" t="s">
        <v>107</v>
      </c>
      <c r="S95" s="645">
        <f>IF(SAÍDAS!$X$29="",0,D95)</f>
        <v>0</v>
      </c>
      <c r="T95" s="918">
        <f t="shared" ref="T95:T100" si="24">IF(S95=0,0,S95/$M$29)</f>
        <v>0</v>
      </c>
      <c r="U95" s="1055">
        <f t="shared" si="9"/>
        <v>0</v>
      </c>
    </row>
    <row r="96" spans="2:21" x14ac:dyDescent="0.25">
      <c r="B96" s="601" t="s">
        <v>283</v>
      </c>
      <c r="C96" s="602"/>
      <c r="D96" s="584">
        <f>SUMIFS(INVESTIMENTOS!$H$27:$H$51,INVESTIMENTOS!$L$27:$L$51,'RESULTADOS FINANCEIROS'!$C$8)</f>
        <v>0</v>
      </c>
      <c r="E96" s="924">
        <f>IF(D$100=0,0,(D96/$D$100)*100)</f>
        <v>0</v>
      </c>
      <c r="F96" s="586">
        <f t="shared" ref="F96:F99" si="25">IF(OR(C$50=0,C$50="",C$50="-"),0,D96/C$50)</f>
        <v>0</v>
      </c>
      <c r="G96" s="584">
        <f>IF(OR(F$50=0,F$50="",F$50="-"),0,D96/F$50)</f>
        <v>0</v>
      </c>
      <c r="H96" s="585">
        <f t="shared" si="23"/>
        <v>0</v>
      </c>
      <c r="I96" s="576"/>
      <c r="J96" s="590">
        <f>IF(SAÍDAS!$X$29="",0,$D96*(G144/100))</f>
        <v>0</v>
      </c>
      <c r="K96" s="584">
        <f>IF(J96=0,0,J96/M$26)</f>
        <v>0</v>
      </c>
      <c r="L96" s="584">
        <f>IF(J96=0,0,J96/N$26)</f>
        <v>0</v>
      </c>
      <c r="M96" s="584">
        <f>IF(SAÍDAS!$X$29="",0,$D96*(I144/100))</f>
        <v>0</v>
      </c>
      <c r="N96" s="584">
        <f>IF(M96=0,0,M96/$M$27)</f>
        <v>0</v>
      </c>
      <c r="O96" s="584">
        <f t="shared" si="5"/>
        <v>0</v>
      </c>
      <c r="P96" s="584">
        <f>IF(SAÍDAS!$X$29="",0,$D96*(K144/100))</f>
        <v>0</v>
      </c>
      <c r="Q96" s="584">
        <f>IF(P96=0,0,P96/$M$28)</f>
        <v>0</v>
      </c>
      <c r="R96" s="584">
        <f t="shared" si="7"/>
        <v>0</v>
      </c>
      <c r="S96" s="584">
        <f>IF(SAÍDAS!$X$29="",0,$D96*(E144/100))</f>
        <v>0</v>
      </c>
      <c r="T96" s="918">
        <f t="shared" si="24"/>
        <v>0</v>
      </c>
      <c r="U96" s="585">
        <f t="shared" si="9"/>
        <v>0</v>
      </c>
    </row>
    <row r="97" spans="2:21" x14ac:dyDescent="0.25">
      <c r="B97" s="601" t="s">
        <v>284</v>
      </c>
      <c r="C97" s="602"/>
      <c r="D97" s="584">
        <f>SUMIFS(INVESTIMENTOS!$F$56:$F$82,INVESTIMENTOS!$L$56:$L$82,'RESULTADOS FINANCEIROS'!$C$8)</f>
        <v>0</v>
      </c>
      <c r="E97" s="924">
        <f>IF(D$100=0,0,(D97/$D$100)*100)</f>
        <v>0</v>
      </c>
      <c r="F97" s="586">
        <f t="shared" si="25"/>
        <v>0</v>
      </c>
      <c r="G97" s="584">
        <f t="shared" ref="G97:G99" si="26">IF(OR(F$50=0,F$50="",F$50="-"),0,D97/F$50)</f>
        <v>0</v>
      </c>
      <c r="H97" s="585">
        <f t="shared" si="23"/>
        <v>0</v>
      </c>
      <c r="I97" s="576"/>
      <c r="J97" s="590">
        <f>IF(SAÍDAS!$X$29="",0,$D97*(G145/100))</f>
        <v>0</v>
      </c>
      <c r="K97" s="584">
        <f>IF(J97=0,0,J97/$M$26)</f>
        <v>0</v>
      </c>
      <c r="L97" s="584">
        <f t="shared" ref="L97:L100" si="27">IF(J97=0,0,J97/N$26)</f>
        <v>0</v>
      </c>
      <c r="M97" s="584">
        <f>IF(SAÍDAS!$X$29="",0,$D97*(I145/100))</f>
        <v>0</v>
      </c>
      <c r="N97" s="584">
        <f>IF(M97=0,0,M97/$M$27)</f>
        <v>0</v>
      </c>
      <c r="O97" s="584">
        <f t="shared" si="5"/>
        <v>0</v>
      </c>
      <c r="P97" s="584">
        <f>IF(SAÍDAS!$X$29="",0,$D97*(K145/100))</f>
        <v>0</v>
      </c>
      <c r="Q97" s="584">
        <f>IF(P97=0,0,P97/$M$28)</f>
        <v>0</v>
      </c>
      <c r="R97" s="584">
        <f t="shared" si="7"/>
        <v>0</v>
      </c>
      <c r="S97" s="584">
        <f>IF(SAÍDAS!$X$29="",0,$D97*(E145/100))</f>
        <v>0</v>
      </c>
      <c r="T97" s="918">
        <f t="shared" si="24"/>
        <v>0</v>
      </c>
      <c r="U97" s="585">
        <f t="shared" si="9"/>
        <v>0</v>
      </c>
    </row>
    <row r="98" spans="2:21" x14ac:dyDescent="0.25">
      <c r="B98" s="601" t="s">
        <v>291</v>
      </c>
      <c r="C98" s="602"/>
      <c r="D98" s="584">
        <f>SUMIFS(INVESTIMENTOS!$F$87:$F$111,INVESTIMENTOS!$L$87:$L$111,'RESULTADOS FINANCEIROS'!$C$8)+SUMIFS(INVESTIMENTOS!$F$116:$F$140,INVESTIMENTOS!$L$116:$L$140,'RESULTADOS FINANCEIROS'!$C$8)</f>
        <v>2900</v>
      </c>
      <c r="E98" s="924">
        <f>IF(D$100=0,0,(D98/$D$100)*100)</f>
        <v>100</v>
      </c>
      <c r="F98" s="586">
        <f t="shared" si="25"/>
        <v>12.191276931161324</v>
      </c>
      <c r="G98" s="584">
        <f t="shared" si="26"/>
        <v>0.6645504626514952</v>
      </c>
      <c r="H98" s="585">
        <f t="shared" si="23"/>
        <v>28.741328047571852</v>
      </c>
      <c r="I98" s="576"/>
      <c r="J98" s="590">
        <f>IF(SAÍDAS!$X$29="",0,$D98*(G146/100))</f>
        <v>0</v>
      </c>
      <c r="K98" s="584">
        <f>IF(J98=0,0,J98/$M$26)</f>
        <v>0</v>
      </c>
      <c r="L98" s="584">
        <f t="shared" si="27"/>
        <v>0</v>
      </c>
      <c r="M98" s="584">
        <f>IF(SAÍDAS!$X$29="",0,$D98*(I146/100))</f>
        <v>0</v>
      </c>
      <c r="N98" s="584">
        <f>IF(M98=0,0,M98/$M$27)</f>
        <v>0</v>
      </c>
      <c r="O98" s="584">
        <f t="shared" si="5"/>
        <v>0</v>
      </c>
      <c r="P98" s="584">
        <f>IF(SAÍDAS!$X$29="",0,$D98*(K146/100))</f>
        <v>0</v>
      </c>
      <c r="Q98" s="584">
        <f>IF(P98=0,0,P98/$M$28)</f>
        <v>0</v>
      </c>
      <c r="R98" s="584">
        <f t="shared" si="7"/>
        <v>0</v>
      </c>
      <c r="S98" s="584">
        <f>IF(SAÍDAS!$X$29="",0,$D98*(E146/100))</f>
        <v>0</v>
      </c>
      <c r="T98" s="918">
        <f t="shared" si="24"/>
        <v>0</v>
      </c>
      <c r="U98" s="585">
        <f t="shared" si="9"/>
        <v>0</v>
      </c>
    </row>
    <row r="99" spans="2:21" x14ac:dyDescent="0.25">
      <c r="B99" s="601" t="s">
        <v>285</v>
      </c>
      <c r="C99" s="602"/>
      <c r="D99" s="584">
        <f>SUMIFS(INVESTIMENTOS!$F$145:$F$168,INVESTIMENTOS!$L$145:$L$168,'RESULTADOS FINANCEIROS'!$C$8)</f>
        <v>0</v>
      </c>
      <c r="E99" s="924">
        <f>IF(D$100=0,0,(D99/$D$100)*100)</f>
        <v>0</v>
      </c>
      <c r="F99" s="586">
        <f t="shared" si="25"/>
        <v>0</v>
      </c>
      <c r="G99" s="584">
        <f t="shared" si="26"/>
        <v>0</v>
      </c>
      <c r="H99" s="585">
        <f t="shared" si="23"/>
        <v>0</v>
      </c>
      <c r="I99" s="576"/>
      <c r="J99" s="590">
        <f>IF(SAÍDAS!$X$29="",0,$D99*(G147/100))</f>
        <v>0</v>
      </c>
      <c r="K99" s="584">
        <f>IF(J99=0,0,J99/$M$26)</f>
        <v>0</v>
      </c>
      <c r="L99" s="584">
        <f>IF(J99=0,0,J99/N$26)</f>
        <v>0</v>
      </c>
      <c r="M99" s="584">
        <f>IF(SAÍDAS!$X$29="",0,$D99*(I147/100))</f>
        <v>0</v>
      </c>
      <c r="N99" s="584">
        <f>IF(M99=0,0,M99/$M$27)</f>
        <v>0</v>
      </c>
      <c r="O99" s="584">
        <f t="shared" si="5"/>
        <v>0</v>
      </c>
      <c r="P99" s="584">
        <f>IF(SAÍDAS!$X$29="",0,$D99*(K147/100))</f>
        <v>0</v>
      </c>
      <c r="Q99" s="584">
        <f>IF(P99=0,0,P99/$M$28)</f>
        <v>0</v>
      </c>
      <c r="R99" s="584">
        <f t="shared" si="7"/>
        <v>0</v>
      </c>
      <c r="S99" s="584">
        <f>IF(SAÍDAS!$X$29="",0,$D99*(E147/100))</f>
        <v>0</v>
      </c>
      <c r="T99" s="918">
        <f t="shared" si="24"/>
        <v>0</v>
      </c>
      <c r="U99" s="585">
        <f t="shared" si="9"/>
        <v>0</v>
      </c>
    </row>
    <row r="100" spans="2:21" ht="15.75" thickBot="1" x14ac:dyDescent="0.3">
      <c r="B100" s="627" t="s">
        <v>134</v>
      </c>
      <c r="C100" s="628"/>
      <c r="D100" s="632">
        <f>SUM(D95:D99)</f>
        <v>2900</v>
      </c>
      <c r="E100" s="925" t="s">
        <v>107</v>
      </c>
      <c r="F100" s="646">
        <f>IF(OR(C$50=0,C$50="",C$50="-"),0,D100/C$50)</f>
        <v>12.191276931161324</v>
      </c>
      <c r="G100" s="632">
        <f>IF(OR(F$50=0,F$50="",F$50="-"),0,D100/F$50)</f>
        <v>0.6645504626514952</v>
      </c>
      <c r="H100" s="630">
        <f t="shared" si="23"/>
        <v>28.741328047571852</v>
      </c>
      <c r="I100" s="614"/>
      <c r="J100" s="646">
        <f>SUM(J95:J99)</f>
        <v>0</v>
      </c>
      <c r="K100" s="632">
        <f>IF(J100=0,0,J100/M$26)</f>
        <v>0</v>
      </c>
      <c r="L100" s="632">
        <f t="shared" si="27"/>
        <v>0</v>
      </c>
      <c r="M100" s="632">
        <f>SUM(M95:M99)</f>
        <v>0</v>
      </c>
      <c r="N100" s="632">
        <f>IF(M100=0,0,M100/$M$27)</f>
        <v>0</v>
      </c>
      <c r="O100" s="632">
        <f t="shared" si="5"/>
        <v>0</v>
      </c>
      <c r="P100" s="632">
        <f>SUM(P95:P99)</f>
        <v>0</v>
      </c>
      <c r="Q100" s="632">
        <f>IF(P100=0,0,P100/$M$28)</f>
        <v>0</v>
      </c>
      <c r="R100" s="632">
        <f t="shared" si="7"/>
        <v>0</v>
      </c>
      <c r="S100" s="632">
        <f>SUM(S95:S99)</f>
        <v>0</v>
      </c>
      <c r="T100" s="925">
        <f t="shared" si="24"/>
        <v>0</v>
      </c>
      <c r="U100" s="630">
        <f t="shared" si="9"/>
        <v>0</v>
      </c>
    </row>
    <row r="101" spans="2:21" ht="15.75" thickTop="1" x14ac:dyDescent="0.25">
      <c r="B101" s="226"/>
      <c r="C101" s="647"/>
      <c r="D101" s="647"/>
      <c r="E101" s="647"/>
      <c r="F101" s="576"/>
      <c r="G101" s="576"/>
      <c r="H101" s="576"/>
      <c r="I101" s="576"/>
      <c r="J101" s="576"/>
      <c r="K101" s="576"/>
      <c r="L101" s="576"/>
      <c r="M101" s="576"/>
      <c r="N101" s="576"/>
      <c r="O101" s="648"/>
      <c r="P101" s="576"/>
      <c r="Q101" s="649"/>
      <c r="R101" s="784"/>
      <c r="S101" s="79"/>
    </row>
    <row r="102" spans="2:21" x14ac:dyDescent="0.25">
      <c r="B102" s="273" t="str">
        <f t="shared" ref="B102:B111" si="28">B60</f>
        <v>Alimentação</v>
      </c>
      <c r="C102" s="650">
        <f>D60</f>
        <v>7314.64</v>
      </c>
      <c r="D102" s="434"/>
      <c r="E102" s="647"/>
      <c r="F102" s="576"/>
      <c r="G102" s="576"/>
      <c r="H102" s="576"/>
      <c r="I102" s="576"/>
      <c r="J102" s="576"/>
      <c r="K102" s="576"/>
      <c r="L102" s="576"/>
      <c r="M102" s="576"/>
      <c r="N102" s="576"/>
      <c r="O102" s="576"/>
      <c r="P102" s="576"/>
      <c r="Q102" s="649"/>
      <c r="R102" s="784"/>
      <c r="S102" s="79"/>
    </row>
    <row r="103" spans="2:21" x14ac:dyDescent="0.25">
      <c r="B103" s="273" t="str">
        <f t="shared" si="28"/>
        <v>Combustível e Energia</v>
      </c>
      <c r="C103" s="650">
        <f>D61</f>
        <v>7459.2599999999993</v>
      </c>
      <c r="D103" s="434"/>
      <c r="E103" s="647"/>
      <c r="F103" s="576"/>
      <c r="G103" s="576"/>
      <c r="H103" s="576"/>
      <c r="I103" s="576"/>
      <c r="J103" s="576"/>
      <c r="K103" s="576"/>
      <c r="L103" s="576"/>
      <c r="M103" s="576"/>
      <c r="N103" s="576"/>
      <c r="O103" s="576"/>
      <c r="P103" s="576"/>
      <c r="Q103" s="649"/>
      <c r="R103" s="784"/>
      <c r="S103" s="79"/>
    </row>
    <row r="104" spans="2:21" x14ac:dyDescent="0.25">
      <c r="B104" s="273" t="str">
        <f t="shared" si="28"/>
        <v>Manutenção de Forragem</v>
      </c>
      <c r="C104" s="650">
        <f>D62</f>
        <v>2555.61</v>
      </c>
      <c r="D104" s="434"/>
      <c r="E104" s="647"/>
      <c r="F104" s="576"/>
      <c r="G104" s="576"/>
      <c r="H104" s="576"/>
      <c r="I104" s="576"/>
      <c r="J104" s="576"/>
      <c r="K104" s="576"/>
      <c r="L104" s="576"/>
      <c r="M104" s="576"/>
      <c r="N104" s="576"/>
      <c r="O104" s="576"/>
      <c r="P104" s="576"/>
      <c r="Q104" s="649"/>
      <c r="R104" s="784"/>
      <c r="S104" s="79"/>
    </row>
    <row r="105" spans="2:21" x14ac:dyDescent="0.25">
      <c r="B105" s="273" t="str">
        <f t="shared" si="28"/>
        <v>Manutenção de Máquinas e Instalações</v>
      </c>
      <c r="C105" s="650">
        <f>D63</f>
        <v>7290.94</v>
      </c>
      <c r="D105" s="434"/>
      <c r="E105" s="647"/>
      <c r="F105" s="576"/>
      <c r="G105" s="576"/>
      <c r="H105" s="576"/>
      <c r="I105" s="576"/>
      <c r="J105" s="576"/>
      <c r="K105" s="576"/>
      <c r="M105" s="576"/>
      <c r="N105" s="576"/>
      <c r="O105" s="576"/>
      <c r="P105" s="576"/>
      <c r="Q105" s="649"/>
      <c r="R105" s="784"/>
      <c r="S105" s="79"/>
    </row>
    <row r="106" spans="2:21" x14ac:dyDescent="0.25">
      <c r="B106" s="273" t="str">
        <f t="shared" si="28"/>
        <v>Mão de Obra</v>
      </c>
      <c r="C106" s="650">
        <f>D64+D74</f>
        <v>24005</v>
      </c>
      <c r="D106" s="434"/>
      <c r="E106" s="647"/>
      <c r="F106" s="576"/>
      <c r="G106" s="576"/>
      <c r="H106" s="576"/>
      <c r="I106" s="576"/>
      <c r="J106" s="576"/>
      <c r="K106" s="576"/>
      <c r="M106" s="576"/>
      <c r="N106" s="576"/>
      <c r="O106" s="576"/>
      <c r="P106" s="576"/>
      <c r="Q106" s="649"/>
      <c r="R106" s="784"/>
      <c r="S106" s="79"/>
    </row>
    <row r="107" spans="2:21" x14ac:dyDescent="0.25">
      <c r="B107" s="273" t="str">
        <f t="shared" si="28"/>
        <v>Reprodução</v>
      </c>
      <c r="C107" s="650">
        <f>D65</f>
        <v>0</v>
      </c>
      <c r="D107" s="434"/>
      <c r="E107" s="647"/>
      <c r="F107" s="576"/>
      <c r="G107" s="576"/>
      <c r="H107" s="576"/>
      <c r="I107" s="576"/>
      <c r="J107" s="576"/>
      <c r="K107" s="576"/>
      <c r="M107" s="576"/>
      <c r="N107" s="576"/>
      <c r="O107" s="576"/>
      <c r="P107" s="576"/>
      <c r="Q107" s="649"/>
      <c r="R107" s="784"/>
      <c r="S107" s="79"/>
    </row>
    <row r="108" spans="2:21" x14ac:dyDescent="0.25">
      <c r="B108" s="273" t="str">
        <f t="shared" si="28"/>
        <v>Sanidade</v>
      </c>
      <c r="C108" s="650">
        <f>D66</f>
        <v>6099.8</v>
      </c>
      <c r="D108" s="434"/>
      <c r="E108" s="647"/>
      <c r="F108" s="576"/>
      <c r="G108" s="576"/>
      <c r="H108" s="576"/>
      <c r="I108" s="576"/>
      <c r="J108" s="576"/>
      <c r="K108" s="576"/>
      <c r="M108" s="576"/>
      <c r="N108" s="576"/>
      <c r="O108" s="576"/>
      <c r="P108" s="576"/>
      <c r="Q108" s="649"/>
      <c r="R108" s="784"/>
      <c r="S108" s="79"/>
    </row>
    <row r="109" spans="2:21" x14ac:dyDescent="0.25">
      <c r="B109" s="273" t="str">
        <f t="shared" si="28"/>
        <v>Serviços Terceirizados</v>
      </c>
      <c r="C109" s="650">
        <f>D67</f>
        <v>2330</v>
      </c>
      <c r="D109" s="434"/>
      <c r="E109" s="647"/>
      <c r="F109" s="576"/>
      <c r="G109" s="576"/>
      <c r="H109" s="576"/>
      <c r="I109" s="576"/>
      <c r="J109" s="576"/>
      <c r="K109" s="576"/>
      <c r="L109" s="576"/>
      <c r="M109" s="576"/>
      <c r="N109" s="576"/>
      <c r="O109" s="576"/>
      <c r="P109" s="576"/>
      <c r="Q109" s="649"/>
      <c r="R109" s="784"/>
      <c r="S109" s="79"/>
    </row>
    <row r="110" spans="2:21" x14ac:dyDescent="0.25">
      <c r="B110" s="273" t="str">
        <f t="shared" si="28"/>
        <v>Tarifas e Impostos</v>
      </c>
      <c r="C110" s="650">
        <f>D68+D72</f>
        <v>517.21</v>
      </c>
      <c r="D110" s="434"/>
      <c r="E110" s="647"/>
      <c r="F110" s="576"/>
      <c r="G110" s="576"/>
      <c r="H110" s="576"/>
      <c r="I110" s="576"/>
      <c r="J110" s="576"/>
      <c r="K110" s="576"/>
      <c r="L110" s="576"/>
      <c r="M110" s="576"/>
      <c r="N110" s="576"/>
      <c r="O110" s="576"/>
      <c r="P110" s="576"/>
      <c r="Q110" s="649"/>
      <c r="R110" s="784"/>
      <c r="S110" s="79"/>
    </row>
    <row r="111" spans="2:21" x14ac:dyDescent="0.25">
      <c r="B111" s="273" t="str">
        <f t="shared" si="28"/>
        <v>Outros</v>
      </c>
      <c r="C111" s="650">
        <f>D69+D75</f>
        <v>1710.51</v>
      </c>
      <c r="D111" s="434"/>
      <c r="E111" s="647"/>
      <c r="F111" s="576"/>
      <c r="G111" s="576"/>
      <c r="H111" s="576"/>
      <c r="I111" s="576"/>
      <c r="J111" s="576"/>
      <c r="K111" s="576"/>
      <c r="L111" s="576"/>
      <c r="M111" s="576"/>
      <c r="N111" s="576"/>
      <c r="O111" s="576"/>
      <c r="P111" s="576"/>
      <c r="Q111" s="649"/>
      <c r="R111" s="784"/>
      <c r="S111" s="79"/>
    </row>
    <row r="112" spans="2:21" x14ac:dyDescent="0.25">
      <c r="B112" s="273" t="str">
        <f>B73</f>
        <v>Administrativo</v>
      </c>
      <c r="C112" s="650">
        <f>D73</f>
        <v>0</v>
      </c>
      <c r="D112" s="434"/>
      <c r="E112" s="647"/>
      <c r="F112" s="576"/>
      <c r="G112" s="576"/>
      <c r="H112" s="576"/>
      <c r="I112" s="576"/>
      <c r="J112" s="576"/>
      <c r="K112" s="576"/>
      <c r="L112" s="576"/>
      <c r="M112" s="576"/>
      <c r="N112" s="576"/>
      <c r="O112" s="576"/>
      <c r="P112" s="576"/>
      <c r="Q112" s="649"/>
      <c r="R112" s="784"/>
      <c r="S112" s="79"/>
    </row>
    <row r="113" spans="1:37" x14ac:dyDescent="0.25">
      <c r="B113" s="273" t="s">
        <v>411</v>
      </c>
      <c r="C113" s="650">
        <f>D77</f>
        <v>334635</v>
      </c>
      <c r="D113" s="434"/>
      <c r="E113" s="647"/>
      <c r="F113" s="576"/>
      <c r="G113" s="576"/>
      <c r="H113" s="576"/>
      <c r="I113" s="576"/>
      <c r="J113" s="576"/>
      <c r="K113" s="576"/>
      <c r="L113" s="576"/>
      <c r="M113" s="576"/>
      <c r="N113" s="576"/>
      <c r="O113" s="576"/>
      <c r="P113" s="576"/>
      <c r="Q113" s="649"/>
      <c r="R113" s="784"/>
      <c r="S113" s="79"/>
    </row>
    <row r="114" spans="1:37" x14ac:dyDescent="0.25">
      <c r="B114" s="273"/>
      <c r="C114" s="273"/>
      <c r="D114" s="434"/>
      <c r="E114" s="647"/>
      <c r="F114" s="576"/>
      <c r="G114" s="576"/>
      <c r="H114" s="576"/>
      <c r="I114" s="576"/>
      <c r="J114" s="576"/>
      <c r="K114" s="576"/>
      <c r="L114" s="576"/>
      <c r="M114" s="576"/>
      <c r="N114" s="576"/>
      <c r="O114" s="576"/>
      <c r="P114" s="576"/>
      <c r="Q114" s="649"/>
      <c r="R114" s="784"/>
      <c r="S114" s="79"/>
    </row>
    <row r="115" spans="1:37" x14ac:dyDescent="0.25">
      <c r="B115" s="273"/>
      <c r="C115" s="273"/>
      <c r="D115" s="434"/>
      <c r="E115" s="647"/>
      <c r="F115" s="576"/>
      <c r="G115" s="576"/>
      <c r="H115" s="576"/>
      <c r="I115" s="576"/>
      <c r="J115" s="576"/>
      <c r="K115" s="576"/>
      <c r="L115" s="576"/>
      <c r="M115" s="576"/>
      <c r="N115" s="576"/>
      <c r="O115" s="576"/>
      <c r="P115" s="576"/>
      <c r="Q115" s="649"/>
      <c r="R115" s="784"/>
      <c r="S115" s="79"/>
    </row>
    <row r="116" spans="1:37" x14ac:dyDescent="0.25">
      <c r="B116" s="434"/>
      <c r="C116" s="434"/>
      <c r="D116" s="647"/>
      <c r="E116" s="647"/>
      <c r="F116" s="576"/>
      <c r="G116" s="576"/>
      <c r="H116" s="576"/>
      <c r="I116" s="576"/>
      <c r="J116" s="576"/>
      <c r="K116" s="576"/>
      <c r="L116" s="576"/>
      <c r="M116" s="576"/>
      <c r="N116" s="576"/>
      <c r="O116" s="576"/>
      <c r="P116" s="576"/>
      <c r="Q116" s="649"/>
      <c r="R116" s="784"/>
      <c r="S116" s="79"/>
    </row>
    <row r="117" spans="1:37" x14ac:dyDescent="0.25">
      <c r="B117" s="273"/>
      <c r="C117" s="273"/>
      <c r="D117" s="434"/>
      <c r="E117" s="647"/>
      <c r="F117" s="576"/>
      <c r="G117" s="576"/>
      <c r="H117" s="576"/>
      <c r="I117" s="576"/>
      <c r="J117" s="576"/>
      <c r="K117" s="576"/>
      <c r="L117" s="576"/>
      <c r="M117" s="576"/>
      <c r="N117" s="576"/>
      <c r="O117" s="576"/>
      <c r="P117" s="576"/>
      <c r="Q117" s="649"/>
      <c r="R117" s="784"/>
      <c r="S117" s="79"/>
    </row>
    <row r="118" spans="1:37" x14ac:dyDescent="0.25">
      <c r="B118" s="273"/>
      <c r="C118" s="647"/>
      <c r="D118" s="647"/>
      <c r="E118" s="647"/>
      <c r="F118" s="576"/>
      <c r="G118" s="576"/>
      <c r="H118" s="576"/>
      <c r="I118" s="576"/>
      <c r="J118" s="576"/>
      <c r="K118" s="576"/>
      <c r="L118" s="576"/>
      <c r="M118" s="576"/>
      <c r="N118" s="576"/>
      <c r="O118" s="576"/>
      <c r="P118" s="576"/>
      <c r="Q118" s="649"/>
      <c r="R118" s="784"/>
      <c r="S118" s="79"/>
    </row>
    <row r="119" spans="1:37" x14ac:dyDescent="0.25">
      <c r="B119" s="226"/>
      <c r="C119" s="647"/>
      <c r="D119" s="647"/>
      <c r="E119" s="647"/>
      <c r="F119" s="576"/>
      <c r="G119" s="576"/>
      <c r="H119" s="576"/>
      <c r="I119" s="576"/>
      <c r="J119" s="576"/>
      <c r="K119" s="576"/>
      <c r="L119" s="576"/>
      <c r="M119" s="576"/>
      <c r="N119" s="576"/>
      <c r="O119" s="576"/>
      <c r="P119" s="576"/>
      <c r="Q119" s="576"/>
      <c r="R119" s="784"/>
      <c r="S119" s="79"/>
    </row>
    <row r="120" spans="1:37" x14ac:dyDescent="0.25">
      <c r="B120" s="226"/>
      <c r="C120" s="647"/>
      <c r="D120" s="647"/>
      <c r="E120" s="647"/>
      <c r="F120" s="576"/>
      <c r="G120" s="576"/>
      <c r="H120" s="576"/>
      <c r="I120" s="576"/>
      <c r="J120" s="576"/>
      <c r="K120" s="576"/>
      <c r="L120" s="576"/>
      <c r="M120" s="576"/>
      <c r="O120" s="576"/>
      <c r="P120" s="576"/>
      <c r="Q120" s="576"/>
      <c r="R120" s="784"/>
      <c r="S120" s="79"/>
    </row>
    <row r="121" spans="1:37" x14ac:dyDescent="0.25">
      <c r="B121" s="226"/>
      <c r="C121" s="647"/>
      <c r="D121" s="647"/>
      <c r="E121" s="647"/>
      <c r="F121" s="576"/>
      <c r="G121" s="576"/>
      <c r="H121" s="576"/>
      <c r="I121" s="576"/>
      <c r="J121" s="576"/>
      <c r="K121" s="576"/>
      <c r="L121" s="576"/>
      <c r="M121" s="576"/>
      <c r="O121" s="576"/>
      <c r="P121" s="576"/>
      <c r="Q121" s="576"/>
      <c r="R121" s="784"/>
      <c r="S121" s="79"/>
    </row>
    <row r="122" spans="1:37" x14ac:dyDescent="0.25">
      <c r="B122" s="226"/>
      <c r="C122" s="647"/>
      <c r="D122" s="647"/>
      <c r="E122" s="647"/>
      <c r="F122" s="576"/>
      <c r="G122" s="576"/>
      <c r="H122" s="576"/>
      <c r="I122" s="576"/>
      <c r="J122" s="576"/>
      <c r="K122" s="576"/>
      <c r="L122" s="576"/>
      <c r="M122" s="576"/>
      <c r="O122" s="576"/>
      <c r="P122" s="576"/>
      <c r="Q122" s="576"/>
      <c r="R122" s="784"/>
      <c r="S122" s="79"/>
    </row>
    <row r="123" spans="1:37" x14ac:dyDescent="0.25">
      <c r="B123" s="494" t="s">
        <v>412</v>
      </c>
      <c r="C123" s="576"/>
      <c r="D123" s="576"/>
      <c r="E123" s="576"/>
      <c r="F123" s="576"/>
      <c r="G123" s="576"/>
      <c r="H123" s="576"/>
      <c r="I123" s="576"/>
      <c r="J123" s="576"/>
      <c r="K123" s="576"/>
      <c r="L123" s="576"/>
      <c r="M123" s="576"/>
      <c r="O123" s="576"/>
      <c r="P123" s="576"/>
      <c r="Q123" s="649"/>
      <c r="R123" s="784"/>
      <c r="S123" s="79"/>
    </row>
    <row r="124" spans="1:37" x14ac:dyDescent="0.25">
      <c r="B124" s="229"/>
      <c r="C124" s="576"/>
      <c r="D124" s="576"/>
      <c r="E124" s="576"/>
      <c r="F124" s="576"/>
      <c r="G124" s="576"/>
      <c r="H124" s="576"/>
      <c r="I124" s="576"/>
      <c r="J124" s="576"/>
      <c r="K124" s="576"/>
      <c r="L124" s="576"/>
      <c r="M124" s="576"/>
      <c r="O124" s="576"/>
      <c r="P124" s="576"/>
      <c r="Q124" s="649"/>
      <c r="R124" s="784"/>
      <c r="S124" s="79"/>
    </row>
    <row r="125" spans="1:37" s="224" customFormat="1" hidden="1" x14ac:dyDescent="0.25">
      <c r="A125" s="561"/>
      <c r="B125" s="229"/>
      <c r="D125" s="578"/>
      <c r="E125" s="576"/>
      <c r="F125" s="589"/>
      <c r="G125" s="576"/>
      <c r="H125" s="1229"/>
      <c r="I125" s="1229"/>
      <c r="J125" s="1229"/>
      <c r="K125" s="1229"/>
      <c r="L125" s="1229"/>
      <c r="M125" s="1229"/>
      <c r="N125" s="1229"/>
      <c r="O125" s="1229"/>
      <c r="P125" s="578"/>
      <c r="Q125" s="649"/>
      <c r="R125" s="785"/>
      <c r="S125" s="786"/>
      <c r="T125" s="86"/>
      <c r="U125" s="86"/>
      <c r="V125" s="86"/>
      <c r="W125" s="86"/>
      <c r="X125" s="86"/>
      <c r="Y125" s="86"/>
      <c r="Z125" s="86"/>
      <c r="AA125" s="86"/>
      <c r="AB125" s="86"/>
      <c r="AC125" s="86"/>
      <c r="AD125" s="86"/>
      <c r="AE125" s="86"/>
      <c r="AF125" s="86"/>
      <c r="AG125" s="86"/>
      <c r="AH125" s="86"/>
      <c r="AI125" s="86"/>
      <c r="AJ125" s="86"/>
      <c r="AK125" s="86"/>
    </row>
    <row r="126" spans="1:37" hidden="1" x14ac:dyDescent="0.25">
      <c r="H126" s="227"/>
      <c r="I126" s="227"/>
      <c r="J126" s="227"/>
      <c r="K126" s="227"/>
      <c r="L126" s="227"/>
      <c r="M126" s="227"/>
      <c r="N126" s="227"/>
      <c r="O126" s="227"/>
      <c r="P126" s="227"/>
    </row>
    <row r="127" spans="1:37" hidden="1" x14ac:dyDescent="0.25">
      <c r="B127" s="652" t="s">
        <v>262</v>
      </c>
      <c r="H127" s="227"/>
      <c r="I127" s="227"/>
      <c r="J127" s="227"/>
      <c r="K127" s="227"/>
      <c r="L127" s="227"/>
      <c r="M127" s="227"/>
      <c r="N127" s="227"/>
      <c r="O127" s="227"/>
      <c r="P127" s="227"/>
    </row>
    <row r="128" spans="1:37" hidden="1" x14ac:dyDescent="0.25">
      <c r="H128" s="227"/>
      <c r="I128" s="227"/>
      <c r="J128" s="227"/>
      <c r="K128" s="227"/>
      <c r="L128" s="227"/>
      <c r="M128" s="227"/>
      <c r="N128" s="227"/>
      <c r="O128" s="227"/>
      <c r="P128" s="227"/>
    </row>
    <row r="129" spans="1:16" hidden="1" x14ac:dyDescent="0.25">
      <c r="H129" s="227"/>
      <c r="I129" s="227"/>
      <c r="J129" s="227"/>
      <c r="K129" s="227"/>
      <c r="L129" s="227"/>
      <c r="M129" s="227"/>
      <c r="N129" s="227"/>
      <c r="O129" s="227"/>
      <c r="P129" s="227"/>
    </row>
    <row r="130" spans="1:16" hidden="1" x14ac:dyDescent="0.25">
      <c r="B130" s="271"/>
    </row>
    <row r="131" spans="1:16" ht="15.75" hidden="1" thickBot="1" x14ac:dyDescent="0.3">
      <c r="B131" s="271"/>
      <c r="C131" s="227">
        <v>1</v>
      </c>
      <c r="D131" s="227">
        <v>2</v>
      </c>
      <c r="E131" s="227">
        <v>3</v>
      </c>
      <c r="F131" s="227">
        <v>4</v>
      </c>
      <c r="G131" s="227">
        <v>5</v>
      </c>
      <c r="H131" s="227">
        <v>6</v>
      </c>
      <c r="I131" s="227">
        <v>7</v>
      </c>
      <c r="J131" s="227">
        <v>8</v>
      </c>
      <c r="K131" s="227">
        <v>9</v>
      </c>
      <c r="L131" s="227">
        <v>10</v>
      </c>
      <c r="M131" s="227">
        <v>11</v>
      </c>
      <c r="N131" s="227">
        <v>12</v>
      </c>
    </row>
    <row r="132" spans="1:16" ht="16.5" hidden="1" thickTop="1" thickBot="1" x14ac:dyDescent="0.3">
      <c r="B132" s="549" t="s">
        <v>257</v>
      </c>
      <c r="C132" s="458" t="s">
        <v>0</v>
      </c>
      <c r="D132" s="458" t="s">
        <v>1</v>
      </c>
      <c r="E132" s="458" t="s">
        <v>2</v>
      </c>
      <c r="F132" s="458" t="s">
        <v>3</v>
      </c>
      <c r="G132" s="458" t="s">
        <v>4</v>
      </c>
      <c r="H132" s="458" t="s">
        <v>5</v>
      </c>
      <c r="I132" s="458" t="s">
        <v>6</v>
      </c>
      <c r="J132" s="458" t="s">
        <v>7</v>
      </c>
      <c r="K132" s="458" t="s">
        <v>8</v>
      </c>
      <c r="L132" s="458" t="s">
        <v>9</v>
      </c>
      <c r="M132" s="458" t="s">
        <v>10</v>
      </c>
      <c r="N132" s="458" t="s">
        <v>11</v>
      </c>
      <c r="O132" s="457" t="s">
        <v>17</v>
      </c>
    </row>
    <row r="133" spans="1:16" ht="15.75" hidden="1" thickTop="1" x14ac:dyDescent="0.25">
      <c r="B133" s="654" t="s">
        <v>258</v>
      </c>
      <c r="C133" s="655">
        <f>SAÍDAS!$E$26</f>
        <v>0</v>
      </c>
      <c r="D133" s="655">
        <f>SAÍDAS!$E$26</f>
        <v>0</v>
      </c>
      <c r="E133" s="655">
        <f>SAÍDAS!$E$26</f>
        <v>0</v>
      </c>
      <c r="F133" s="655">
        <f>SAÍDAS!$E$26</f>
        <v>0</v>
      </c>
      <c r="G133" s="655">
        <f>SAÍDAS!$E$26</f>
        <v>0</v>
      </c>
      <c r="H133" s="655">
        <f>SAÍDAS!$E$26</f>
        <v>0</v>
      </c>
      <c r="I133" s="655">
        <f>SAÍDAS!$E$26</f>
        <v>0</v>
      </c>
      <c r="J133" s="655">
        <f>SAÍDAS!$E$26</f>
        <v>0</v>
      </c>
      <c r="K133" s="655">
        <f>SAÍDAS!$E$26</f>
        <v>0</v>
      </c>
      <c r="L133" s="655">
        <f>SAÍDAS!$E$26</f>
        <v>0</v>
      </c>
      <c r="M133" s="655">
        <f>SAÍDAS!$E$26</f>
        <v>0</v>
      </c>
      <c r="N133" s="655">
        <f>SAÍDAS!$E$26</f>
        <v>0</v>
      </c>
      <c r="O133" s="656">
        <f t="shared" ref="O133:O139" si="29">SUM(C133:N133)</f>
        <v>0</v>
      </c>
    </row>
    <row r="134" spans="1:16" hidden="1" x14ac:dyDescent="0.25">
      <c r="B134" s="657" t="s">
        <v>166</v>
      </c>
      <c r="C134" s="658">
        <f>SUMIFS(INVESTIMENTOS!$H$27:$H$51,INVESTIMENTOS!$A$27:$A$51,'RESULTADOS FINANCEIROS'!C$131,INVESTIMENTOS!$L$27:$L$51,'RESULTADOS FINANCEIROS'!$C$8)</f>
        <v>0</v>
      </c>
      <c r="D134" s="658">
        <f>SUMIFS(INVESTIMENTOS!$H$27:$H$51,INVESTIMENTOS!$A$27:$A$51,'RESULTADOS FINANCEIROS'!D$131,INVESTIMENTOS!$L$27:$L$51,'RESULTADOS FINANCEIROS'!$C$8)</f>
        <v>0</v>
      </c>
      <c r="E134" s="658">
        <f>SUMIFS(INVESTIMENTOS!$H$27:$H$51,INVESTIMENTOS!$A$27:$A$51,'RESULTADOS FINANCEIROS'!E$131,INVESTIMENTOS!$L$27:$L$51,'RESULTADOS FINANCEIROS'!$C$8)</f>
        <v>0</v>
      </c>
      <c r="F134" s="658">
        <f>SUMIFS(INVESTIMENTOS!$H$27:$H$51,INVESTIMENTOS!$A$27:$A$51,'RESULTADOS FINANCEIROS'!F$131,INVESTIMENTOS!$L$27:$L$51,'RESULTADOS FINANCEIROS'!$C$8)</f>
        <v>0</v>
      </c>
      <c r="G134" s="658">
        <f>SUMIFS(INVESTIMENTOS!$H$27:$H$51,INVESTIMENTOS!$A$27:$A$51,'RESULTADOS FINANCEIROS'!G$131,INVESTIMENTOS!$L$27:$L$51,'RESULTADOS FINANCEIROS'!$C$8)</f>
        <v>0</v>
      </c>
      <c r="H134" s="658">
        <f>SUMIFS(INVESTIMENTOS!$H$27:$H$51,INVESTIMENTOS!$A$27:$A$51,'RESULTADOS FINANCEIROS'!H$131,INVESTIMENTOS!$L$27:$L$51,'RESULTADOS FINANCEIROS'!$C$8)</f>
        <v>0</v>
      </c>
      <c r="I134" s="658">
        <f>SUMIFS(INVESTIMENTOS!$H$27:$H$51,INVESTIMENTOS!$A$27:$A$51,'RESULTADOS FINANCEIROS'!I$131,INVESTIMENTOS!$L$27:$L$51,'RESULTADOS FINANCEIROS'!$C$8)</f>
        <v>0</v>
      </c>
      <c r="J134" s="658">
        <f>SUMIFS(INVESTIMENTOS!$H$27:$H$51,INVESTIMENTOS!$A$27:$A$51,'RESULTADOS FINANCEIROS'!J$131,INVESTIMENTOS!$L$27:$L$51,'RESULTADOS FINANCEIROS'!$C$8)</f>
        <v>0</v>
      </c>
      <c r="K134" s="658">
        <f>SUMIFS(INVESTIMENTOS!$H$27:$H$51,INVESTIMENTOS!$A$27:$A$51,'RESULTADOS FINANCEIROS'!K$131,INVESTIMENTOS!$L$27:$L$51,'RESULTADOS FINANCEIROS'!$C$8)</f>
        <v>0</v>
      </c>
      <c r="L134" s="658">
        <f>SUMIFS(INVESTIMENTOS!$H$27:$H$51,INVESTIMENTOS!$A$27:$A$51,'RESULTADOS FINANCEIROS'!L$131,INVESTIMENTOS!$L$27:$L$51,'RESULTADOS FINANCEIROS'!$C$8)</f>
        <v>0</v>
      </c>
      <c r="M134" s="658">
        <f>SUMIFS(INVESTIMENTOS!$H$27:$H$51,INVESTIMENTOS!$A$27:$A$51,'RESULTADOS FINANCEIROS'!M$131,INVESTIMENTOS!$L$27:$L$51,'RESULTADOS FINANCEIROS'!$C$8)</f>
        <v>0</v>
      </c>
      <c r="N134" s="658">
        <f>SUMIFS(INVESTIMENTOS!$H$27:$H$51,INVESTIMENTOS!$A$27:$A$51,'RESULTADOS FINANCEIROS'!N$131,INVESTIMENTOS!$L$27:$L$51,'RESULTADOS FINANCEIROS'!$C$8)</f>
        <v>0</v>
      </c>
      <c r="O134" s="659">
        <f t="shared" si="29"/>
        <v>0</v>
      </c>
    </row>
    <row r="135" spans="1:16" hidden="1" x14ac:dyDescent="0.25">
      <c r="B135" s="657" t="s">
        <v>167</v>
      </c>
      <c r="C135" s="658">
        <f>SUMIFS(INVESTIMENTOS!$F$56:$F$82,INVESTIMENTOS!$A$56:$A$82,'RESULTADOS FINANCEIROS'!C$131,INVESTIMENTOS!$L$56:$L$82,'RESULTADOS FINANCEIROS'!$C$8)</f>
        <v>0</v>
      </c>
      <c r="D135" s="658">
        <f>SUMIFS(INVESTIMENTOS!$F$56:$F$82,INVESTIMENTOS!$A$56:$A$82,'RESULTADOS FINANCEIROS'!D$131,INVESTIMENTOS!$L$56:$L$82,'RESULTADOS FINANCEIROS'!$C$8)</f>
        <v>0</v>
      </c>
      <c r="E135" s="658">
        <f>SUMIFS(INVESTIMENTOS!$F$56:$F$82,INVESTIMENTOS!$A$56:$A$82,'RESULTADOS FINANCEIROS'!E$131,INVESTIMENTOS!$L$56:$L$82,'RESULTADOS FINANCEIROS'!$C$8)</f>
        <v>0</v>
      </c>
      <c r="F135" s="658">
        <f>SUMIFS(INVESTIMENTOS!$F$56:$F$82,INVESTIMENTOS!$A$56:$A$82,'RESULTADOS FINANCEIROS'!F$131,INVESTIMENTOS!$L$56:$L$82,'RESULTADOS FINANCEIROS'!$C$8)</f>
        <v>0</v>
      </c>
      <c r="G135" s="658">
        <f>SUMIFS(INVESTIMENTOS!$F$56:$F$82,INVESTIMENTOS!$A$56:$A$82,'RESULTADOS FINANCEIROS'!G$131,INVESTIMENTOS!$L$56:$L$82,'RESULTADOS FINANCEIROS'!$C$8)</f>
        <v>0</v>
      </c>
      <c r="H135" s="658">
        <f>SUMIFS(INVESTIMENTOS!$F$56:$F$82,INVESTIMENTOS!$A$56:$A$82,'RESULTADOS FINANCEIROS'!H$131,INVESTIMENTOS!$L$56:$L$82,'RESULTADOS FINANCEIROS'!$C$8)</f>
        <v>0</v>
      </c>
      <c r="I135" s="658">
        <f>SUMIFS(INVESTIMENTOS!$F$56:$F$82,INVESTIMENTOS!$A$56:$A$82,'RESULTADOS FINANCEIROS'!I$131,INVESTIMENTOS!$L$56:$L$82,'RESULTADOS FINANCEIROS'!$C$8)</f>
        <v>0</v>
      </c>
      <c r="J135" s="658">
        <f>SUMIFS(INVESTIMENTOS!$F$56:$F$82,INVESTIMENTOS!$A$56:$A$82,'RESULTADOS FINANCEIROS'!J$131,INVESTIMENTOS!$L$56:$L$82,'RESULTADOS FINANCEIROS'!$C$8)</f>
        <v>0</v>
      </c>
      <c r="K135" s="658">
        <f>SUMIFS(INVESTIMENTOS!$F$56:$F$82,INVESTIMENTOS!$A$56:$A$82,'RESULTADOS FINANCEIROS'!K$131,INVESTIMENTOS!$L$56:$L$82,'RESULTADOS FINANCEIROS'!$C$8)</f>
        <v>0</v>
      </c>
      <c r="L135" s="658">
        <f>SUMIFS(INVESTIMENTOS!$F$56:$F$82,INVESTIMENTOS!$A$56:$A$82,'RESULTADOS FINANCEIROS'!L$131,INVESTIMENTOS!$L$56:$L$82,'RESULTADOS FINANCEIROS'!$C$8)</f>
        <v>0</v>
      </c>
      <c r="M135" s="658">
        <f>SUMIFS(INVESTIMENTOS!$F$56:$F$82,INVESTIMENTOS!$A$56:$A$82,'RESULTADOS FINANCEIROS'!M$131,INVESTIMENTOS!$L$56:$L$82,'RESULTADOS FINANCEIROS'!$C$8)</f>
        <v>0</v>
      </c>
      <c r="N135" s="658">
        <f>SUMIFS(INVESTIMENTOS!$F$56:$F$82,INVESTIMENTOS!$A$56:$A$82,'RESULTADOS FINANCEIROS'!N$131,INVESTIMENTOS!$L$56:$L$82,'RESULTADOS FINANCEIROS'!$C$8)</f>
        <v>0</v>
      </c>
      <c r="O135" s="659">
        <f t="shared" si="29"/>
        <v>0</v>
      </c>
    </row>
    <row r="136" spans="1:16" hidden="1" x14ac:dyDescent="0.25">
      <c r="B136" s="657" t="s">
        <v>168</v>
      </c>
      <c r="C136" s="658">
        <f>SUMIFS(INVESTIMENTOS!$F$87:$F$111,INVESTIMENTOS!$A$87:$A$111,'RESULTADOS FINANCEIROS'!C$131,INVESTIMENTOS!$L$87:$L$111,'RESULTADOS FINANCEIROS'!$C$8)</f>
        <v>2900</v>
      </c>
      <c r="D136" s="658">
        <f>SUMIFS(INVESTIMENTOS!$F$87:$F$111,INVESTIMENTOS!$A$87:$A$111,'RESULTADOS FINANCEIROS'!D$131,INVESTIMENTOS!$L$87:$L$111,'RESULTADOS FINANCEIROS'!$C$8)</f>
        <v>0</v>
      </c>
      <c r="E136" s="658">
        <f>SUMIFS(INVESTIMENTOS!$F$87:$F$111,INVESTIMENTOS!$A$87:$A$111,'RESULTADOS FINANCEIROS'!E$131,INVESTIMENTOS!$L$87:$L$111,'RESULTADOS FINANCEIROS'!$C$8)</f>
        <v>0</v>
      </c>
      <c r="F136" s="658">
        <f>SUMIFS(INVESTIMENTOS!$F$87:$F$111,INVESTIMENTOS!$A$87:$A$111,'RESULTADOS FINANCEIROS'!F$131,INVESTIMENTOS!$L$87:$L$111,'RESULTADOS FINANCEIROS'!$C$8)</f>
        <v>0</v>
      </c>
      <c r="G136" s="658">
        <f>SUMIFS(INVESTIMENTOS!$F$87:$F$111,INVESTIMENTOS!$A$87:$A$111,'RESULTADOS FINANCEIROS'!G$131,INVESTIMENTOS!$L$87:$L$111,'RESULTADOS FINANCEIROS'!$C$8)</f>
        <v>0</v>
      </c>
      <c r="H136" s="658">
        <f>SUMIFS(INVESTIMENTOS!$F$87:$F$111,INVESTIMENTOS!$A$87:$A$111,'RESULTADOS FINANCEIROS'!H$131,INVESTIMENTOS!$L$87:$L$111,'RESULTADOS FINANCEIROS'!$C$8)</f>
        <v>0</v>
      </c>
      <c r="I136" s="658">
        <f>SUMIFS(INVESTIMENTOS!$F$87:$F$111,INVESTIMENTOS!$A$87:$A$111,'RESULTADOS FINANCEIROS'!I$131,INVESTIMENTOS!$L$87:$L$111,'RESULTADOS FINANCEIROS'!$C$8)</f>
        <v>0</v>
      </c>
      <c r="J136" s="658">
        <f>SUMIFS(INVESTIMENTOS!$F$87:$F$111,INVESTIMENTOS!$A$87:$A$111,'RESULTADOS FINANCEIROS'!J$131,INVESTIMENTOS!$L$87:$L$111,'RESULTADOS FINANCEIROS'!$C$8)</f>
        <v>0</v>
      </c>
      <c r="K136" s="658">
        <f>SUMIFS(INVESTIMENTOS!$F$87:$F$111,INVESTIMENTOS!$A$87:$A$111,'RESULTADOS FINANCEIROS'!K$131,INVESTIMENTOS!$L$87:$L$111,'RESULTADOS FINANCEIROS'!$C$8)</f>
        <v>0</v>
      </c>
      <c r="L136" s="658">
        <f>SUMIFS(INVESTIMENTOS!$F$87:$F$111,INVESTIMENTOS!$A$87:$A$111,'RESULTADOS FINANCEIROS'!L$131,INVESTIMENTOS!$L$87:$L$111,'RESULTADOS FINANCEIROS'!$C$8)</f>
        <v>0</v>
      </c>
      <c r="M136" s="658">
        <f>SUMIFS(INVESTIMENTOS!$F$87:$F$111,INVESTIMENTOS!$A$87:$A$111,'RESULTADOS FINANCEIROS'!M$131,INVESTIMENTOS!$L$87:$L$111,'RESULTADOS FINANCEIROS'!$C$8)</f>
        <v>0</v>
      </c>
      <c r="N136" s="658">
        <f>SUMIFS(INVESTIMENTOS!$F$87:$F$111,INVESTIMENTOS!$A$87:$A$111,'RESULTADOS FINANCEIROS'!N$131,INVESTIMENTOS!$L$87:$L$111,'RESULTADOS FINANCEIROS'!$C$8)</f>
        <v>0</v>
      </c>
      <c r="O136" s="659">
        <f t="shared" si="29"/>
        <v>2900</v>
      </c>
    </row>
    <row r="137" spans="1:16" hidden="1" x14ac:dyDescent="0.25">
      <c r="B137" s="657" t="s">
        <v>259</v>
      </c>
      <c r="C137" s="658">
        <f>SUMIFS(INVESTIMENTOS!$F$116:$F$140,INVESTIMENTOS!$A$116:$A$140,'RESULTADOS FINANCEIROS'!C$131,INVESTIMENTOS!$L$116:$L$140,'RESULTADOS FINANCEIROS'!$C$8)</f>
        <v>0</v>
      </c>
      <c r="D137" s="658">
        <f>SUMIFS(INVESTIMENTOS!$F$116:$F$140,INVESTIMENTOS!$A$116:$A$140,'RESULTADOS FINANCEIROS'!D$131,INVESTIMENTOS!$L$116:$L$140,'RESULTADOS FINANCEIROS'!$C$8)</f>
        <v>0</v>
      </c>
      <c r="E137" s="658">
        <f>SUMIFS(INVESTIMENTOS!$F$116:$F$140,INVESTIMENTOS!$A$116:$A$140,'RESULTADOS FINANCEIROS'!E$131,INVESTIMENTOS!$L$116:$L$140,'RESULTADOS FINANCEIROS'!$C$8)</f>
        <v>0</v>
      </c>
      <c r="F137" s="658">
        <f>SUMIFS(INVESTIMENTOS!$F$116:$F$140,INVESTIMENTOS!$A$116:$A$140,'RESULTADOS FINANCEIROS'!F$131,INVESTIMENTOS!$L$116:$L$140,'RESULTADOS FINANCEIROS'!$C$8)</f>
        <v>0</v>
      </c>
      <c r="G137" s="658">
        <f>SUMIFS(INVESTIMENTOS!$F$116:$F$140,INVESTIMENTOS!$A$116:$A$140,'RESULTADOS FINANCEIROS'!G$131,INVESTIMENTOS!$L$116:$L$140,'RESULTADOS FINANCEIROS'!$C$8)</f>
        <v>0</v>
      </c>
      <c r="H137" s="658">
        <f>SUMIFS(INVESTIMENTOS!$F$116:$F$140,INVESTIMENTOS!$A$116:$A$140,'RESULTADOS FINANCEIROS'!H$131,INVESTIMENTOS!$L$116:$L$140,'RESULTADOS FINANCEIROS'!$C$8)</f>
        <v>0</v>
      </c>
      <c r="I137" s="658">
        <f>SUMIFS(INVESTIMENTOS!$F$116:$F$140,INVESTIMENTOS!$A$116:$A$140,'RESULTADOS FINANCEIROS'!I$131,INVESTIMENTOS!$L$116:$L$140,'RESULTADOS FINANCEIROS'!$C$8)</f>
        <v>0</v>
      </c>
      <c r="J137" s="658">
        <f>SUMIFS(INVESTIMENTOS!$F$116:$F$140,INVESTIMENTOS!$A$116:$A$140,'RESULTADOS FINANCEIROS'!J$131,INVESTIMENTOS!$L$116:$L$140,'RESULTADOS FINANCEIROS'!$C$8)</f>
        <v>0</v>
      </c>
      <c r="K137" s="658">
        <f>SUMIFS(INVESTIMENTOS!$F$116:$F$140,INVESTIMENTOS!$A$116:$A$140,'RESULTADOS FINANCEIROS'!K$131,INVESTIMENTOS!$L$116:$L$140,'RESULTADOS FINANCEIROS'!$C$8)</f>
        <v>0</v>
      </c>
      <c r="L137" s="658">
        <f>SUMIFS(INVESTIMENTOS!$F$116:$F$140,INVESTIMENTOS!$A$116:$A$140,'RESULTADOS FINANCEIROS'!L$131,INVESTIMENTOS!$L$116:$L$140,'RESULTADOS FINANCEIROS'!$C$8)</f>
        <v>0</v>
      </c>
      <c r="M137" s="658">
        <f>SUMIFS(INVESTIMENTOS!$F$116:$F$140,INVESTIMENTOS!$A$116:$A$140,'RESULTADOS FINANCEIROS'!M$131,INVESTIMENTOS!$L$116:$L$140,'RESULTADOS FINANCEIROS'!$C$8)</f>
        <v>0</v>
      </c>
      <c r="N137" s="658">
        <f>SUMIFS(INVESTIMENTOS!$F$116:$F$140,INVESTIMENTOS!$A$116:$A$140,'RESULTADOS FINANCEIROS'!N$131,INVESTIMENTOS!$L$116:$L$140,'RESULTADOS FINANCEIROS'!$C$8)</f>
        <v>0</v>
      </c>
      <c r="O137" s="659">
        <f t="shared" si="29"/>
        <v>0</v>
      </c>
    </row>
    <row r="138" spans="1:16" hidden="1" x14ac:dyDescent="0.25">
      <c r="B138" s="660" t="s">
        <v>119</v>
      </c>
      <c r="C138" s="661">
        <f>SUMIFS(INVESTIMENTOS!$F$145:$F$168,INVESTIMENTOS!$A$145:$A$168,'RESULTADOS FINANCEIROS'!C$131,INVESTIMENTOS!$L$145:$L$168,'RESULTADOS FINANCEIROS'!$C$8)</f>
        <v>0</v>
      </c>
      <c r="D138" s="661">
        <f>SUMIFS(INVESTIMENTOS!$F$145:$F$168,INVESTIMENTOS!$A$145:$A$168,'RESULTADOS FINANCEIROS'!D$131,INVESTIMENTOS!$L$145:$L$168,'RESULTADOS FINANCEIROS'!$C$8)</f>
        <v>0</v>
      </c>
      <c r="E138" s="661">
        <f>SUMIFS(INVESTIMENTOS!$F$145:$F$168,INVESTIMENTOS!$A$145:$A$168,'RESULTADOS FINANCEIROS'!E$131,INVESTIMENTOS!$L$145:$L$168,'RESULTADOS FINANCEIROS'!$C$8)</f>
        <v>0</v>
      </c>
      <c r="F138" s="661">
        <f>SUMIFS(INVESTIMENTOS!$F$145:$F$168,INVESTIMENTOS!$A$145:$A$168,'RESULTADOS FINANCEIROS'!F$131,INVESTIMENTOS!$L$145:$L$168,'RESULTADOS FINANCEIROS'!$C$8)</f>
        <v>0</v>
      </c>
      <c r="G138" s="661">
        <f>SUMIFS(INVESTIMENTOS!$F$145:$F$168,INVESTIMENTOS!$A$145:$A$168,'RESULTADOS FINANCEIROS'!G$131,INVESTIMENTOS!$L$145:$L$168,'RESULTADOS FINANCEIROS'!$C$8)</f>
        <v>0</v>
      </c>
      <c r="H138" s="661">
        <f>SUMIFS(INVESTIMENTOS!$F$145:$F$168,INVESTIMENTOS!$A$145:$A$168,'RESULTADOS FINANCEIROS'!H$131,INVESTIMENTOS!$L$145:$L$168,'RESULTADOS FINANCEIROS'!$C$8)</f>
        <v>0</v>
      </c>
      <c r="I138" s="661">
        <f>SUMIFS(INVESTIMENTOS!$F$145:$F$168,INVESTIMENTOS!$A$145:$A$168,'RESULTADOS FINANCEIROS'!I$131,INVESTIMENTOS!$L$145:$L$168,'RESULTADOS FINANCEIROS'!$C$8)</f>
        <v>0</v>
      </c>
      <c r="J138" s="661">
        <f>SUMIFS(INVESTIMENTOS!$F$145:$F$168,INVESTIMENTOS!$A$145:$A$168,'RESULTADOS FINANCEIROS'!J$131,INVESTIMENTOS!$L$145:$L$168,'RESULTADOS FINANCEIROS'!$C$8)</f>
        <v>0</v>
      </c>
      <c r="K138" s="661">
        <f>SUMIFS(INVESTIMENTOS!$F$145:$F$168,INVESTIMENTOS!$A$145:$A$168,'RESULTADOS FINANCEIROS'!K$131,INVESTIMENTOS!$L$145:$L$168,'RESULTADOS FINANCEIROS'!$C$8)</f>
        <v>0</v>
      </c>
      <c r="L138" s="661">
        <f>SUMIFS(INVESTIMENTOS!$F$145:$F$168,INVESTIMENTOS!$A$145:$A$168,'RESULTADOS FINANCEIROS'!L$131,INVESTIMENTOS!$L$145:$L$168,'RESULTADOS FINANCEIROS'!$C$8)</f>
        <v>0</v>
      </c>
      <c r="M138" s="661">
        <f>SUMIFS(INVESTIMENTOS!$F$145:$F$168,INVESTIMENTOS!$A$145:$A$168,'RESULTADOS FINANCEIROS'!M$131,INVESTIMENTOS!$L$145:$L$168,'RESULTADOS FINANCEIROS'!$C$8)</f>
        <v>0</v>
      </c>
      <c r="N138" s="661">
        <f>SUMIFS(INVESTIMENTOS!$F$145:$F$168,INVESTIMENTOS!$A$145:$A$168,'RESULTADOS FINANCEIROS'!N$131,INVESTIMENTOS!$L$145:$L$168,'RESULTADOS FINANCEIROS'!$C$8)</f>
        <v>0</v>
      </c>
      <c r="O138" s="659">
        <f t="shared" si="29"/>
        <v>0</v>
      </c>
    </row>
    <row r="139" spans="1:16" ht="15.75" hidden="1" thickBot="1" x14ac:dyDescent="0.3">
      <c r="B139" s="662" t="s">
        <v>17</v>
      </c>
      <c r="C139" s="663">
        <f>SUM(C133:C138)</f>
        <v>2900</v>
      </c>
      <c r="D139" s="663">
        <f t="shared" ref="D139:N139" si="30">SUM(D133:D138)</f>
        <v>0</v>
      </c>
      <c r="E139" s="663">
        <f t="shared" si="30"/>
        <v>0</v>
      </c>
      <c r="F139" s="663">
        <f t="shared" si="30"/>
        <v>0</v>
      </c>
      <c r="G139" s="663">
        <f t="shared" si="30"/>
        <v>0</v>
      </c>
      <c r="H139" s="663">
        <f t="shared" si="30"/>
        <v>0</v>
      </c>
      <c r="I139" s="663">
        <f t="shared" si="30"/>
        <v>0</v>
      </c>
      <c r="J139" s="663">
        <f t="shared" si="30"/>
        <v>0</v>
      </c>
      <c r="K139" s="663">
        <f t="shared" si="30"/>
        <v>0</v>
      </c>
      <c r="L139" s="663">
        <f t="shared" si="30"/>
        <v>0</v>
      </c>
      <c r="M139" s="663">
        <f t="shared" si="30"/>
        <v>0</v>
      </c>
      <c r="N139" s="663">
        <f t="shared" si="30"/>
        <v>0</v>
      </c>
      <c r="O139" s="664">
        <f t="shared" si="29"/>
        <v>2900</v>
      </c>
    </row>
    <row r="140" spans="1:16" s="51" customFormat="1" ht="35.25" hidden="1" customHeight="1" thickTop="1" thickBot="1" x14ac:dyDescent="0.3">
      <c r="A140" s="52"/>
      <c r="H140" s="1242"/>
      <c r="I140" s="1242"/>
      <c r="J140" s="1242"/>
      <c r="K140" s="1242"/>
      <c r="L140" s="1242"/>
      <c r="M140" s="1242"/>
      <c r="N140" s="1242"/>
      <c r="O140" s="1242"/>
    </row>
    <row r="141" spans="1:16" s="51" customFormat="1" ht="16.5" hidden="1" thickTop="1" thickBot="1" x14ac:dyDescent="0.3">
      <c r="A141" s="52"/>
      <c r="B141" s="77" t="s">
        <v>239</v>
      </c>
      <c r="C141" s="84"/>
      <c r="E141" s="1232" t="s">
        <v>123</v>
      </c>
      <c r="F141" s="1233"/>
      <c r="G141" s="1236" t="s">
        <v>104</v>
      </c>
      <c r="H141" s="1237"/>
      <c r="I141" s="1240" t="s">
        <v>103</v>
      </c>
      <c r="J141" s="1233"/>
      <c r="K141" s="1240" t="s">
        <v>102</v>
      </c>
      <c r="L141" s="1241"/>
      <c r="M141" s="85"/>
      <c r="N141" s="86"/>
      <c r="O141" s="86"/>
    </row>
    <row r="142" spans="1:16" s="51" customFormat="1" ht="33.75" hidden="1" customHeight="1" thickTop="1" thickBot="1" x14ac:dyDescent="0.3">
      <c r="A142" s="52"/>
      <c r="B142" s="56" t="s">
        <v>129</v>
      </c>
      <c r="C142" s="6" t="s">
        <v>244</v>
      </c>
      <c r="D142" s="14"/>
      <c r="E142" s="7" t="s">
        <v>130</v>
      </c>
      <c r="F142" s="8" t="s">
        <v>131</v>
      </c>
      <c r="G142" s="8" t="s">
        <v>130</v>
      </c>
      <c r="H142" s="8" t="s">
        <v>131</v>
      </c>
      <c r="I142" s="8" t="s">
        <v>130</v>
      </c>
      <c r="J142" s="8" t="s">
        <v>131</v>
      </c>
      <c r="K142" s="8" t="s">
        <v>130</v>
      </c>
      <c r="L142" s="9" t="s">
        <v>131</v>
      </c>
      <c r="M142" s="79" t="s">
        <v>471</v>
      </c>
    </row>
    <row r="143" spans="1:16" s="51" customFormat="1" ht="15.75" hidden="1" customHeight="1" thickTop="1" x14ac:dyDescent="0.25">
      <c r="A143" s="52"/>
      <c r="B143" s="47" t="s">
        <v>132</v>
      </c>
      <c r="C143" s="10">
        <f>INVESTIMENTOS!J21</f>
        <v>0</v>
      </c>
      <c r="D143" s="57"/>
      <c r="E143" s="59">
        <f>IF(F143=0,0,(F143/$C143)*100)</f>
        <v>0</v>
      </c>
      <c r="F143" s="64">
        <f>C143</f>
        <v>0</v>
      </c>
      <c r="G143" s="60" t="s">
        <v>107</v>
      </c>
      <c r="H143" s="65" t="s">
        <v>107</v>
      </c>
      <c r="I143" s="60" t="s">
        <v>107</v>
      </c>
      <c r="J143" s="65" t="s">
        <v>107</v>
      </c>
      <c r="K143" s="60" t="s">
        <v>107</v>
      </c>
      <c r="L143" s="66" t="s">
        <v>107</v>
      </c>
    </row>
    <row r="144" spans="1:16" s="51" customFormat="1" hidden="1" x14ac:dyDescent="0.25">
      <c r="A144" s="52"/>
      <c r="B144" s="48" t="s">
        <v>133</v>
      </c>
      <c r="C144" s="11">
        <f>INVESTIMENTOS!J52</f>
        <v>2038.0193733057577</v>
      </c>
      <c r="D144" s="58"/>
      <c r="E144" s="68">
        <f>INVESTIMENTOS!M52</f>
        <v>0</v>
      </c>
      <c r="F144" s="62">
        <f>INVESTIMENTOS!N52</f>
        <v>0</v>
      </c>
      <c r="G144" s="63">
        <f>INVESTIMENTOS!O52</f>
        <v>0</v>
      </c>
      <c r="H144" s="62">
        <f>INVESTIMENTOS!P52</f>
        <v>0</v>
      </c>
      <c r="I144" s="63">
        <f>INVESTIMENTOS!Q52</f>
        <v>0</v>
      </c>
      <c r="J144" s="62">
        <f>INVESTIMENTOS!R52</f>
        <v>0</v>
      </c>
      <c r="K144" s="63">
        <f>INVESTIMENTOS!S52</f>
        <v>0</v>
      </c>
      <c r="L144" s="67">
        <f>INVESTIMENTOS!T52</f>
        <v>0</v>
      </c>
      <c r="M144" s="940">
        <f t="shared" ref="M144:M149" si="31">SUM(E144,G144,I144,K144)</f>
        <v>0</v>
      </c>
    </row>
    <row r="145" spans="1:25" s="51" customFormat="1" hidden="1" x14ac:dyDescent="0.25">
      <c r="A145" s="52"/>
      <c r="B145" s="53" t="s">
        <v>240</v>
      </c>
      <c r="C145" s="54">
        <f>INVESTIMENTOS!J83</f>
        <v>2628.5730612363059</v>
      </c>
      <c r="D145" s="57"/>
      <c r="E145" s="68">
        <f>INVESTIMENTOS!M83</f>
        <v>0</v>
      </c>
      <c r="F145" s="62">
        <f>INVESTIMENTOS!N83</f>
        <v>0</v>
      </c>
      <c r="G145" s="63">
        <f>INVESTIMENTOS!O83</f>
        <v>0</v>
      </c>
      <c r="H145" s="62">
        <f>INVESTIMENTOS!P83</f>
        <v>0</v>
      </c>
      <c r="I145" s="63">
        <f>INVESTIMENTOS!Q83</f>
        <v>0</v>
      </c>
      <c r="J145" s="62">
        <f>INVESTIMENTOS!R83</f>
        <v>0</v>
      </c>
      <c r="K145" s="63">
        <f>INVESTIMENTOS!S83</f>
        <v>0</v>
      </c>
      <c r="L145" s="67">
        <f>INVESTIMENTOS!T83</f>
        <v>0</v>
      </c>
      <c r="M145" s="940">
        <f t="shared" si="31"/>
        <v>0</v>
      </c>
    </row>
    <row r="146" spans="1:25" s="51" customFormat="1" hidden="1" x14ac:dyDescent="0.25">
      <c r="A146" s="52"/>
      <c r="B146" s="53" t="s">
        <v>241</v>
      </c>
      <c r="C146" s="54">
        <f>INVESTIMENTOS!J112</f>
        <v>1358.3761025913136</v>
      </c>
      <c r="D146" s="57"/>
      <c r="E146" s="68">
        <f>INVESTIMENTOS!M112</f>
        <v>0</v>
      </c>
      <c r="F146" s="62">
        <f>INVESTIMENTOS!N112</f>
        <v>0</v>
      </c>
      <c r="G146" s="63">
        <f>INVESTIMENTOS!O112</f>
        <v>0</v>
      </c>
      <c r="H146" s="62">
        <f>INVESTIMENTOS!P112</f>
        <v>0</v>
      </c>
      <c r="I146" s="63">
        <f>INVESTIMENTOS!Q112</f>
        <v>0</v>
      </c>
      <c r="J146" s="62">
        <f>INVESTIMENTOS!R112</f>
        <v>0</v>
      </c>
      <c r="K146" s="63">
        <f>INVESTIMENTOS!S112</f>
        <v>0</v>
      </c>
      <c r="L146" s="67">
        <f>INVESTIMENTOS!T112</f>
        <v>0</v>
      </c>
      <c r="M146" s="940">
        <f t="shared" si="31"/>
        <v>0</v>
      </c>
      <c r="O146" s="87"/>
    </row>
    <row r="147" spans="1:25" s="51" customFormat="1" hidden="1" x14ac:dyDescent="0.25">
      <c r="A147" s="52"/>
      <c r="B147" s="53" t="s">
        <v>242</v>
      </c>
      <c r="C147" s="54">
        <f>INVESTIMENTOS!J141</f>
        <v>1894.3985848959696</v>
      </c>
      <c r="D147" s="57"/>
      <c r="E147" s="68">
        <f>INVESTIMENTOS!M141</f>
        <v>0</v>
      </c>
      <c r="F147" s="62">
        <f>INVESTIMENTOS!N141</f>
        <v>0</v>
      </c>
      <c r="G147" s="63">
        <f>INVESTIMENTOS!O141</f>
        <v>0</v>
      </c>
      <c r="H147" s="62">
        <f>INVESTIMENTOS!P141</f>
        <v>0</v>
      </c>
      <c r="I147" s="63">
        <f>INVESTIMENTOS!Q141</f>
        <v>0</v>
      </c>
      <c r="J147" s="62">
        <f>INVESTIMENTOS!R141</f>
        <v>0</v>
      </c>
      <c r="K147" s="63">
        <f>INVESTIMENTOS!S141</f>
        <v>0</v>
      </c>
      <c r="L147" s="67">
        <f>INVESTIMENTOS!T141</f>
        <v>0</v>
      </c>
      <c r="M147" s="940">
        <f t="shared" si="31"/>
        <v>0</v>
      </c>
    </row>
    <row r="148" spans="1:25" ht="15.75" hidden="1" thickBot="1" x14ac:dyDescent="0.3">
      <c r="B148" s="49" t="s">
        <v>243</v>
      </c>
      <c r="C148" s="12">
        <f>INVESTIMENTOS!J169</f>
        <v>0</v>
      </c>
      <c r="D148" s="57"/>
      <c r="E148" s="68">
        <f>INVESTIMENTOS!M169</f>
        <v>0</v>
      </c>
      <c r="F148" s="62">
        <f>INVESTIMENTOS!N169</f>
        <v>0</v>
      </c>
      <c r="G148" s="63">
        <f>INVESTIMENTOS!O169</f>
        <v>0</v>
      </c>
      <c r="H148" s="62">
        <f>INVESTIMENTOS!P169</f>
        <v>0</v>
      </c>
      <c r="I148" s="63">
        <f>INVESTIMENTOS!Q169</f>
        <v>0</v>
      </c>
      <c r="J148" s="62">
        <f>INVESTIMENTOS!R169</f>
        <v>0</v>
      </c>
      <c r="K148" s="63">
        <f>INVESTIMENTOS!S169</f>
        <v>0</v>
      </c>
      <c r="L148" s="67">
        <f>INVESTIMENTOS!T169</f>
        <v>0</v>
      </c>
      <c r="M148" s="940">
        <f t="shared" si="31"/>
        <v>0</v>
      </c>
    </row>
    <row r="149" spans="1:25" ht="16.5" hidden="1" thickTop="1" thickBot="1" x14ac:dyDescent="0.3">
      <c r="B149" s="55" t="s">
        <v>134</v>
      </c>
      <c r="C149" s="13">
        <f>SUM(C142:C148)</f>
        <v>7919.3671220293472</v>
      </c>
      <c r="D149" s="58"/>
      <c r="E149" s="61">
        <f>IF(C149=0,0,(F149/$C$149)*100)</f>
        <v>0</v>
      </c>
      <c r="F149" s="88">
        <f>SUM(F143:F148)</f>
        <v>0</v>
      </c>
      <c r="G149" s="89">
        <f>IF(C149=0,0,(H149/$C$149)*100)</f>
        <v>0</v>
      </c>
      <c r="H149" s="88">
        <f>SUM(H143:H148)</f>
        <v>0</v>
      </c>
      <c r="I149" s="89">
        <f>IF(C149=0,0,(J149/$C$149)*100)</f>
        <v>0</v>
      </c>
      <c r="J149" s="88">
        <f>SUM(J143:J148)</f>
        <v>0</v>
      </c>
      <c r="K149" s="89">
        <f>IF(C149=0,0,(L149/$C$149)*100)</f>
        <v>0</v>
      </c>
      <c r="L149" s="90">
        <f>SUM(L143:L148)</f>
        <v>0</v>
      </c>
      <c r="M149" s="940">
        <f t="shared" si="31"/>
        <v>0</v>
      </c>
    </row>
    <row r="150" spans="1:25" ht="15.75" hidden="1" thickTop="1" x14ac:dyDescent="0.25"/>
    <row r="151" spans="1:25" ht="15.75" hidden="1" thickBot="1" x14ac:dyDescent="0.3"/>
    <row r="152" spans="1:25" ht="16.5" hidden="1" thickTop="1" thickBot="1" x14ac:dyDescent="0.3">
      <c r="A152" s="665"/>
      <c r="B152" s="666"/>
      <c r="C152" s="667"/>
      <c r="D152" s="667"/>
      <c r="E152" s="667"/>
      <c r="F152" s="667"/>
      <c r="G152" s="667"/>
      <c r="H152" s="667"/>
      <c r="I152" s="667"/>
      <c r="J152" s="667"/>
      <c r="K152" s="667"/>
      <c r="L152" s="667"/>
      <c r="M152" s="667"/>
      <c r="N152" s="667"/>
      <c r="O152" s="667"/>
      <c r="P152" s="668"/>
      <c r="Q152" s="669"/>
      <c r="R152" s="783"/>
      <c r="S152" s="783"/>
      <c r="T152" s="783"/>
      <c r="U152" s="783"/>
      <c r="V152" s="783"/>
      <c r="W152" s="783"/>
      <c r="X152" s="783"/>
      <c r="Y152" s="783"/>
    </row>
    <row r="153" spans="1:25" ht="15.75" hidden="1" thickBot="1" x14ac:dyDescent="0.3">
      <c r="A153" s="670"/>
      <c r="B153" s="971" t="s">
        <v>173</v>
      </c>
      <c r="C153" s="972" t="s">
        <v>479</v>
      </c>
      <c r="D153" s="973"/>
      <c r="E153" s="973"/>
      <c r="F153" s="973"/>
      <c r="G153" s="973"/>
      <c r="H153" s="973"/>
      <c r="I153" s="973"/>
      <c r="J153" s="973"/>
      <c r="K153" s="973"/>
      <c r="L153" s="973"/>
      <c r="M153" s="973"/>
      <c r="N153" s="973"/>
      <c r="O153" s="973"/>
      <c r="P153" s="671" t="s">
        <v>253</v>
      </c>
      <c r="Q153" s="968"/>
      <c r="R153" s="783"/>
      <c r="S153" s="783"/>
      <c r="T153" s="783"/>
      <c r="U153" s="783"/>
      <c r="V153" s="783"/>
      <c r="W153" s="783"/>
      <c r="X153" s="783"/>
      <c r="Y153" s="783"/>
    </row>
    <row r="154" spans="1:25" hidden="1" x14ac:dyDescent="0.25">
      <c r="A154" s="670"/>
      <c r="B154" s="673" t="s">
        <v>12</v>
      </c>
      <c r="C154" s="674" t="s">
        <v>171</v>
      </c>
      <c r="D154" s="675" t="str">
        <f>IF(OR(REBANHO!E38=0,REBANHO!E38=""),"",REBANHO!E38)</f>
        <v/>
      </c>
      <c r="E154" s="675" t="str">
        <f>IF(OR(REBANHO!F38=0,REBANHO!F38=""),"",REBANHO!F38)</f>
        <v/>
      </c>
      <c r="F154" s="675" t="str">
        <f>IF(OR(REBANHO!G38=0,REBANHO!G38=""),"",REBANHO!G38)</f>
        <v/>
      </c>
      <c r="G154" s="675" t="str">
        <f>IF(OR(REBANHO!H38=0,REBANHO!H38=""),"",REBANHO!H38)</f>
        <v/>
      </c>
      <c r="H154" s="675" t="str">
        <f>IF(OR(REBANHO!I38=0,REBANHO!I38=""),"",REBANHO!I38)</f>
        <v/>
      </c>
      <c r="I154" s="675" t="str">
        <f>IF(OR(REBANHO!J38=0,REBANHO!J38=""),"",REBANHO!J38)</f>
        <v/>
      </c>
      <c r="J154" s="675" t="str">
        <f>IF(OR(REBANHO!K38=0,REBANHO!K38=""),"",REBANHO!K38)</f>
        <v/>
      </c>
      <c r="K154" s="675" t="str">
        <f>IF(OR(REBANHO!L38=0,REBANHO!L38=""),"",REBANHO!L38)</f>
        <v/>
      </c>
      <c r="L154" s="675" t="str">
        <f>IF(OR(REBANHO!M38=0,REBANHO!M38=""),"",REBANHO!M38)</f>
        <v/>
      </c>
      <c r="M154" s="675" t="str">
        <f>IF(OR(REBANHO!N38=0,REBANHO!N38=""),"",REBANHO!N38)</f>
        <v/>
      </c>
      <c r="N154" s="675" t="str">
        <f>IF(OR(REBANHO!O38=0,REBANHO!O38=""),"",REBANHO!O38)</f>
        <v/>
      </c>
      <c r="O154" s="676" t="str">
        <f>IF(OR(REBANHO!P38=0,REBANHO!P38=""),"",REBANHO!P38)</f>
        <v/>
      </c>
      <c r="P154" s="677" t="e">
        <f t="shared" ref="P154:P166" si="32">AVERAGE(D154:O154)</f>
        <v>#DIV/0!</v>
      </c>
      <c r="Q154" s="969"/>
      <c r="R154" s="783"/>
      <c r="S154" s="783"/>
      <c r="T154" s="783"/>
      <c r="U154" s="783"/>
      <c r="V154" s="783"/>
      <c r="W154" s="783"/>
      <c r="X154" s="783"/>
      <c r="Y154" s="783"/>
    </row>
    <row r="155" spans="1:25" hidden="1" x14ac:dyDescent="0.25">
      <c r="A155" s="670"/>
      <c r="B155" s="679" t="s">
        <v>12</v>
      </c>
      <c r="C155" s="680" t="s">
        <v>172</v>
      </c>
      <c r="D155" s="681" t="str">
        <f>IF(OR(REBANHO!E40=0,REBANHO!E40=""),"",REBANHO!E40)</f>
        <v/>
      </c>
      <c r="E155" s="681" t="str">
        <f>IF(OR(REBANHO!F40=0,REBANHO!F40=""),"",REBANHO!F40)</f>
        <v/>
      </c>
      <c r="F155" s="681" t="str">
        <f>IF(OR(REBANHO!G40=0,REBANHO!G40=""),"",REBANHO!G40)</f>
        <v/>
      </c>
      <c r="G155" s="681" t="str">
        <f>IF(OR(REBANHO!H40=0,REBANHO!H40=""),"",REBANHO!H40)</f>
        <v/>
      </c>
      <c r="H155" s="681" t="str">
        <f>IF(OR(REBANHO!I40=0,REBANHO!I40=""),"",REBANHO!I40)</f>
        <v/>
      </c>
      <c r="I155" s="681" t="str">
        <f>IF(OR(REBANHO!J40=0,REBANHO!J40=""),"",REBANHO!J40)</f>
        <v/>
      </c>
      <c r="J155" s="681" t="str">
        <f>IF(OR(REBANHO!K40=0,REBANHO!K40=""),"",REBANHO!K40)</f>
        <v/>
      </c>
      <c r="K155" s="681" t="str">
        <f>IF(OR(REBANHO!L40=0,REBANHO!L40=""),"",REBANHO!L40)</f>
        <v/>
      </c>
      <c r="L155" s="681" t="str">
        <f>IF(OR(REBANHO!M40=0,REBANHO!M40=""),"",REBANHO!M40)</f>
        <v/>
      </c>
      <c r="M155" s="681" t="str">
        <f>IF(OR(REBANHO!N40=0,REBANHO!N40=""),"",REBANHO!N40)</f>
        <v/>
      </c>
      <c r="N155" s="681" t="str">
        <f>IF(OR(REBANHO!O40=0,REBANHO!O40=""),"",REBANHO!O40)</f>
        <v/>
      </c>
      <c r="O155" s="682" t="str">
        <f>IF(OR(REBANHO!P40=0,REBANHO!P40=""),"",REBANHO!P40)</f>
        <v/>
      </c>
      <c r="P155" s="683" t="e">
        <f t="shared" si="32"/>
        <v>#DIV/0!</v>
      </c>
      <c r="Q155" s="969"/>
      <c r="R155" s="783"/>
      <c r="S155" s="783"/>
      <c r="T155" s="783"/>
      <c r="U155" s="783"/>
      <c r="V155" s="783"/>
      <c r="W155" s="783"/>
      <c r="X155" s="783"/>
      <c r="Y155" s="783"/>
    </row>
    <row r="156" spans="1:25" ht="15.75" hidden="1" thickBot="1" x14ac:dyDescent="0.3">
      <c r="A156" s="670"/>
      <c r="B156" s="684" t="s">
        <v>12</v>
      </c>
      <c r="C156" s="685" t="s">
        <v>175</v>
      </c>
      <c r="D156" s="686" t="str">
        <f t="shared" ref="D156:O156" si="33">IF(AND(D154="",D155=""),"",SUM(D154:D155))</f>
        <v/>
      </c>
      <c r="E156" s="686" t="str">
        <f t="shared" si="33"/>
        <v/>
      </c>
      <c r="F156" s="686" t="str">
        <f t="shared" si="33"/>
        <v/>
      </c>
      <c r="G156" s="686" t="str">
        <f t="shared" si="33"/>
        <v/>
      </c>
      <c r="H156" s="686" t="str">
        <f t="shared" si="33"/>
        <v/>
      </c>
      <c r="I156" s="686" t="str">
        <f t="shared" si="33"/>
        <v/>
      </c>
      <c r="J156" s="686" t="str">
        <f t="shared" si="33"/>
        <v/>
      </c>
      <c r="K156" s="686" t="str">
        <f t="shared" si="33"/>
        <v/>
      </c>
      <c r="L156" s="686" t="str">
        <f t="shared" si="33"/>
        <v/>
      </c>
      <c r="M156" s="686" t="str">
        <f t="shared" si="33"/>
        <v/>
      </c>
      <c r="N156" s="686" t="str">
        <f t="shared" si="33"/>
        <v/>
      </c>
      <c r="O156" s="687" t="str">
        <f t="shared" si="33"/>
        <v/>
      </c>
      <c r="P156" s="975" t="e">
        <f t="shared" si="32"/>
        <v>#DIV/0!</v>
      </c>
      <c r="Q156" s="970"/>
      <c r="R156" s="783"/>
      <c r="S156" s="783"/>
      <c r="T156" s="783"/>
      <c r="U156" s="783"/>
      <c r="V156" s="783"/>
      <c r="W156" s="783"/>
      <c r="X156" s="783"/>
      <c r="Y156" s="783"/>
    </row>
    <row r="157" spans="1:25" hidden="1" x14ac:dyDescent="0.25">
      <c r="A157" s="670"/>
      <c r="B157" s="673" t="s">
        <v>13</v>
      </c>
      <c r="C157" s="674" t="s">
        <v>171</v>
      </c>
      <c r="D157" s="675" t="str">
        <f>IF(OR(REBANHO!E43=0,REBANHO!E43=""),"",REBANHO!E43)</f>
        <v/>
      </c>
      <c r="E157" s="675" t="str">
        <f>IF(OR(REBANHO!F43=0,REBANHO!F43=""),"",REBANHO!F43)</f>
        <v/>
      </c>
      <c r="F157" s="675" t="str">
        <f>IF(OR(REBANHO!G43=0,REBANHO!G43=""),"",REBANHO!G43)</f>
        <v/>
      </c>
      <c r="G157" s="675" t="str">
        <f>IF(OR(REBANHO!H43=0,REBANHO!H43=""),"",REBANHO!H43)</f>
        <v/>
      </c>
      <c r="H157" s="675" t="str">
        <f>IF(OR(REBANHO!I43=0,REBANHO!I43=""),"",REBANHO!I43)</f>
        <v/>
      </c>
      <c r="I157" s="675" t="str">
        <f>IF(OR(REBANHO!J43=0,REBANHO!J43=""),"",REBANHO!J43)</f>
        <v/>
      </c>
      <c r="J157" s="675" t="str">
        <f>IF(OR(REBANHO!K43=0,REBANHO!K43=""),"",REBANHO!K43)</f>
        <v/>
      </c>
      <c r="K157" s="675" t="str">
        <f>IF(OR(REBANHO!L43=0,REBANHO!L43=""),"",REBANHO!L43)</f>
        <v/>
      </c>
      <c r="L157" s="675" t="str">
        <f>IF(OR(REBANHO!M43=0,REBANHO!M43=""),"",REBANHO!M43)</f>
        <v/>
      </c>
      <c r="M157" s="675" t="str">
        <f>IF(OR(REBANHO!N43=0,REBANHO!N43=""),"",REBANHO!N43)</f>
        <v/>
      </c>
      <c r="N157" s="675" t="str">
        <f>IF(OR(REBANHO!O43=0,REBANHO!O43=""),"",REBANHO!O43)</f>
        <v/>
      </c>
      <c r="O157" s="676" t="str">
        <f>IF(OR(REBANHO!P43=0,REBANHO!P43=""),"",REBANHO!P43)</f>
        <v/>
      </c>
      <c r="P157" s="677" t="e">
        <f t="shared" si="32"/>
        <v>#DIV/0!</v>
      </c>
      <c r="Q157" s="970"/>
      <c r="R157" s="783"/>
      <c r="S157" s="783"/>
      <c r="T157" s="783"/>
      <c r="U157" s="783"/>
      <c r="V157" s="783"/>
      <c r="W157" s="783"/>
      <c r="X157" s="783"/>
      <c r="Y157" s="783"/>
    </row>
    <row r="158" spans="1:25" hidden="1" x14ac:dyDescent="0.25">
      <c r="A158" s="670"/>
      <c r="B158" s="679" t="s">
        <v>13</v>
      </c>
      <c r="C158" s="680" t="s">
        <v>172</v>
      </c>
      <c r="D158" s="681">
        <f>IF(OR(REBANHO!E45=0,REBANHO!E45=""),"",REBANHO!E45)</f>
        <v>137</v>
      </c>
      <c r="E158" s="681">
        <f>IF(OR(REBANHO!F45=0,REBANHO!F45=""),"",REBANHO!F45)</f>
        <v>137</v>
      </c>
      <c r="F158" s="681">
        <f>IF(OR(REBANHO!G45=0,REBANHO!G45=""),"",REBANHO!G45)</f>
        <v>236</v>
      </c>
      <c r="G158" s="681">
        <f>IF(OR(REBANHO!H45=0,REBANHO!H45=""),"",REBANHO!H45)</f>
        <v>124</v>
      </c>
      <c r="H158" s="681">
        <f>IF(OR(REBANHO!I45=0,REBANHO!I45=""),"",REBANHO!I45)</f>
        <v>101</v>
      </c>
      <c r="I158" s="681">
        <f>IF(OR(REBANHO!J45=0,REBANHO!J45=""),"",REBANHO!J45)</f>
        <v>101</v>
      </c>
      <c r="J158" s="681">
        <f>IF(OR(REBANHO!K45=0,REBANHO!K45=""),"",REBANHO!K45)</f>
        <v>174</v>
      </c>
      <c r="K158" s="681">
        <f>IF(OR(REBANHO!L45=0,REBANHO!L45=""),"",REBANHO!L45)</f>
        <v>205</v>
      </c>
      <c r="L158" s="681" t="str">
        <f>IF(OR(REBANHO!M45=0,REBANHO!M45=""),"",REBANHO!M45)</f>
        <v/>
      </c>
      <c r="M158" s="681" t="str">
        <f>IF(OR(REBANHO!N45=0,REBANHO!N45=""),"",REBANHO!N45)</f>
        <v/>
      </c>
      <c r="N158" s="681" t="str">
        <f>IF(OR(REBANHO!O45=0,REBANHO!O45=""),"",REBANHO!O45)</f>
        <v/>
      </c>
      <c r="O158" s="682" t="str">
        <f>IF(OR(REBANHO!P45=0,REBANHO!P45=""),"",REBANHO!P45)</f>
        <v/>
      </c>
      <c r="P158" s="683">
        <f t="shared" si="32"/>
        <v>151.875</v>
      </c>
      <c r="Q158" s="970"/>
      <c r="R158" s="783"/>
      <c r="S158" s="783"/>
      <c r="T158" s="783"/>
      <c r="U158" s="783"/>
      <c r="V158" s="783"/>
      <c r="W158" s="783"/>
      <c r="X158" s="783"/>
      <c r="Y158" s="783"/>
    </row>
    <row r="159" spans="1:25" ht="15.75" hidden="1" thickBot="1" x14ac:dyDescent="0.3">
      <c r="A159" s="670"/>
      <c r="B159" s="684" t="s">
        <v>13</v>
      </c>
      <c r="C159" s="685" t="s">
        <v>175</v>
      </c>
      <c r="D159" s="686">
        <f t="shared" ref="D159:O159" si="34">IF(AND(D157="",D158=""),"",SUM(D157:D158))</f>
        <v>137</v>
      </c>
      <c r="E159" s="686">
        <f t="shared" si="34"/>
        <v>137</v>
      </c>
      <c r="F159" s="686">
        <f t="shared" si="34"/>
        <v>236</v>
      </c>
      <c r="G159" s="686">
        <f t="shared" si="34"/>
        <v>124</v>
      </c>
      <c r="H159" s="686">
        <f t="shared" si="34"/>
        <v>101</v>
      </c>
      <c r="I159" s="686">
        <f t="shared" si="34"/>
        <v>101</v>
      </c>
      <c r="J159" s="686">
        <f t="shared" si="34"/>
        <v>174</v>
      </c>
      <c r="K159" s="686">
        <f t="shared" si="34"/>
        <v>205</v>
      </c>
      <c r="L159" s="686" t="str">
        <f t="shared" si="34"/>
        <v/>
      </c>
      <c r="M159" s="686" t="str">
        <f t="shared" si="34"/>
        <v/>
      </c>
      <c r="N159" s="686" t="str">
        <f t="shared" si="34"/>
        <v/>
      </c>
      <c r="O159" s="687" t="str">
        <f t="shared" si="34"/>
        <v/>
      </c>
      <c r="P159" s="975">
        <f t="shared" si="32"/>
        <v>151.875</v>
      </c>
      <c r="Q159" s="970"/>
      <c r="R159" s="783"/>
      <c r="S159" s="783"/>
      <c r="T159" s="783"/>
      <c r="U159" s="783"/>
      <c r="V159" s="783"/>
      <c r="W159" s="783"/>
      <c r="X159" s="783"/>
      <c r="Y159" s="783"/>
    </row>
    <row r="160" spans="1:25" hidden="1" x14ac:dyDescent="0.25">
      <c r="A160" s="670"/>
      <c r="B160" s="673" t="s">
        <v>14</v>
      </c>
      <c r="C160" s="674" t="s">
        <v>171</v>
      </c>
      <c r="D160" s="675" t="str">
        <f>IF(OR(REBANHO!E48=0,REBANHO!E48=""),"",REBANHO!E48)</f>
        <v/>
      </c>
      <c r="E160" s="675" t="str">
        <f>IF(REBANHO!F48="","",REBANHO!F48)</f>
        <v/>
      </c>
      <c r="F160" s="675" t="str">
        <f>IF(REBANHO!G48="","",REBANHO!G48)</f>
        <v/>
      </c>
      <c r="G160" s="675" t="str">
        <f>IF(REBANHO!H48="","",REBANHO!H48)</f>
        <v/>
      </c>
      <c r="H160" s="675" t="str">
        <f>IF(REBANHO!I48="","",REBANHO!I48)</f>
        <v/>
      </c>
      <c r="I160" s="675" t="str">
        <f>IF(REBANHO!J48="","",REBANHO!J48)</f>
        <v/>
      </c>
      <c r="J160" s="675" t="str">
        <f>IF(REBANHO!K48="","",REBANHO!K48)</f>
        <v/>
      </c>
      <c r="K160" s="675" t="str">
        <f>IF(REBANHO!L48="","",REBANHO!L48)</f>
        <v/>
      </c>
      <c r="L160" s="675" t="str">
        <f>IF(REBANHO!M48="","",REBANHO!M48)</f>
        <v/>
      </c>
      <c r="M160" s="675" t="str">
        <f>IF(REBANHO!N48="","",REBANHO!N48)</f>
        <v/>
      </c>
      <c r="N160" s="675" t="str">
        <f>IF(REBANHO!O48="","",REBANHO!O48)</f>
        <v/>
      </c>
      <c r="O160" s="676" t="str">
        <f>IF(REBANHO!P48="","",REBANHO!P48)</f>
        <v/>
      </c>
      <c r="P160" s="677" t="e">
        <f t="shared" si="32"/>
        <v>#DIV/0!</v>
      </c>
      <c r="Q160" s="970"/>
      <c r="R160" s="783"/>
      <c r="S160" s="783"/>
      <c r="T160" s="783"/>
      <c r="U160" s="783"/>
      <c r="V160" s="783"/>
      <c r="W160" s="783"/>
      <c r="X160" s="783"/>
      <c r="Y160" s="783"/>
    </row>
    <row r="161" spans="1:25" hidden="1" x14ac:dyDescent="0.25">
      <c r="A161" s="670"/>
      <c r="B161" s="679" t="s">
        <v>14</v>
      </c>
      <c r="C161" s="680" t="s">
        <v>172</v>
      </c>
      <c r="D161" s="681" t="str">
        <f>IF(OR(REBANHO!E50=0,REBANHO!E50=""),"",REBANHO!E50)</f>
        <v/>
      </c>
      <c r="E161" s="681" t="str">
        <f>IF(OR(REBANHO!F50=0,REBANHO!F50=""),"",REBANHO!F50)</f>
        <v/>
      </c>
      <c r="F161" s="681" t="str">
        <f>IF(OR(REBANHO!G50=0,REBANHO!G50=""),"",REBANHO!G50)</f>
        <v/>
      </c>
      <c r="G161" s="681">
        <f>IF(OR(REBANHO!H50=0,REBANHO!H50=""),"",REBANHO!H50)</f>
        <v>111</v>
      </c>
      <c r="H161" s="681">
        <f>IF(OR(REBANHO!I50=0,REBANHO!I50=""),"",REBANHO!I50)</f>
        <v>134</v>
      </c>
      <c r="I161" s="681">
        <f>IF(OR(REBANHO!J50=0,REBANHO!J50=""),"",REBANHO!J50)</f>
        <v>134</v>
      </c>
      <c r="J161" s="681">
        <f>IF(OR(REBANHO!K50=0,REBANHO!K50=""),"",REBANHO!K50)</f>
        <v>23</v>
      </c>
      <c r="K161" s="681">
        <f>IF(OR(REBANHO!L50=0,REBANHO!L50=""),"",REBANHO!L50)</f>
        <v>23</v>
      </c>
      <c r="L161" s="681" t="str">
        <f>IF(OR(REBANHO!M50=0,REBANHO!M50=""),"",REBANHO!M50)</f>
        <v/>
      </c>
      <c r="M161" s="681" t="str">
        <f>IF(OR(REBANHO!N50=0,REBANHO!N50=""),"",REBANHO!N50)</f>
        <v/>
      </c>
      <c r="N161" s="681" t="str">
        <f>IF(OR(REBANHO!O50=0,REBANHO!O50=""),"",REBANHO!O50)</f>
        <v/>
      </c>
      <c r="O161" s="682" t="str">
        <f>IF(OR(REBANHO!P50=0,REBANHO!P50=""),"",REBANHO!P50)</f>
        <v/>
      </c>
      <c r="P161" s="683">
        <f t="shared" si="32"/>
        <v>85</v>
      </c>
      <c r="Q161" s="970"/>
      <c r="R161" s="783"/>
      <c r="S161" s="783"/>
      <c r="T161" s="783"/>
      <c r="U161" s="783"/>
      <c r="V161" s="783"/>
      <c r="W161" s="783"/>
      <c r="X161" s="783"/>
      <c r="Y161" s="783"/>
    </row>
    <row r="162" spans="1:25" ht="15.75" hidden="1" thickBot="1" x14ac:dyDescent="0.3">
      <c r="A162" s="670"/>
      <c r="B162" s="684" t="s">
        <v>14</v>
      </c>
      <c r="C162" s="685" t="s">
        <v>175</v>
      </c>
      <c r="D162" s="686" t="str">
        <f t="shared" ref="D162:O162" si="35">IF(AND(D160="",D161=""),"",SUM(D160:D161))</f>
        <v/>
      </c>
      <c r="E162" s="686" t="str">
        <f t="shared" si="35"/>
        <v/>
      </c>
      <c r="F162" s="686" t="str">
        <f t="shared" si="35"/>
        <v/>
      </c>
      <c r="G162" s="686">
        <f t="shared" si="35"/>
        <v>111</v>
      </c>
      <c r="H162" s="686">
        <f t="shared" si="35"/>
        <v>134</v>
      </c>
      <c r="I162" s="686">
        <f t="shared" si="35"/>
        <v>134</v>
      </c>
      <c r="J162" s="686">
        <f t="shared" si="35"/>
        <v>23</v>
      </c>
      <c r="K162" s="686">
        <f t="shared" si="35"/>
        <v>23</v>
      </c>
      <c r="L162" s="686" t="str">
        <f t="shared" si="35"/>
        <v/>
      </c>
      <c r="M162" s="686" t="str">
        <f t="shared" si="35"/>
        <v/>
      </c>
      <c r="N162" s="686" t="str">
        <f t="shared" si="35"/>
        <v/>
      </c>
      <c r="O162" s="687" t="str">
        <f t="shared" si="35"/>
        <v/>
      </c>
      <c r="P162" s="975">
        <f t="shared" si="32"/>
        <v>85</v>
      </c>
      <c r="Q162" s="970"/>
      <c r="R162" s="783"/>
      <c r="S162" s="783"/>
      <c r="T162" s="783"/>
      <c r="U162" s="783"/>
      <c r="V162" s="783"/>
      <c r="W162" s="783"/>
      <c r="X162" s="783"/>
      <c r="Y162" s="783"/>
    </row>
    <row r="163" spans="1:25" hidden="1" x14ac:dyDescent="0.25">
      <c r="A163" s="670"/>
      <c r="B163" s="673" t="s">
        <v>105</v>
      </c>
      <c r="C163" s="674" t="s">
        <v>171</v>
      </c>
      <c r="D163" s="675" t="str">
        <f>IF(OR(REBANHO!E53=0,REBANHO!E53=""),"",REBANHO!E53)</f>
        <v/>
      </c>
      <c r="E163" s="675" t="str">
        <f>IF(OR(REBANHO!F53=0,REBANHO!F53=""),"",REBANHO!F53)</f>
        <v/>
      </c>
      <c r="F163" s="675" t="str">
        <f>IF(OR(REBANHO!G53=0,REBANHO!G53=""),"",REBANHO!G53)</f>
        <v/>
      </c>
      <c r="G163" s="675" t="str">
        <f>IF(OR(REBANHO!H53=0,REBANHO!H53=""),"",REBANHO!H53)</f>
        <v/>
      </c>
      <c r="H163" s="675" t="str">
        <f>IF(OR(REBANHO!I53=0,REBANHO!I53=""),"",REBANHO!I53)</f>
        <v/>
      </c>
      <c r="I163" s="675" t="str">
        <f>IF(OR(REBANHO!J53=0,REBANHO!J53=""),"",REBANHO!J53)</f>
        <v/>
      </c>
      <c r="J163" s="675" t="str">
        <f>IF(OR(REBANHO!K53=0,REBANHO!K53=""),"",REBANHO!K53)</f>
        <v/>
      </c>
      <c r="K163" s="675" t="str">
        <f>IF(OR(REBANHO!L53=0,REBANHO!L53=""),"",REBANHO!L53)</f>
        <v/>
      </c>
      <c r="L163" s="675" t="str">
        <f>IF(OR(REBANHO!M53=0,REBANHO!M53=""),"",REBANHO!M53)</f>
        <v/>
      </c>
      <c r="M163" s="675" t="str">
        <f>IF(OR(REBANHO!N53=0,REBANHO!N53=""),"",REBANHO!N53)</f>
        <v/>
      </c>
      <c r="N163" s="675" t="str">
        <f>IF(OR(REBANHO!O53=0,REBANHO!O53=""),"",REBANHO!O53)</f>
        <v/>
      </c>
      <c r="O163" s="676" t="str">
        <f>IF(OR(REBANHO!P53=0,REBANHO!P53=""),"",REBANHO!P53)</f>
        <v/>
      </c>
      <c r="P163" s="677" t="e">
        <f t="shared" si="32"/>
        <v>#DIV/0!</v>
      </c>
      <c r="Q163" s="970"/>
      <c r="R163" s="783"/>
      <c r="S163" s="783"/>
      <c r="T163" s="783"/>
      <c r="U163" s="783"/>
      <c r="V163" s="783"/>
      <c r="W163" s="783"/>
      <c r="X163" s="783"/>
      <c r="Y163" s="783"/>
    </row>
    <row r="164" spans="1:25" hidden="1" x14ac:dyDescent="0.25">
      <c r="A164" s="670"/>
      <c r="B164" s="679" t="s">
        <v>106</v>
      </c>
      <c r="C164" s="680" t="s">
        <v>172</v>
      </c>
      <c r="D164" s="681">
        <f>IF(OR(REBANHO!E55=0,REBANHO!E55=""),"",REBANHO!E55)</f>
        <v>1</v>
      </c>
      <c r="E164" s="681">
        <f>IF(OR(REBANHO!F55=0,REBANHO!F55=""),"",REBANHO!F55)</f>
        <v>1</v>
      </c>
      <c r="F164" s="681">
        <f>IF(OR(REBANHO!G55=0,REBANHO!G55=""),"",REBANHO!G55)</f>
        <v>1</v>
      </c>
      <c r="G164" s="681">
        <f>IF(OR(REBANHO!H55=0,REBANHO!H55=""),"",REBANHO!H55)</f>
        <v>1</v>
      </c>
      <c r="H164" s="681">
        <f>IF(OR(REBANHO!I55=0,REBANHO!I55=""),"",REBANHO!I55)</f>
        <v>1</v>
      </c>
      <c r="I164" s="681">
        <f>IF(OR(REBANHO!J55=0,REBANHO!J55=""),"",REBANHO!J55)</f>
        <v>1</v>
      </c>
      <c r="J164" s="681">
        <f>IF(OR(REBANHO!K55=0,REBANHO!K55=""),"",REBANHO!K55)</f>
        <v>1</v>
      </c>
      <c r="K164" s="681">
        <f>IF(OR(REBANHO!L55=0,REBANHO!L55=""),"",REBANHO!L55)</f>
        <v>1</v>
      </c>
      <c r="L164" s="681" t="str">
        <f>IF(OR(REBANHO!M55=0,REBANHO!M55=""),"",REBANHO!M55)</f>
        <v/>
      </c>
      <c r="M164" s="681" t="str">
        <f>IF(OR(REBANHO!N55=0,REBANHO!N55=""),"",REBANHO!N55)</f>
        <v/>
      </c>
      <c r="N164" s="681" t="str">
        <f>IF(OR(REBANHO!O55=0,REBANHO!O55=""),"",REBANHO!O55)</f>
        <v/>
      </c>
      <c r="O164" s="682" t="str">
        <f>IF(OR(REBANHO!P55=0,REBANHO!P55=""),"",REBANHO!P55)</f>
        <v/>
      </c>
      <c r="P164" s="683">
        <f t="shared" si="32"/>
        <v>1</v>
      </c>
      <c r="Q164" s="970"/>
      <c r="R164" s="783"/>
      <c r="S164" s="783"/>
      <c r="T164" s="783"/>
      <c r="U164" s="783"/>
      <c r="V164" s="783"/>
      <c r="W164" s="783"/>
      <c r="X164" s="783"/>
      <c r="Y164" s="783"/>
    </row>
    <row r="165" spans="1:25" ht="15.75" hidden="1" thickBot="1" x14ac:dyDescent="0.3">
      <c r="A165" s="670"/>
      <c r="B165" s="689" t="s">
        <v>237</v>
      </c>
      <c r="C165" s="690" t="s">
        <v>175</v>
      </c>
      <c r="D165" s="691">
        <f t="shared" ref="D165:O165" si="36">IF(AND(D163="",D164=""),"",SUM(D163:D164))</f>
        <v>1</v>
      </c>
      <c r="E165" s="691">
        <f t="shared" si="36"/>
        <v>1</v>
      </c>
      <c r="F165" s="691">
        <f t="shared" si="36"/>
        <v>1</v>
      </c>
      <c r="G165" s="691">
        <f t="shared" si="36"/>
        <v>1</v>
      </c>
      <c r="H165" s="691">
        <f t="shared" si="36"/>
        <v>1</v>
      </c>
      <c r="I165" s="691">
        <f t="shared" si="36"/>
        <v>1</v>
      </c>
      <c r="J165" s="691">
        <f t="shared" si="36"/>
        <v>1</v>
      </c>
      <c r="K165" s="691">
        <f t="shared" si="36"/>
        <v>1</v>
      </c>
      <c r="L165" s="691" t="str">
        <f t="shared" si="36"/>
        <v/>
      </c>
      <c r="M165" s="691" t="str">
        <f t="shared" si="36"/>
        <v/>
      </c>
      <c r="N165" s="691" t="str">
        <f t="shared" si="36"/>
        <v/>
      </c>
      <c r="O165" s="692" t="str">
        <f t="shared" si="36"/>
        <v/>
      </c>
      <c r="P165" s="976">
        <f t="shared" si="32"/>
        <v>1</v>
      </c>
      <c r="Q165" s="970"/>
      <c r="R165" s="783"/>
      <c r="S165" s="783"/>
      <c r="T165" s="783"/>
      <c r="U165" s="783"/>
      <c r="V165" s="783"/>
      <c r="W165" s="783"/>
      <c r="X165" s="783"/>
      <c r="Y165" s="783"/>
    </row>
    <row r="166" spans="1:25" ht="15.75" hidden="1" thickBot="1" x14ac:dyDescent="0.3">
      <c r="A166" s="670"/>
      <c r="B166" s="694" t="s">
        <v>248</v>
      </c>
      <c r="C166" s="695"/>
      <c r="D166" s="696">
        <f t="shared" ref="D166:O166" si="37">SUM(D156,D159,D162,D165)</f>
        <v>138</v>
      </c>
      <c r="E166" s="696">
        <f t="shared" si="37"/>
        <v>138</v>
      </c>
      <c r="F166" s="696">
        <f t="shared" si="37"/>
        <v>237</v>
      </c>
      <c r="G166" s="696">
        <f t="shared" si="37"/>
        <v>236</v>
      </c>
      <c r="H166" s="696">
        <f t="shared" si="37"/>
        <v>236</v>
      </c>
      <c r="I166" s="696">
        <f t="shared" si="37"/>
        <v>236</v>
      </c>
      <c r="J166" s="696">
        <f t="shared" si="37"/>
        <v>198</v>
      </c>
      <c r="K166" s="696">
        <f t="shared" si="37"/>
        <v>229</v>
      </c>
      <c r="L166" s="696">
        <f t="shared" si="37"/>
        <v>0</v>
      </c>
      <c r="M166" s="696">
        <f t="shared" si="37"/>
        <v>0</v>
      </c>
      <c r="N166" s="696">
        <f t="shared" si="37"/>
        <v>0</v>
      </c>
      <c r="O166" s="697">
        <f t="shared" si="37"/>
        <v>0</v>
      </c>
      <c r="P166" s="698">
        <f t="shared" si="32"/>
        <v>137.33333333333334</v>
      </c>
      <c r="Q166" s="969"/>
      <c r="R166" s="783"/>
      <c r="S166" s="783"/>
      <c r="T166" s="783"/>
      <c r="U166" s="783"/>
      <c r="V166" s="783"/>
      <c r="W166" s="783"/>
      <c r="X166" s="783"/>
      <c r="Y166" s="783"/>
    </row>
    <row r="167" spans="1:25" hidden="1" x14ac:dyDescent="0.25">
      <c r="A167" s="670"/>
      <c r="B167" s="224"/>
      <c r="C167" s="228"/>
      <c r="D167" s="986"/>
      <c r="E167" s="986"/>
      <c r="F167" s="986"/>
      <c r="G167" s="986"/>
      <c r="H167" s="986"/>
      <c r="I167" s="986"/>
      <c r="J167" s="986"/>
      <c r="K167" s="986"/>
      <c r="L167" s="986"/>
      <c r="M167" s="986"/>
      <c r="N167" s="986"/>
      <c r="O167" s="986"/>
      <c r="P167" s="987"/>
      <c r="Q167" s="678"/>
      <c r="R167" s="783"/>
      <c r="S167" s="783"/>
      <c r="T167" s="783"/>
      <c r="U167" s="783"/>
      <c r="V167" s="783"/>
      <c r="W167" s="783"/>
      <c r="X167" s="783"/>
      <c r="Y167" s="783"/>
    </row>
    <row r="168" spans="1:25" ht="15.75" hidden="1" thickBot="1" x14ac:dyDescent="0.3">
      <c r="A168" s="670"/>
      <c r="B168" s="224"/>
      <c r="C168" s="228"/>
      <c r="D168" s="986"/>
      <c r="E168" s="986"/>
      <c r="F168" s="986"/>
      <c r="G168" s="986"/>
      <c r="H168" s="986"/>
      <c r="I168" s="986"/>
      <c r="J168" s="986"/>
      <c r="K168" s="986"/>
      <c r="L168" s="986"/>
      <c r="M168" s="986"/>
      <c r="N168" s="986"/>
      <c r="O168" s="986"/>
      <c r="P168" s="987"/>
      <c r="Q168" s="678"/>
      <c r="R168" s="783"/>
      <c r="S168" s="783"/>
      <c r="T168" s="783"/>
      <c r="U168" s="783"/>
      <c r="V168" s="783"/>
      <c r="W168" s="783"/>
      <c r="X168" s="783"/>
      <c r="Y168" s="783"/>
    </row>
    <row r="169" spans="1:25" ht="15.75" hidden="1" thickBot="1" x14ac:dyDescent="0.3">
      <c r="A169" s="670"/>
      <c r="B169" s="971" t="s">
        <v>173</v>
      </c>
      <c r="C169" s="972" t="s">
        <v>464</v>
      </c>
      <c r="D169" s="973"/>
      <c r="E169" s="973"/>
      <c r="F169" s="973"/>
      <c r="G169" s="973"/>
      <c r="H169" s="973"/>
      <c r="I169" s="973"/>
      <c r="J169" s="973"/>
      <c r="K169" s="973"/>
      <c r="L169" s="973"/>
      <c r="M169" s="973"/>
      <c r="N169" s="973"/>
      <c r="O169" s="973"/>
      <c r="P169" s="671" t="s">
        <v>253</v>
      </c>
      <c r="Q169" s="678"/>
      <c r="R169" s="783"/>
      <c r="S169" s="783"/>
      <c r="T169" s="783"/>
      <c r="U169" s="783"/>
      <c r="V169" s="783"/>
      <c r="W169" s="783"/>
      <c r="X169" s="783"/>
      <c r="Y169" s="783"/>
    </row>
    <row r="170" spans="1:25" hidden="1" x14ac:dyDescent="0.25">
      <c r="A170" s="670"/>
      <c r="B170" s="673" t="s">
        <v>12</v>
      </c>
      <c r="C170" s="674" t="s">
        <v>171</v>
      </c>
      <c r="D170" s="988" t="str">
        <f>IF(OR(REBANHO!E38=0,REBANHO!E38=""),"",(REBANHO!E38*REBANHO!E39)/14.689)</f>
        <v/>
      </c>
      <c r="E170" s="988" t="str">
        <f>IF(OR(REBANHO!F38=0,REBANHO!F38=""),"",(REBANHO!F38*REBANHO!F39)/14.689)</f>
        <v/>
      </c>
      <c r="F170" s="988" t="str">
        <f>IF(OR(REBANHO!G38=0,REBANHO!G38=""),"",(REBANHO!G38*REBANHO!G39)/14.689)</f>
        <v/>
      </c>
      <c r="G170" s="988" t="str">
        <f>IF(OR(REBANHO!H38=0,REBANHO!H38=""),"",(REBANHO!H38*REBANHO!H39)/14.689)</f>
        <v/>
      </c>
      <c r="H170" s="988" t="str">
        <f>IF(OR(REBANHO!I38=0,REBANHO!I38=""),"",(REBANHO!I38*REBANHO!I39)/14.689)</f>
        <v/>
      </c>
      <c r="I170" s="988" t="str">
        <f>IF(OR(REBANHO!J38=0,REBANHO!J38=""),"",(REBANHO!J38*REBANHO!J39)/14.689)</f>
        <v/>
      </c>
      <c r="J170" s="988" t="str">
        <f>IF(OR(REBANHO!K38=0,REBANHO!K38=""),"",(REBANHO!K38*REBANHO!K39)/14.689)</f>
        <v/>
      </c>
      <c r="K170" s="988" t="str">
        <f>IF(OR(REBANHO!L38=0,REBANHO!L38=""),"",(REBANHO!L38*REBANHO!L39)/14.689)</f>
        <v/>
      </c>
      <c r="L170" s="988" t="str">
        <f>IF(OR(REBANHO!M38=0,REBANHO!M38=""),"",(REBANHO!M38*REBANHO!M39)/14.689)</f>
        <v/>
      </c>
      <c r="M170" s="988" t="str">
        <f>IF(OR(REBANHO!N38=0,REBANHO!N38=""),"",(REBANHO!N38*REBANHO!N39)/14.689)</f>
        <v/>
      </c>
      <c r="N170" s="988" t="str">
        <f>IF(OR(REBANHO!O38=0,REBANHO!O38=""),"",(REBANHO!O38*REBANHO!O39)/14.689)</f>
        <v/>
      </c>
      <c r="O170" s="988" t="str">
        <f>IF(OR(REBANHO!P38=0,REBANHO!P38=""),"",(REBANHO!P38*REBANHO!P39)/14.689)</f>
        <v/>
      </c>
      <c r="P170" s="996" t="e">
        <f t="shared" ref="P170:P182" si="38">AVERAGE(D170:O170)</f>
        <v>#DIV/0!</v>
      </c>
      <c r="Q170" s="678"/>
      <c r="R170" s="783"/>
      <c r="S170" s="783"/>
      <c r="T170" s="783"/>
      <c r="U170" s="783"/>
      <c r="V170" s="783"/>
      <c r="W170" s="783"/>
      <c r="X170" s="783"/>
      <c r="Y170" s="783"/>
    </row>
    <row r="171" spans="1:25" hidden="1" x14ac:dyDescent="0.25">
      <c r="A171" s="670"/>
      <c r="B171" s="679" t="s">
        <v>12</v>
      </c>
      <c r="C171" s="680" t="s">
        <v>172</v>
      </c>
      <c r="D171" s="746" t="str">
        <f>IF(OR(REBANHO!E40=0,REBANHO!E40=""),"",(REBANHO!E40*REBANHO!E41)/14.689)</f>
        <v/>
      </c>
      <c r="E171" s="746" t="str">
        <f>IF(OR(REBANHO!F40=0,REBANHO!F40=""),"",(REBANHO!F40*REBANHO!F41)/14.689)</f>
        <v/>
      </c>
      <c r="F171" s="746" t="str">
        <f>IF(OR(REBANHO!G40=0,REBANHO!G40=""),"",(REBANHO!G40*REBANHO!G41)/14.689)</f>
        <v/>
      </c>
      <c r="G171" s="746" t="str">
        <f>IF(OR(REBANHO!H40=0,REBANHO!H40=""),"",(REBANHO!H40*REBANHO!H41)/14.689)</f>
        <v/>
      </c>
      <c r="H171" s="746" t="str">
        <f>IF(OR(REBANHO!I40=0,REBANHO!I40=""),"",(REBANHO!I40*REBANHO!I41)/14.689)</f>
        <v/>
      </c>
      <c r="I171" s="746" t="str">
        <f>IF(OR(REBANHO!J40=0,REBANHO!J40=""),"",(REBANHO!J40*REBANHO!J41)/14.689)</f>
        <v/>
      </c>
      <c r="J171" s="746" t="str">
        <f>IF(OR(REBANHO!K40=0,REBANHO!K40=""),"",(REBANHO!K40*REBANHO!K41)/14.689)</f>
        <v/>
      </c>
      <c r="K171" s="746" t="str">
        <f>IF(OR(REBANHO!L40=0,REBANHO!L40=""),"",(REBANHO!L40*REBANHO!L41)/14.689)</f>
        <v/>
      </c>
      <c r="L171" s="746" t="str">
        <f>IF(OR(REBANHO!M40=0,REBANHO!M40=""),"",(REBANHO!M40*REBANHO!M41)/14.689)</f>
        <v/>
      </c>
      <c r="M171" s="746" t="str">
        <f>IF(OR(REBANHO!N40=0,REBANHO!N40=""),"",(REBANHO!N40*REBANHO!N41)/14.689)</f>
        <v/>
      </c>
      <c r="N171" s="746" t="str">
        <f>IF(OR(REBANHO!O40=0,REBANHO!O40=""),"",(REBANHO!O40*REBANHO!O41)/14.689)</f>
        <v/>
      </c>
      <c r="O171" s="746" t="str">
        <f>IF(OR(REBANHO!P40=0,REBANHO!P40=""),"",(REBANHO!P40*REBANHO!P41)/14.689)</f>
        <v/>
      </c>
      <c r="P171" s="997" t="e">
        <f t="shared" si="38"/>
        <v>#DIV/0!</v>
      </c>
      <c r="Q171" s="678"/>
      <c r="R171" s="783"/>
      <c r="S171" s="783"/>
      <c r="T171" s="783"/>
      <c r="U171" s="783"/>
      <c r="V171" s="783"/>
      <c r="W171" s="783"/>
      <c r="X171" s="783"/>
      <c r="Y171" s="783"/>
    </row>
    <row r="172" spans="1:25" ht="15.75" hidden="1" thickBot="1" x14ac:dyDescent="0.3">
      <c r="A172" s="670"/>
      <c r="B172" s="989" t="s">
        <v>12</v>
      </c>
      <c r="C172" s="990" t="s">
        <v>175</v>
      </c>
      <c r="D172" s="991" t="str">
        <f t="shared" ref="D172:O172" si="39">IF(AND(D170="",D171=""),"",SUM(D170:D171))</f>
        <v/>
      </c>
      <c r="E172" s="991" t="str">
        <f t="shared" si="39"/>
        <v/>
      </c>
      <c r="F172" s="991" t="str">
        <f t="shared" si="39"/>
        <v/>
      </c>
      <c r="G172" s="991" t="str">
        <f t="shared" si="39"/>
        <v/>
      </c>
      <c r="H172" s="991" t="str">
        <f t="shared" si="39"/>
        <v/>
      </c>
      <c r="I172" s="991" t="str">
        <f t="shared" si="39"/>
        <v/>
      </c>
      <c r="J172" s="991" t="str">
        <f t="shared" si="39"/>
        <v/>
      </c>
      <c r="K172" s="991" t="str">
        <f t="shared" si="39"/>
        <v/>
      </c>
      <c r="L172" s="991" t="str">
        <f t="shared" si="39"/>
        <v/>
      </c>
      <c r="M172" s="991" t="str">
        <f t="shared" si="39"/>
        <v/>
      </c>
      <c r="N172" s="991" t="str">
        <f t="shared" si="39"/>
        <v/>
      </c>
      <c r="O172" s="991" t="str">
        <f t="shared" si="39"/>
        <v/>
      </c>
      <c r="P172" s="998" t="e">
        <f t="shared" si="38"/>
        <v>#DIV/0!</v>
      </c>
      <c r="Q172" s="678"/>
      <c r="R172" s="783"/>
      <c r="S172" s="783"/>
      <c r="T172" s="783"/>
      <c r="U172" s="783"/>
      <c r="V172" s="783"/>
      <c r="W172" s="783"/>
      <c r="X172" s="783"/>
      <c r="Y172" s="783"/>
    </row>
    <row r="173" spans="1:25" hidden="1" x14ac:dyDescent="0.25">
      <c r="A173" s="670"/>
      <c r="B173" s="673" t="s">
        <v>13</v>
      </c>
      <c r="C173" s="674" t="s">
        <v>171</v>
      </c>
      <c r="D173" s="988" t="str">
        <f>IF(OR(REBANHO!E43=0,REBANHO!E43=""),"",(REBANHO!E43*REBANHO!E44)/14.689)</f>
        <v/>
      </c>
      <c r="E173" s="988" t="str">
        <f>IF(OR(REBANHO!F43=0,REBANHO!F43=""),"",(REBANHO!F43*REBANHO!F44)/14.689)</f>
        <v/>
      </c>
      <c r="F173" s="988" t="str">
        <f>IF(OR(REBANHO!G43=0,REBANHO!G43=""),"",(REBANHO!G43*REBANHO!G44)/14.689)</f>
        <v/>
      </c>
      <c r="G173" s="988" t="str">
        <f>IF(OR(REBANHO!H43=0,REBANHO!H43=""),"",(REBANHO!H43*REBANHO!H44)/14.689)</f>
        <v/>
      </c>
      <c r="H173" s="988" t="str">
        <f>IF(OR(REBANHO!I43=0,REBANHO!I43=""),"",(REBANHO!I43*REBANHO!I44)/14.689)</f>
        <v/>
      </c>
      <c r="I173" s="988" t="str">
        <f>IF(OR(REBANHO!J43=0,REBANHO!J43=""),"",(REBANHO!J43*REBANHO!J44)/14.689)</f>
        <v/>
      </c>
      <c r="J173" s="988" t="str">
        <f>IF(OR(REBANHO!K43=0,REBANHO!K43=""),"",(REBANHO!K43*REBANHO!K44)/14.689)</f>
        <v/>
      </c>
      <c r="K173" s="988" t="str">
        <f>IF(OR(REBANHO!L43=0,REBANHO!L43=""),"",(REBANHO!L43*REBANHO!L44)/14.689)</f>
        <v/>
      </c>
      <c r="L173" s="988" t="str">
        <f>IF(OR(REBANHO!M43=0,REBANHO!M43=""),"",(REBANHO!M43*REBANHO!M44)/14.689)</f>
        <v/>
      </c>
      <c r="M173" s="988" t="str">
        <f>IF(OR(REBANHO!N43=0,REBANHO!N43=""),"",(REBANHO!N43*REBANHO!N44)/14.689)</f>
        <v/>
      </c>
      <c r="N173" s="988" t="str">
        <f>IF(OR(REBANHO!O43=0,REBANHO!O43=""),"",(REBANHO!O43*REBANHO!O44)/14.689)</f>
        <v/>
      </c>
      <c r="O173" s="988" t="str">
        <f>IF(OR(REBANHO!P43=0,REBANHO!P43=""),"",(REBANHO!P43*REBANHO!P44)/14.689)</f>
        <v/>
      </c>
      <c r="P173" s="996" t="e">
        <f t="shared" si="38"/>
        <v>#DIV/0!</v>
      </c>
      <c r="Q173" s="678"/>
      <c r="R173" s="783"/>
      <c r="S173" s="783"/>
      <c r="T173" s="783"/>
      <c r="U173" s="783"/>
      <c r="V173" s="783"/>
      <c r="W173" s="783"/>
      <c r="X173" s="783"/>
      <c r="Y173" s="783"/>
    </row>
    <row r="174" spans="1:25" hidden="1" x14ac:dyDescent="0.25">
      <c r="A174" s="670"/>
      <c r="B174" s="679" t="s">
        <v>13</v>
      </c>
      <c r="C174" s="680" t="s">
        <v>172</v>
      </c>
      <c r="D174" s="746">
        <f>IF(OR(REBANHO!E45=0,REBANHO!E45=""),"",(REBANHO!E45*REBANHO!E45)/14.689)</f>
        <v>1277.758867179522</v>
      </c>
      <c r="E174" s="746">
        <f>IF(OR(REBANHO!F45=0,REBANHO!F45=""),"",(REBANHO!F45*REBANHO!F45)/14.689)</f>
        <v>1277.758867179522</v>
      </c>
      <c r="F174" s="746">
        <f>IF(OR(REBANHO!G45=0,REBANHO!G45=""),"",(REBANHO!G45*REBANHO!G45)/14.689)</f>
        <v>3791.6808496153585</v>
      </c>
      <c r="G174" s="746">
        <f>IF(OR(REBANHO!H45=0,REBANHO!H45=""),"",(REBANHO!H45*REBANHO!H45)/14.689)</f>
        <v>1046.7696916059635</v>
      </c>
      <c r="H174" s="746">
        <f>IF(OR(REBANHO!I45=0,REBANHO!I45=""),"",(REBANHO!I45*REBANHO!I45)/14.689)</f>
        <v>694.46524610252573</v>
      </c>
      <c r="I174" s="746">
        <f>IF(OR(REBANHO!J45=0,REBANHO!J45=""),"",(REBANHO!J45*REBANHO!J45)/14.689)</f>
        <v>694.46524610252573</v>
      </c>
      <c r="J174" s="746">
        <f>IF(OR(REBANHO!K45=0,REBANHO!K45=""),"",(REBANHO!K45*REBANHO!K45)/14.689)</f>
        <v>2061.134182040983</v>
      </c>
      <c r="K174" s="746">
        <f>IF(OR(REBANHO!L45=0,REBANHO!L45=""),"",(REBANHO!L45*REBANHO!L45)/14.689)</f>
        <v>2860.9844101027979</v>
      </c>
      <c r="L174" s="746" t="str">
        <f>IF(OR(REBANHO!M45=0,REBANHO!M45=""),"",(REBANHO!M45*REBANHO!M45)/14.689)</f>
        <v/>
      </c>
      <c r="M174" s="746" t="str">
        <f>IF(OR(REBANHO!N45=0,REBANHO!N45=""),"",(REBANHO!N45*REBANHO!N45)/14.689)</f>
        <v/>
      </c>
      <c r="N174" s="746" t="str">
        <f>IF(OR(REBANHO!O45=0,REBANHO!O45=""),"",(REBANHO!O45*REBANHO!O45)/14.689)</f>
        <v/>
      </c>
      <c r="O174" s="746" t="str">
        <f>IF(OR(REBANHO!P45=0,REBANHO!P45=""),"",(REBANHO!P45*REBANHO!P45)/14.689)</f>
        <v/>
      </c>
      <c r="P174" s="997">
        <f t="shared" si="38"/>
        <v>1713.1271699911497</v>
      </c>
      <c r="Q174" s="678"/>
      <c r="R174" s="783"/>
      <c r="S174" s="783"/>
      <c r="T174" s="783"/>
      <c r="U174" s="783"/>
      <c r="V174" s="783"/>
      <c r="W174" s="783"/>
      <c r="X174" s="783"/>
      <c r="Y174" s="783"/>
    </row>
    <row r="175" spans="1:25" ht="15.75" hidden="1" thickBot="1" x14ac:dyDescent="0.3">
      <c r="A175" s="670"/>
      <c r="B175" s="989" t="s">
        <v>13</v>
      </c>
      <c r="C175" s="990" t="s">
        <v>175</v>
      </c>
      <c r="D175" s="991">
        <f t="shared" ref="D175:O175" si="40">IF(AND(D173="",D174=""),"",SUM(D173:D174))</f>
        <v>1277.758867179522</v>
      </c>
      <c r="E175" s="991">
        <f t="shared" si="40"/>
        <v>1277.758867179522</v>
      </c>
      <c r="F175" s="991">
        <f t="shared" si="40"/>
        <v>3791.6808496153585</v>
      </c>
      <c r="G175" s="991">
        <f t="shared" si="40"/>
        <v>1046.7696916059635</v>
      </c>
      <c r="H175" s="991">
        <f t="shared" si="40"/>
        <v>694.46524610252573</v>
      </c>
      <c r="I175" s="991">
        <f t="shared" si="40"/>
        <v>694.46524610252573</v>
      </c>
      <c r="J175" s="991">
        <f t="shared" si="40"/>
        <v>2061.134182040983</v>
      </c>
      <c r="K175" s="991">
        <f t="shared" si="40"/>
        <v>2860.9844101027979</v>
      </c>
      <c r="L175" s="991" t="str">
        <f t="shared" si="40"/>
        <v/>
      </c>
      <c r="M175" s="991" t="str">
        <f t="shared" si="40"/>
        <v/>
      </c>
      <c r="N175" s="991" t="str">
        <f t="shared" si="40"/>
        <v/>
      </c>
      <c r="O175" s="991" t="str">
        <f t="shared" si="40"/>
        <v/>
      </c>
      <c r="P175" s="998">
        <f t="shared" si="38"/>
        <v>1713.1271699911497</v>
      </c>
      <c r="Q175" s="678"/>
      <c r="R175" s="783"/>
      <c r="S175" s="783"/>
      <c r="T175" s="783"/>
      <c r="U175" s="783"/>
      <c r="V175" s="783"/>
      <c r="W175" s="783"/>
      <c r="X175" s="783"/>
      <c r="Y175" s="783"/>
    </row>
    <row r="176" spans="1:25" hidden="1" x14ac:dyDescent="0.25">
      <c r="A176" s="670"/>
      <c r="B176" s="673" t="s">
        <v>14</v>
      </c>
      <c r="C176" s="674" t="s">
        <v>171</v>
      </c>
      <c r="D176" s="988" t="str">
        <f>IF(OR(REBANHO!E48=0,REBANHO!E48=""),"",(REBANHO!E48*REBANHO!E49)/14.689)</f>
        <v/>
      </c>
      <c r="E176" s="988" t="str">
        <f>IF(OR(REBANHO!F48=0,REBANHO!F48=""),"",(REBANHO!F48*REBANHO!F49)/14.689)</f>
        <v/>
      </c>
      <c r="F176" s="988" t="str">
        <f>IF(OR(REBANHO!G48=0,REBANHO!G48=""),"",(REBANHO!G48*REBANHO!G49)/14.689)</f>
        <v/>
      </c>
      <c r="G176" s="988" t="str">
        <f>IF(OR(REBANHO!H48=0,REBANHO!H48=""),"",(REBANHO!H48*REBANHO!H49)/14.689)</f>
        <v/>
      </c>
      <c r="H176" s="988" t="str">
        <f>IF(OR(REBANHO!I48=0,REBANHO!I48=""),"",(REBANHO!I48*REBANHO!I49)/14.689)</f>
        <v/>
      </c>
      <c r="I176" s="988" t="str">
        <f>IF(OR(REBANHO!J48=0,REBANHO!J48=""),"",(REBANHO!J48*REBANHO!J49)/14.689)</f>
        <v/>
      </c>
      <c r="J176" s="988" t="str">
        <f>IF(OR(REBANHO!K48=0,REBANHO!K48=""),"",(REBANHO!K48*REBANHO!K49)/14.689)</f>
        <v/>
      </c>
      <c r="K176" s="988" t="str">
        <f>IF(OR(REBANHO!L48=0,REBANHO!L48=""),"",(REBANHO!L48*REBANHO!L49)/14.689)</f>
        <v/>
      </c>
      <c r="L176" s="988" t="str">
        <f>IF(OR(REBANHO!M48=0,REBANHO!M48=""),"",(REBANHO!M48*REBANHO!M49)/14.689)</f>
        <v/>
      </c>
      <c r="M176" s="988" t="str">
        <f>IF(OR(REBANHO!N48=0,REBANHO!N48=""),"",(REBANHO!N48*REBANHO!N49)/14.689)</f>
        <v/>
      </c>
      <c r="N176" s="988" t="str">
        <f>IF(OR(REBANHO!O48=0,REBANHO!O48=""),"",(REBANHO!O48*REBANHO!O49)/14.689)</f>
        <v/>
      </c>
      <c r="O176" s="988" t="str">
        <f>IF(OR(REBANHO!P48=0,REBANHO!P48=""),"",(REBANHO!P48*REBANHO!P49)/14.689)</f>
        <v/>
      </c>
      <c r="P176" s="996" t="e">
        <f t="shared" si="38"/>
        <v>#DIV/0!</v>
      </c>
      <c r="Q176" s="678"/>
      <c r="R176" s="783"/>
      <c r="S176" s="783"/>
      <c r="T176" s="783"/>
      <c r="U176" s="783"/>
      <c r="V176" s="783"/>
      <c r="W176" s="783"/>
      <c r="X176" s="783"/>
      <c r="Y176" s="783"/>
    </row>
    <row r="177" spans="1:26" hidden="1" x14ac:dyDescent="0.25">
      <c r="A177" s="670"/>
      <c r="B177" s="679" t="s">
        <v>14</v>
      </c>
      <c r="C177" s="680" t="s">
        <v>172</v>
      </c>
      <c r="D177" s="746" t="str">
        <f>IF(OR(REBANHO!E50=0,REBANHO!E50=""),"",(REBANHO!E50*REBANHO!E51)/14.689)</f>
        <v/>
      </c>
      <c r="E177" s="746" t="str">
        <f>IF(OR(REBANHO!F50=0,REBANHO!F50=""),"",(REBANHO!F50*REBANHO!F51)/14.689)</f>
        <v/>
      </c>
      <c r="F177" s="746" t="str">
        <f>IF(OR(REBANHO!G50=0,REBANHO!G50=""),"",(REBANHO!G50*REBANHO!G51)/14.689)</f>
        <v/>
      </c>
      <c r="G177" s="746">
        <f>IF(OR(REBANHO!H50=0,REBANHO!H50=""),"",(REBANHO!H50*REBANHO!H51)/14.689)</f>
        <v>3408.0604534005038</v>
      </c>
      <c r="H177" s="746">
        <f>IF(OR(REBANHO!I50=0,REBANHO!I50=""),"",(REBANHO!I50*REBANHO!I51)/14.689)</f>
        <v>4114.2351419429506</v>
      </c>
      <c r="I177" s="746">
        <f>IF(OR(REBANHO!J50=0,REBANHO!J50=""),"",(REBANHO!J50*REBANHO!J51)/14.689)</f>
        <v>4114.2351419429506</v>
      </c>
      <c r="J177" s="746">
        <f>IF(OR(REBANHO!K50=0,REBANHO!K50=""),"",(REBANHO!K50*REBANHO!K51)/14.689)</f>
        <v>706.17468854244669</v>
      </c>
      <c r="K177" s="746">
        <f>IF(OR(REBANHO!L50=0,REBANHO!L50=""),"",(REBANHO!L50*REBANHO!L51)/14.689)</f>
        <v>706.17468854244669</v>
      </c>
      <c r="L177" s="746" t="str">
        <f>IF(OR(REBANHO!M50=0,REBANHO!M50=""),"",(REBANHO!M50*REBANHO!M51)/14.689)</f>
        <v/>
      </c>
      <c r="M177" s="746" t="str">
        <f>IF(OR(REBANHO!N50=0,REBANHO!N50=""),"",(REBANHO!N50*REBANHO!N51)/14.689)</f>
        <v/>
      </c>
      <c r="N177" s="746" t="str">
        <f>IF(OR(REBANHO!O50=0,REBANHO!O50=""),"",(REBANHO!O50*REBANHO!O51)/14.689)</f>
        <v/>
      </c>
      <c r="O177" s="746" t="str">
        <f>IF(OR(REBANHO!P50=0,REBANHO!P50=""),"",(REBANHO!P50*REBANHO!P51)/14.689)</f>
        <v/>
      </c>
      <c r="P177" s="997">
        <f t="shared" si="38"/>
        <v>2609.77602287426</v>
      </c>
      <c r="Q177" s="678"/>
      <c r="R177" s="783"/>
      <c r="S177" s="783"/>
      <c r="T177" s="783"/>
      <c r="U177" s="783"/>
      <c r="V177" s="783"/>
      <c r="W177" s="783"/>
      <c r="X177" s="783"/>
      <c r="Y177" s="783"/>
    </row>
    <row r="178" spans="1:26" ht="15.75" hidden="1" thickBot="1" x14ac:dyDescent="0.3">
      <c r="A178" s="670"/>
      <c r="B178" s="989" t="s">
        <v>14</v>
      </c>
      <c r="C178" s="990" t="s">
        <v>175</v>
      </c>
      <c r="D178" s="991" t="str">
        <f t="shared" ref="D178:O178" si="41">IF(AND(D176="",D177=""),"",SUM(D176:D177))</f>
        <v/>
      </c>
      <c r="E178" s="991" t="str">
        <f t="shared" si="41"/>
        <v/>
      </c>
      <c r="F178" s="991" t="str">
        <f t="shared" si="41"/>
        <v/>
      </c>
      <c r="G178" s="991">
        <f t="shared" si="41"/>
        <v>3408.0604534005038</v>
      </c>
      <c r="H178" s="991">
        <f t="shared" si="41"/>
        <v>4114.2351419429506</v>
      </c>
      <c r="I178" s="991">
        <f t="shared" si="41"/>
        <v>4114.2351419429506</v>
      </c>
      <c r="J178" s="991">
        <f t="shared" si="41"/>
        <v>706.17468854244669</v>
      </c>
      <c r="K178" s="991">
        <f t="shared" si="41"/>
        <v>706.17468854244669</v>
      </c>
      <c r="L178" s="991" t="str">
        <f t="shared" si="41"/>
        <v/>
      </c>
      <c r="M178" s="991" t="str">
        <f t="shared" si="41"/>
        <v/>
      </c>
      <c r="N178" s="991" t="str">
        <f t="shared" si="41"/>
        <v/>
      </c>
      <c r="O178" s="991" t="str">
        <f t="shared" si="41"/>
        <v/>
      </c>
      <c r="P178" s="998">
        <f t="shared" si="38"/>
        <v>2609.77602287426</v>
      </c>
      <c r="Q178" s="678"/>
      <c r="R178" s="783"/>
      <c r="S178" s="783"/>
      <c r="T178" s="783"/>
      <c r="U178" s="783"/>
      <c r="V178" s="783"/>
      <c r="W178" s="783"/>
      <c r="X178" s="783"/>
      <c r="Y178" s="783"/>
    </row>
    <row r="179" spans="1:26" hidden="1" x14ac:dyDescent="0.25">
      <c r="A179" s="670"/>
      <c r="B179" s="673" t="s">
        <v>105</v>
      </c>
      <c r="C179" s="674" t="s">
        <v>171</v>
      </c>
      <c r="D179" s="988" t="str">
        <f>IF(OR(REBANHO!E53=0,REBANHO!E53=""),"",(REBANHO!E53*REBANHO!E54)/14.689)</f>
        <v/>
      </c>
      <c r="E179" s="988" t="str">
        <f>IF(OR(REBANHO!F53=0,REBANHO!F53=""),"",(REBANHO!F53*REBANHO!F54)/14.689)</f>
        <v/>
      </c>
      <c r="F179" s="988" t="str">
        <f>IF(OR(REBANHO!G53=0,REBANHO!G53=""),"",(REBANHO!G53*REBANHO!G54)/14.689)</f>
        <v/>
      </c>
      <c r="G179" s="988" t="str">
        <f>IF(OR(REBANHO!H53=0,REBANHO!H53=""),"",(REBANHO!H53*REBANHO!H54)/14.689)</f>
        <v/>
      </c>
      <c r="H179" s="988" t="str">
        <f>IF(OR(REBANHO!I53=0,REBANHO!I53=""),"",(REBANHO!I53*REBANHO!I54)/14.689)</f>
        <v/>
      </c>
      <c r="I179" s="988" t="str">
        <f>IF(OR(REBANHO!J53=0,REBANHO!J53=""),"",(REBANHO!J53*REBANHO!J54)/14.689)</f>
        <v/>
      </c>
      <c r="J179" s="988" t="str">
        <f>IF(OR(REBANHO!K53=0,REBANHO!K53=""),"",(REBANHO!K53*REBANHO!K54)/14.689)</f>
        <v/>
      </c>
      <c r="K179" s="988" t="str">
        <f>IF(OR(REBANHO!L53=0,REBANHO!L53=""),"",(REBANHO!L53*REBANHO!L54)/14.689)</f>
        <v/>
      </c>
      <c r="L179" s="988" t="str">
        <f>IF(OR(REBANHO!M53=0,REBANHO!M53=""),"",(REBANHO!M53*REBANHO!M54)/14.689)</f>
        <v/>
      </c>
      <c r="M179" s="988" t="str">
        <f>IF(OR(REBANHO!N53=0,REBANHO!N53=""),"",(REBANHO!N53*REBANHO!N54)/14.689)</f>
        <v/>
      </c>
      <c r="N179" s="988" t="str">
        <f>IF(OR(REBANHO!O53=0,REBANHO!O53=""),"",(REBANHO!O53*REBANHO!O54)/14.689)</f>
        <v/>
      </c>
      <c r="O179" s="988" t="str">
        <f>IF(OR(REBANHO!P53=0,REBANHO!P53=""),"",(REBANHO!P53*REBANHO!P54)/14.689)</f>
        <v/>
      </c>
      <c r="P179" s="996" t="e">
        <f t="shared" si="38"/>
        <v>#DIV/0!</v>
      </c>
      <c r="Q179" s="678"/>
      <c r="R179" s="783"/>
      <c r="S179" s="783"/>
      <c r="T179" s="783"/>
      <c r="U179" s="783"/>
      <c r="V179" s="783"/>
      <c r="W179" s="783"/>
      <c r="X179" s="783"/>
      <c r="Y179" s="783"/>
    </row>
    <row r="180" spans="1:26" hidden="1" x14ac:dyDescent="0.25">
      <c r="A180" s="670"/>
      <c r="B180" s="679" t="s">
        <v>106</v>
      </c>
      <c r="C180" s="680" t="s">
        <v>172</v>
      </c>
      <c r="D180" s="746">
        <f>IF(OR(REBANHO!E55=0,REBANHO!E55=""),"",(REBANHO!E55*REBANHO!E56)/14.689)</f>
        <v>40.846892232282663</v>
      </c>
      <c r="E180" s="746">
        <f>IF(OR(REBANHO!F55=0,REBANHO!F55=""),"",(REBANHO!F55*REBANHO!F56)/14.689)</f>
        <v>40.846892232282663</v>
      </c>
      <c r="F180" s="746">
        <f>IF(OR(REBANHO!G55=0,REBANHO!G55=""),"",(REBANHO!G55*REBANHO!G56)/14.689)</f>
        <v>40.846892232282663</v>
      </c>
      <c r="G180" s="746">
        <f>IF(OR(REBANHO!H55=0,REBANHO!H55=""),"",(REBANHO!H55*REBANHO!H56)/14.689)</f>
        <v>40.846892232282663</v>
      </c>
      <c r="H180" s="746">
        <f>IF(OR(REBANHO!I55=0,REBANHO!I55=""),"",(REBANHO!I55*REBANHO!I56)/14.689)</f>
        <v>40.846892232282663</v>
      </c>
      <c r="I180" s="746">
        <f>IF(OR(REBANHO!J55=0,REBANHO!J55=""),"",(REBANHO!J55*REBANHO!J56)/14.689)</f>
        <v>40.846892232282663</v>
      </c>
      <c r="J180" s="746">
        <f>IF(OR(REBANHO!K55=0,REBANHO!K55=""),"",(REBANHO!K55*REBANHO!K56)/14.689)</f>
        <v>41.255361154605488</v>
      </c>
      <c r="K180" s="746">
        <f>IF(OR(REBANHO!L55=0,REBANHO!L55=""),"",(REBANHO!L55*REBANHO!L56)/14.689)</f>
        <v>41.255361154605488</v>
      </c>
      <c r="L180" s="746" t="str">
        <f>IF(OR(REBANHO!M55=0,REBANHO!M55=""),"",(REBANHO!M55*REBANHO!M56)/14.689)</f>
        <v/>
      </c>
      <c r="M180" s="746" t="str">
        <f>IF(OR(REBANHO!N55=0,REBANHO!N55=""),"",(REBANHO!N55*REBANHO!N56)/14.689)</f>
        <v/>
      </c>
      <c r="N180" s="746" t="str">
        <f>IF(OR(REBANHO!O55=0,REBANHO!O55=""),"",(REBANHO!O55*REBANHO!O56)/14.689)</f>
        <v/>
      </c>
      <c r="O180" s="746" t="str">
        <f>IF(OR(REBANHO!P55=0,REBANHO!P55=""),"",(REBANHO!P55*REBANHO!P56)/14.689)</f>
        <v/>
      </c>
      <c r="P180" s="997">
        <f t="shared" si="38"/>
        <v>40.949009462863373</v>
      </c>
      <c r="Q180" s="678"/>
      <c r="R180" s="783"/>
      <c r="S180" s="783"/>
      <c r="T180" s="783"/>
      <c r="U180" s="783"/>
      <c r="V180" s="783"/>
      <c r="W180" s="783"/>
      <c r="X180" s="783"/>
      <c r="Y180" s="783"/>
    </row>
    <row r="181" spans="1:26" ht="15.75" hidden="1" thickBot="1" x14ac:dyDescent="0.3">
      <c r="A181" s="670"/>
      <c r="B181" s="992" t="s">
        <v>237</v>
      </c>
      <c r="C181" s="993" t="s">
        <v>175</v>
      </c>
      <c r="D181" s="991">
        <f>IF(AND(D179="",D180=""),"",SUM(D179:D180))</f>
        <v>40.846892232282663</v>
      </c>
      <c r="E181" s="991">
        <f t="shared" ref="E181:O181" si="42">IF(AND(E179="",E180=""),"",SUM(E179:E180))</f>
        <v>40.846892232282663</v>
      </c>
      <c r="F181" s="991">
        <f t="shared" si="42"/>
        <v>40.846892232282663</v>
      </c>
      <c r="G181" s="991">
        <f t="shared" si="42"/>
        <v>40.846892232282663</v>
      </c>
      <c r="H181" s="991">
        <f t="shared" si="42"/>
        <v>40.846892232282663</v>
      </c>
      <c r="I181" s="991">
        <f t="shared" si="42"/>
        <v>40.846892232282663</v>
      </c>
      <c r="J181" s="991">
        <f t="shared" si="42"/>
        <v>41.255361154605488</v>
      </c>
      <c r="K181" s="991">
        <f t="shared" si="42"/>
        <v>41.255361154605488</v>
      </c>
      <c r="L181" s="991" t="str">
        <f t="shared" si="42"/>
        <v/>
      </c>
      <c r="M181" s="991" t="str">
        <f t="shared" si="42"/>
        <v/>
      </c>
      <c r="N181" s="991" t="str">
        <f t="shared" si="42"/>
        <v/>
      </c>
      <c r="O181" s="991" t="str">
        <f t="shared" si="42"/>
        <v/>
      </c>
      <c r="P181" s="999">
        <f t="shared" si="38"/>
        <v>40.949009462863373</v>
      </c>
      <c r="Q181" s="678"/>
      <c r="R181" s="783"/>
      <c r="S181" s="783"/>
      <c r="T181" s="783"/>
      <c r="U181" s="783"/>
      <c r="V181" s="783"/>
      <c r="W181" s="783"/>
      <c r="X181" s="783"/>
      <c r="Y181" s="783"/>
    </row>
    <row r="182" spans="1:26" ht="15.75" hidden="1" thickBot="1" x14ac:dyDescent="0.3">
      <c r="A182" s="670"/>
      <c r="B182" s="994" t="s">
        <v>248</v>
      </c>
      <c r="C182" s="995"/>
      <c r="D182" s="991">
        <f>SUM(D172,D175,D178,D181)</f>
        <v>1318.6057594118047</v>
      </c>
      <c r="E182" s="991">
        <f t="shared" ref="E182:O182" si="43">SUM(E172,E175,E178,E181)</f>
        <v>1318.6057594118047</v>
      </c>
      <c r="F182" s="991">
        <f t="shared" si="43"/>
        <v>3832.5277418476412</v>
      </c>
      <c r="G182" s="991">
        <f t="shared" si="43"/>
        <v>4495.67703723875</v>
      </c>
      <c r="H182" s="991">
        <f t="shared" si="43"/>
        <v>4849.5472802777585</v>
      </c>
      <c r="I182" s="991">
        <f t="shared" si="43"/>
        <v>4849.5472802777585</v>
      </c>
      <c r="J182" s="991">
        <f t="shared" si="43"/>
        <v>2808.5642317380352</v>
      </c>
      <c r="K182" s="991">
        <f t="shared" si="43"/>
        <v>3608.4144597998502</v>
      </c>
      <c r="L182" s="991">
        <f t="shared" si="43"/>
        <v>0</v>
      </c>
      <c r="M182" s="991">
        <f t="shared" si="43"/>
        <v>0</v>
      </c>
      <c r="N182" s="991">
        <f t="shared" si="43"/>
        <v>0</v>
      </c>
      <c r="O182" s="991">
        <f t="shared" si="43"/>
        <v>0</v>
      </c>
      <c r="P182" s="1000">
        <f t="shared" si="38"/>
        <v>2256.7907958336168</v>
      </c>
      <c r="Q182" s="678"/>
      <c r="R182" s="783"/>
      <c r="S182" s="783"/>
      <c r="T182" s="783"/>
      <c r="U182" s="783"/>
      <c r="V182" s="783"/>
      <c r="W182" s="783"/>
      <c r="X182" s="783"/>
      <c r="Y182" s="783"/>
    </row>
    <row r="183" spans="1:26" hidden="1" x14ac:dyDescent="0.25">
      <c r="A183" s="670"/>
      <c r="B183" s="224"/>
      <c r="C183" s="228"/>
      <c r="D183" s="986"/>
      <c r="E183" s="986"/>
      <c r="F183" s="986"/>
      <c r="G183" s="986"/>
      <c r="H183" s="986"/>
      <c r="I183" s="986"/>
      <c r="J183" s="986"/>
      <c r="K183" s="986"/>
      <c r="L183" s="986"/>
      <c r="M183" s="986"/>
      <c r="N183" s="986"/>
      <c r="O183" s="986"/>
      <c r="P183" s="987"/>
      <c r="Q183" s="678"/>
      <c r="R183" s="783"/>
      <c r="S183" s="783"/>
      <c r="T183" s="783"/>
      <c r="U183" s="783"/>
      <c r="V183" s="783"/>
      <c r="W183" s="783"/>
      <c r="X183" s="783"/>
      <c r="Y183" s="783"/>
    </row>
    <row r="184" spans="1:26" ht="15.75" hidden="1" thickBot="1" x14ac:dyDescent="0.3">
      <c r="A184" s="701"/>
      <c r="B184" s="702"/>
      <c r="C184" s="702"/>
      <c r="D184" s="703"/>
      <c r="E184" s="703"/>
      <c r="F184" s="703"/>
      <c r="G184" s="703"/>
      <c r="H184" s="703"/>
      <c r="I184" s="703"/>
      <c r="J184" s="703"/>
      <c r="K184" s="703"/>
      <c r="L184" s="703"/>
      <c r="M184" s="703"/>
      <c r="N184" s="703"/>
      <c r="O184" s="703"/>
      <c r="P184" s="703"/>
      <c r="Q184" s="704"/>
      <c r="R184" s="783"/>
      <c r="S184" s="783"/>
      <c r="T184" s="783"/>
      <c r="U184" s="783"/>
      <c r="V184" s="783"/>
      <c r="W184" s="783"/>
      <c r="X184" s="783"/>
      <c r="Y184" s="783"/>
      <c r="Z184" s="783"/>
    </row>
    <row r="185" spans="1:26" ht="15.75" hidden="1" thickTop="1" x14ac:dyDescent="0.25">
      <c r="D185" s="227"/>
      <c r="E185" s="227"/>
      <c r="F185" s="227"/>
      <c r="G185" s="227"/>
      <c r="H185" s="227"/>
      <c r="I185" s="227"/>
      <c r="J185" s="227"/>
      <c r="K185" s="227"/>
      <c r="L185" s="227"/>
      <c r="M185" s="227"/>
      <c r="N185" s="227"/>
      <c r="O185" s="227"/>
      <c r="P185" s="227"/>
      <c r="Q185" s="326"/>
      <c r="R185" s="783"/>
      <c r="S185" s="783"/>
      <c r="T185" s="783"/>
      <c r="U185" s="783"/>
      <c r="V185" s="783"/>
      <c r="W185" s="783"/>
      <c r="X185" s="783"/>
      <c r="Y185" s="783"/>
      <c r="Z185" s="783"/>
    </row>
    <row r="186" spans="1:26" ht="15.75" hidden="1" thickBot="1" x14ac:dyDescent="0.3">
      <c r="D186" s="227"/>
      <c r="E186" s="227"/>
      <c r="F186" s="227"/>
      <c r="G186" s="227"/>
      <c r="H186" s="227"/>
      <c r="I186" s="227"/>
      <c r="J186" s="227"/>
      <c r="K186" s="227"/>
      <c r="L186" s="227"/>
      <c r="M186" s="227"/>
      <c r="N186" s="227"/>
      <c r="O186" s="227"/>
      <c r="P186" s="227"/>
      <c r="Q186" s="326"/>
      <c r="R186" s="783"/>
      <c r="S186" s="783"/>
      <c r="T186" s="783"/>
      <c r="U186" s="783"/>
      <c r="V186" s="783"/>
      <c r="W186" s="783"/>
      <c r="X186" s="783"/>
      <c r="Y186" s="783"/>
      <c r="Z186" s="783"/>
    </row>
    <row r="187" spans="1:26" ht="16.5" hidden="1" thickTop="1" thickBot="1" x14ac:dyDescent="0.3">
      <c r="A187" s="665"/>
      <c r="B187" s="974" t="s">
        <v>125</v>
      </c>
      <c r="C187" s="942"/>
      <c r="D187" s="943"/>
      <c r="E187" s="943"/>
      <c r="F187" s="943"/>
      <c r="G187" s="943"/>
      <c r="H187" s="943"/>
      <c r="I187" s="943"/>
      <c r="J187" s="943"/>
      <c r="K187" s="943"/>
      <c r="L187" s="943"/>
      <c r="M187" s="943"/>
      <c r="N187" s="943"/>
      <c r="O187" s="943"/>
      <c r="P187" s="943"/>
      <c r="Q187" s="705"/>
      <c r="R187" s="783"/>
      <c r="S187" s="783"/>
      <c r="T187" s="783"/>
      <c r="U187" s="783"/>
      <c r="V187" s="783"/>
      <c r="W187" s="783"/>
      <c r="X187" s="783"/>
      <c r="Y187" s="783"/>
      <c r="Z187" s="783"/>
    </row>
    <row r="188" spans="1:26" ht="15.75" hidden="1" thickTop="1" x14ac:dyDescent="0.25">
      <c r="A188" s="665"/>
      <c r="B188" s="941" t="s">
        <v>170</v>
      </c>
      <c r="C188" s="942" t="s">
        <v>472</v>
      </c>
      <c r="D188" s="943"/>
      <c r="E188" s="943"/>
      <c r="F188" s="943"/>
      <c r="G188" s="943"/>
      <c r="H188" s="943"/>
      <c r="I188" s="943"/>
      <c r="J188" s="943"/>
      <c r="K188" s="943"/>
      <c r="L188" s="943"/>
      <c r="M188" s="943"/>
      <c r="N188" s="943"/>
      <c r="O188" s="943"/>
      <c r="P188" s="943" t="s">
        <v>17</v>
      </c>
      <c r="Q188" s="705"/>
      <c r="R188" s="783"/>
      <c r="S188" s="783"/>
      <c r="T188" s="783"/>
      <c r="U188" s="783"/>
      <c r="V188" s="783"/>
      <c r="W188" s="783"/>
      <c r="X188" s="783"/>
      <c r="Y188" s="783"/>
      <c r="Z188" s="783"/>
    </row>
    <row r="189" spans="1:26" hidden="1" x14ac:dyDescent="0.25">
      <c r="A189" s="670"/>
      <c r="B189" s="224" t="s">
        <v>12</v>
      </c>
      <c r="C189" s="653">
        <f>P189+P202</f>
        <v>0</v>
      </c>
      <c r="D189" s="228">
        <f>ENTRADAS!D8</f>
        <v>0</v>
      </c>
      <c r="E189" s="228">
        <f>ENTRADAS!E8</f>
        <v>0</v>
      </c>
      <c r="F189" s="228">
        <f>ENTRADAS!F8</f>
        <v>0</v>
      </c>
      <c r="G189" s="228">
        <f>ENTRADAS!G8</f>
        <v>0</v>
      </c>
      <c r="H189" s="228">
        <f>ENTRADAS!H8</f>
        <v>0</v>
      </c>
      <c r="I189" s="228">
        <f>ENTRADAS!I8</f>
        <v>0</v>
      </c>
      <c r="J189" s="228">
        <f>ENTRADAS!J8</f>
        <v>0</v>
      </c>
      <c r="K189" s="228">
        <f>ENTRADAS!K8</f>
        <v>0</v>
      </c>
      <c r="L189" s="228">
        <f>ENTRADAS!L8</f>
        <v>0</v>
      </c>
      <c r="M189" s="228">
        <f>ENTRADAS!M8</f>
        <v>0</v>
      </c>
      <c r="N189" s="228">
        <f>ENTRADAS!N8</f>
        <v>0</v>
      </c>
      <c r="O189" s="228">
        <f>ENTRADAS!O8</f>
        <v>0</v>
      </c>
      <c r="P189" s="228">
        <f>SUM(D189:O189)</f>
        <v>0</v>
      </c>
      <c r="Q189" s="706"/>
      <c r="R189" s="783"/>
      <c r="S189" s="783"/>
      <c r="T189" s="783"/>
      <c r="U189" s="783"/>
      <c r="V189" s="783"/>
      <c r="W189" s="783"/>
      <c r="X189" s="783"/>
      <c r="Y189" s="783"/>
      <c r="Z189" s="783"/>
    </row>
    <row r="190" spans="1:26" hidden="1" x14ac:dyDescent="0.25">
      <c r="A190" s="670"/>
      <c r="B190" s="224" t="s">
        <v>13</v>
      </c>
      <c r="C190" s="653">
        <f>P190+P203</f>
        <v>1</v>
      </c>
      <c r="D190" s="228">
        <f>ENTRADAS!D12</f>
        <v>0</v>
      </c>
      <c r="E190" s="228">
        <f>ENTRADAS!E12</f>
        <v>0</v>
      </c>
      <c r="F190" s="228">
        <f>ENTRADAS!F12</f>
        <v>0</v>
      </c>
      <c r="G190" s="228">
        <f>ENTRADAS!G12</f>
        <v>1</v>
      </c>
      <c r="H190" s="228">
        <f>ENTRADAS!H12</f>
        <v>0</v>
      </c>
      <c r="I190" s="228">
        <f>ENTRADAS!I12</f>
        <v>0</v>
      </c>
      <c r="J190" s="228">
        <f>ENTRADAS!J12</f>
        <v>0</v>
      </c>
      <c r="K190" s="228">
        <f>ENTRADAS!K12</f>
        <v>0</v>
      </c>
      <c r="L190" s="228">
        <f>ENTRADAS!L12</f>
        <v>0</v>
      </c>
      <c r="M190" s="228">
        <f>ENTRADAS!M12</f>
        <v>0</v>
      </c>
      <c r="N190" s="228">
        <f>ENTRADAS!N12</f>
        <v>0</v>
      </c>
      <c r="O190" s="228">
        <f>ENTRADAS!O12</f>
        <v>0</v>
      </c>
      <c r="P190" s="228">
        <f>SUM(D190:O190)</f>
        <v>1</v>
      </c>
      <c r="Q190" s="706"/>
      <c r="R190" s="783"/>
      <c r="S190" s="783"/>
      <c r="T190" s="783"/>
      <c r="U190" s="783"/>
      <c r="V190" s="783"/>
      <c r="W190" s="783"/>
      <c r="X190" s="783"/>
      <c r="Y190" s="783"/>
      <c r="Z190" s="783"/>
    </row>
    <row r="191" spans="1:26" hidden="1" x14ac:dyDescent="0.25">
      <c r="A191" s="670"/>
      <c r="B191" s="224" t="s">
        <v>14</v>
      </c>
      <c r="C191" s="653">
        <f>P191+P197+P204</f>
        <v>111</v>
      </c>
      <c r="D191" s="228">
        <f>ENTRADAS!D16</f>
        <v>0</v>
      </c>
      <c r="E191" s="228">
        <f>ENTRADAS!E16</f>
        <v>0</v>
      </c>
      <c r="F191" s="228">
        <f>ENTRADAS!F16</f>
        <v>0</v>
      </c>
      <c r="G191" s="228">
        <f>ENTRADAS!G16</f>
        <v>0</v>
      </c>
      <c r="H191" s="228">
        <f>ENTRADAS!H16</f>
        <v>0</v>
      </c>
      <c r="I191" s="228">
        <f>ENTRADAS!I16</f>
        <v>0</v>
      </c>
      <c r="J191" s="228">
        <f>ENTRADAS!J16</f>
        <v>0</v>
      </c>
      <c r="K191" s="228">
        <f>ENTRADAS!K16</f>
        <v>0</v>
      </c>
      <c r="L191" s="228">
        <f>ENTRADAS!L16</f>
        <v>0</v>
      </c>
      <c r="M191" s="228">
        <f>ENTRADAS!M16</f>
        <v>0</v>
      </c>
      <c r="N191" s="228">
        <f>ENTRADAS!N16</f>
        <v>0</v>
      </c>
      <c r="O191" s="228">
        <f>ENTRADAS!O16</f>
        <v>0</v>
      </c>
      <c r="P191" s="228">
        <f>SUM(D191:O191)</f>
        <v>0</v>
      </c>
      <c r="Q191" s="706"/>
      <c r="R191" s="783"/>
      <c r="S191" s="783"/>
      <c r="T191" s="783"/>
      <c r="U191" s="783"/>
      <c r="V191" s="783"/>
      <c r="W191" s="783"/>
      <c r="X191" s="783"/>
      <c r="Y191" s="783"/>
      <c r="Z191" s="783"/>
    </row>
    <row r="192" spans="1:26" hidden="1" x14ac:dyDescent="0.25">
      <c r="A192" s="670"/>
      <c r="B192" s="224" t="s">
        <v>105</v>
      </c>
      <c r="C192" s="653"/>
      <c r="D192" s="228">
        <f>ENTRADAS!D20</f>
        <v>0</v>
      </c>
      <c r="E192" s="228">
        <f>ENTRADAS!E20</f>
        <v>0</v>
      </c>
      <c r="F192" s="228">
        <f>ENTRADAS!F20</f>
        <v>0</v>
      </c>
      <c r="G192" s="228">
        <f>ENTRADAS!G20</f>
        <v>0</v>
      </c>
      <c r="H192" s="228">
        <f>ENTRADAS!H20</f>
        <v>0</v>
      </c>
      <c r="I192" s="228">
        <f>ENTRADAS!I20</f>
        <v>0</v>
      </c>
      <c r="J192" s="228">
        <f>ENTRADAS!J20</f>
        <v>0</v>
      </c>
      <c r="K192" s="228">
        <f>ENTRADAS!K20</f>
        <v>0</v>
      </c>
      <c r="L192" s="228">
        <f>ENTRADAS!L20</f>
        <v>0</v>
      </c>
      <c r="M192" s="228">
        <f>ENTRADAS!M20</f>
        <v>0</v>
      </c>
      <c r="N192" s="228">
        <f>ENTRADAS!N20</f>
        <v>0</v>
      </c>
      <c r="O192" s="228">
        <f>ENTRADAS!O20</f>
        <v>0</v>
      </c>
      <c r="P192" s="228">
        <f>SUM(D192:O192)</f>
        <v>0</v>
      </c>
      <c r="Q192" s="706"/>
      <c r="R192" s="783"/>
      <c r="S192" s="783"/>
      <c r="T192" s="783"/>
      <c r="U192" s="783"/>
      <c r="V192" s="783"/>
      <c r="W192" s="783"/>
      <c r="X192" s="783"/>
      <c r="Y192" s="783"/>
      <c r="Z192" s="783"/>
    </row>
    <row r="193" spans="1:26" hidden="1" x14ac:dyDescent="0.25">
      <c r="A193" s="670"/>
      <c r="B193" s="224" t="s">
        <v>106</v>
      </c>
      <c r="C193" s="653">
        <f>P192+P193+P198+P199+P205</f>
        <v>0</v>
      </c>
      <c r="D193" s="228">
        <f>ENTRADAS!D24</f>
        <v>0</v>
      </c>
      <c r="E193" s="228">
        <f>ENTRADAS!E24</f>
        <v>0</v>
      </c>
      <c r="F193" s="228">
        <f>ENTRADAS!F24</f>
        <v>0</v>
      </c>
      <c r="G193" s="228">
        <f>ENTRADAS!G24</f>
        <v>0</v>
      </c>
      <c r="H193" s="228">
        <f>ENTRADAS!H24</f>
        <v>0</v>
      </c>
      <c r="I193" s="228">
        <f>ENTRADAS!I24</f>
        <v>0</v>
      </c>
      <c r="J193" s="228">
        <f>ENTRADAS!J24</f>
        <v>0</v>
      </c>
      <c r="K193" s="228">
        <f>ENTRADAS!K24</f>
        <v>0</v>
      </c>
      <c r="L193" s="228">
        <f>ENTRADAS!L24</f>
        <v>0</v>
      </c>
      <c r="M193" s="228">
        <f>ENTRADAS!M24</f>
        <v>0</v>
      </c>
      <c r="N193" s="228">
        <f>ENTRADAS!N24</f>
        <v>0</v>
      </c>
      <c r="O193" s="228">
        <f>ENTRADAS!O24</f>
        <v>0</v>
      </c>
      <c r="P193" s="228">
        <f>SUM(D193:O193)</f>
        <v>0</v>
      </c>
      <c r="Q193" s="706"/>
      <c r="R193" s="783"/>
      <c r="S193" s="783"/>
      <c r="T193" s="783"/>
      <c r="U193" s="783"/>
      <c r="V193" s="783"/>
      <c r="W193" s="783"/>
      <c r="X193" s="783"/>
      <c r="Y193" s="783"/>
      <c r="Z193" s="783"/>
    </row>
    <row r="194" spans="1:26" hidden="1" x14ac:dyDescent="0.25">
      <c r="A194" s="670"/>
      <c r="B194" s="224"/>
      <c r="C194" s="653">
        <f>SUM(C189:C193)</f>
        <v>112</v>
      </c>
      <c r="D194" s="228"/>
      <c r="E194" s="228"/>
      <c r="F194" s="228"/>
      <c r="G194" s="228"/>
      <c r="H194" s="228"/>
      <c r="I194" s="228"/>
      <c r="J194" s="228"/>
      <c r="K194" s="228"/>
      <c r="L194" s="228"/>
      <c r="M194" s="228"/>
      <c r="N194" s="228"/>
      <c r="O194" s="228"/>
      <c r="P194" s="228"/>
      <c r="Q194" s="706"/>
      <c r="R194" s="783"/>
      <c r="S194" s="783"/>
      <c r="T194" s="783"/>
      <c r="U194" s="783"/>
      <c r="V194" s="783"/>
      <c r="W194" s="783"/>
      <c r="X194" s="783"/>
      <c r="Y194" s="783"/>
      <c r="Z194" s="783"/>
    </row>
    <row r="195" spans="1:26" hidden="1" x14ac:dyDescent="0.25">
      <c r="A195" s="670"/>
      <c r="B195" s="224"/>
      <c r="C195" s="653"/>
      <c r="D195" s="228"/>
      <c r="E195" s="228"/>
      <c r="F195" s="228"/>
      <c r="G195" s="228"/>
      <c r="H195" s="228"/>
      <c r="I195" s="228"/>
      <c r="J195" s="228"/>
      <c r="K195" s="228"/>
      <c r="L195" s="228"/>
      <c r="M195" s="228"/>
      <c r="N195" s="228"/>
      <c r="O195" s="228"/>
      <c r="P195" s="228"/>
      <c r="Q195" s="706"/>
      <c r="R195" s="783"/>
      <c r="S195" s="783"/>
      <c r="T195" s="783"/>
      <c r="U195" s="783"/>
      <c r="V195" s="783"/>
      <c r="W195" s="783"/>
      <c r="X195" s="783"/>
      <c r="Y195" s="783"/>
      <c r="Z195" s="783"/>
    </row>
    <row r="196" spans="1:26" hidden="1" x14ac:dyDescent="0.25">
      <c r="A196" s="670"/>
      <c r="B196" s="699" t="s">
        <v>200</v>
      </c>
      <c r="C196" s="699"/>
      <c r="D196" s="700"/>
      <c r="E196" s="700"/>
      <c r="F196" s="700"/>
      <c r="G196" s="700"/>
      <c r="H196" s="700"/>
      <c r="I196" s="700"/>
      <c r="J196" s="700"/>
      <c r="K196" s="700"/>
      <c r="L196" s="700"/>
      <c r="M196" s="700"/>
      <c r="N196" s="700"/>
      <c r="O196" s="700"/>
      <c r="P196" s="700"/>
      <c r="Q196" s="706"/>
      <c r="R196" s="783"/>
      <c r="S196" s="783"/>
      <c r="T196" s="783"/>
      <c r="U196" s="783"/>
      <c r="V196" s="783"/>
      <c r="W196" s="783"/>
      <c r="X196" s="783"/>
      <c r="Y196" s="783"/>
      <c r="Z196" s="783"/>
    </row>
    <row r="197" spans="1:26" hidden="1" x14ac:dyDescent="0.25">
      <c r="A197" s="670"/>
      <c r="B197" s="224" t="s">
        <v>14</v>
      </c>
      <c r="C197" s="224"/>
      <c r="D197" s="228">
        <f>ENTRADAS!D31</f>
        <v>0</v>
      </c>
      <c r="E197" s="228">
        <f>ENTRADAS!E31</f>
        <v>0</v>
      </c>
      <c r="F197" s="228">
        <f>ENTRADAS!F31</f>
        <v>0</v>
      </c>
      <c r="G197" s="228">
        <f>ENTRADAS!G31</f>
        <v>0</v>
      </c>
      <c r="H197" s="228">
        <f>ENTRADAS!H31</f>
        <v>0</v>
      </c>
      <c r="I197" s="228">
        <f>ENTRADAS!I31</f>
        <v>0</v>
      </c>
      <c r="J197" s="228">
        <f>ENTRADAS!J31</f>
        <v>111</v>
      </c>
      <c r="K197" s="228">
        <f>ENTRADAS!K31</f>
        <v>0</v>
      </c>
      <c r="L197" s="228">
        <f>ENTRADAS!L31</f>
        <v>0</v>
      </c>
      <c r="M197" s="228">
        <f>ENTRADAS!M31</f>
        <v>0</v>
      </c>
      <c r="N197" s="228">
        <f>ENTRADAS!N31</f>
        <v>0</v>
      </c>
      <c r="O197" s="228">
        <f>ENTRADAS!O31</f>
        <v>0</v>
      </c>
      <c r="P197" s="228">
        <f>SUM(D197:O197)</f>
        <v>111</v>
      </c>
      <c r="Q197" s="672"/>
      <c r="R197" s="783"/>
      <c r="S197" s="783"/>
      <c r="T197" s="783"/>
      <c r="U197" s="783"/>
      <c r="V197" s="783"/>
      <c r="W197" s="783"/>
      <c r="X197" s="783"/>
      <c r="Y197" s="783"/>
      <c r="Z197" s="783"/>
    </row>
    <row r="198" spans="1:26" hidden="1" x14ac:dyDescent="0.25">
      <c r="A198" s="670"/>
      <c r="B198" s="224" t="s">
        <v>105</v>
      </c>
      <c r="C198" s="224"/>
      <c r="D198" s="228">
        <f>ENTRADAS!D35</f>
        <v>0</v>
      </c>
      <c r="E198" s="228">
        <f>ENTRADAS!E35</f>
        <v>0</v>
      </c>
      <c r="F198" s="228">
        <f>ENTRADAS!F35</f>
        <v>0</v>
      </c>
      <c r="G198" s="228">
        <f>ENTRADAS!G35</f>
        <v>0</v>
      </c>
      <c r="H198" s="228">
        <f>ENTRADAS!H35</f>
        <v>0</v>
      </c>
      <c r="I198" s="228">
        <f>ENTRADAS!I35</f>
        <v>0</v>
      </c>
      <c r="J198" s="228">
        <f>ENTRADAS!J35</f>
        <v>0</v>
      </c>
      <c r="K198" s="228">
        <f>ENTRADAS!K35</f>
        <v>0</v>
      </c>
      <c r="L198" s="228">
        <f>ENTRADAS!L35</f>
        <v>0</v>
      </c>
      <c r="M198" s="228">
        <f>ENTRADAS!M35</f>
        <v>0</v>
      </c>
      <c r="N198" s="228">
        <f>ENTRADAS!N35</f>
        <v>0</v>
      </c>
      <c r="O198" s="228">
        <f>ENTRADAS!O35</f>
        <v>0</v>
      </c>
      <c r="P198" s="228">
        <f>SUM(D198:O198)</f>
        <v>0</v>
      </c>
      <c r="Q198" s="672"/>
      <c r="R198" s="783"/>
      <c r="S198" s="783"/>
      <c r="T198" s="783"/>
      <c r="U198" s="783"/>
      <c r="V198" s="783"/>
      <c r="W198" s="783"/>
      <c r="X198" s="783"/>
      <c r="Y198" s="783"/>
      <c r="Z198" s="783"/>
    </row>
    <row r="199" spans="1:26" hidden="1" x14ac:dyDescent="0.25">
      <c r="A199" s="670"/>
      <c r="B199" s="224" t="s">
        <v>106</v>
      </c>
      <c r="C199" s="224"/>
      <c r="D199" s="228">
        <f>ENTRADAS!D39</f>
        <v>0</v>
      </c>
      <c r="E199" s="228">
        <f>ENTRADAS!E39</f>
        <v>0</v>
      </c>
      <c r="F199" s="228">
        <f>ENTRADAS!F39</f>
        <v>0</v>
      </c>
      <c r="G199" s="228">
        <f>ENTRADAS!G39</f>
        <v>0</v>
      </c>
      <c r="H199" s="228">
        <f>ENTRADAS!H39</f>
        <v>0</v>
      </c>
      <c r="I199" s="228">
        <f>ENTRADAS!I39</f>
        <v>0</v>
      </c>
      <c r="J199" s="228">
        <f>ENTRADAS!J39</f>
        <v>0</v>
      </c>
      <c r="K199" s="228">
        <f>ENTRADAS!K39</f>
        <v>0</v>
      </c>
      <c r="L199" s="228">
        <f>ENTRADAS!L39</f>
        <v>0</v>
      </c>
      <c r="M199" s="228">
        <f>ENTRADAS!M39</f>
        <v>0</v>
      </c>
      <c r="N199" s="228">
        <f>ENTRADAS!N39</f>
        <v>0</v>
      </c>
      <c r="O199" s="228">
        <f>ENTRADAS!O39</f>
        <v>0</v>
      </c>
      <c r="P199" s="228">
        <f>SUM(D199:O199)</f>
        <v>0</v>
      </c>
      <c r="Q199" s="672"/>
      <c r="R199" s="783"/>
      <c r="S199" s="783"/>
      <c r="T199" s="783"/>
      <c r="U199" s="783"/>
      <c r="V199" s="783"/>
      <c r="W199" s="783"/>
      <c r="X199" s="783"/>
      <c r="Y199" s="783"/>
      <c r="Z199" s="783"/>
    </row>
    <row r="200" spans="1:26" hidden="1" x14ac:dyDescent="0.25">
      <c r="A200" s="670"/>
      <c r="B200" s="224"/>
      <c r="C200" s="224"/>
      <c r="D200" s="228"/>
      <c r="E200" s="228"/>
      <c r="F200" s="228"/>
      <c r="G200" s="228"/>
      <c r="H200" s="228"/>
      <c r="I200" s="228"/>
      <c r="J200" s="228"/>
      <c r="K200" s="228"/>
      <c r="L200" s="228"/>
      <c r="M200" s="228"/>
      <c r="N200" s="228"/>
      <c r="O200" s="228"/>
      <c r="P200" s="228"/>
      <c r="Q200" s="672"/>
      <c r="R200" s="783"/>
      <c r="S200" s="783"/>
      <c r="T200" s="783"/>
      <c r="U200" s="783"/>
      <c r="V200" s="783"/>
      <c r="W200" s="783"/>
      <c r="X200" s="783"/>
      <c r="Y200" s="783"/>
      <c r="Z200" s="783"/>
    </row>
    <row r="201" spans="1:26" hidden="1" x14ac:dyDescent="0.25">
      <c r="A201" s="670"/>
      <c r="B201" s="699" t="s">
        <v>119</v>
      </c>
      <c r="C201" s="699"/>
      <c r="D201" s="700" t="str">
        <f>ENTRADAS!D67</f>
        <v>JAN</v>
      </c>
      <c r="E201" s="700" t="str">
        <f>ENTRADAS!E67</f>
        <v>FEV</v>
      </c>
      <c r="F201" s="700" t="str">
        <f>ENTRADAS!F67</f>
        <v>MAR</v>
      </c>
      <c r="G201" s="700" t="str">
        <f>ENTRADAS!G67</f>
        <v>ABR</v>
      </c>
      <c r="H201" s="700" t="str">
        <f>ENTRADAS!H67</f>
        <v>MAI</v>
      </c>
      <c r="I201" s="700" t="str">
        <f>ENTRADAS!I67</f>
        <v>JUN</v>
      </c>
      <c r="J201" s="700" t="str">
        <f>ENTRADAS!J67</f>
        <v>JUL</v>
      </c>
      <c r="K201" s="700" t="str">
        <f>ENTRADAS!K67</f>
        <v>AGO</v>
      </c>
      <c r="L201" s="700" t="str">
        <f>ENTRADAS!L67</f>
        <v>SET</v>
      </c>
      <c r="M201" s="700" t="str">
        <f>ENTRADAS!M67</f>
        <v>OUT</v>
      </c>
      <c r="N201" s="700" t="str">
        <f>ENTRADAS!N67</f>
        <v>NOV</v>
      </c>
      <c r="O201" s="700" t="str">
        <f>ENTRADAS!O67</f>
        <v>DEZ</v>
      </c>
      <c r="P201" s="700"/>
      <c r="Q201" s="672"/>
      <c r="R201" s="783"/>
      <c r="S201" s="783"/>
      <c r="T201" s="783"/>
      <c r="U201" s="783"/>
      <c r="V201" s="783"/>
      <c r="W201" s="783"/>
      <c r="X201" s="783"/>
      <c r="Y201" s="783"/>
      <c r="Z201" s="783"/>
    </row>
    <row r="202" spans="1:26" hidden="1" x14ac:dyDescent="0.25">
      <c r="A202" s="670"/>
      <c r="B202" s="51" t="s">
        <v>104</v>
      </c>
      <c r="C202" s="224"/>
      <c r="D202" s="228">
        <f>SUMIFS(ENTRADAS!$F$46:$F$65,ENTRADAS!$D$46:$D$65,'RESULTADOS FINANCEIROS'!D$201,ENTRADAS!$H$46:$H$65,'RESULTADOS FINANCEIROS'!$B202)</f>
        <v>0</v>
      </c>
      <c r="E202" s="228">
        <f>SUMIFS(ENTRADAS!$F$46:$F$65,ENTRADAS!$D$46:$D$65,'RESULTADOS FINANCEIROS'!E$201,ENTRADAS!$H$46:$H$65,'RESULTADOS FINANCEIROS'!$B202)</f>
        <v>0</v>
      </c>
      <c r="F202" s="228">
        <f>SUMIFS(ENTRADAS!$F$46:$F$65,ENTRADAS!$D$46:$D$65,'RESULTADOS FINANCEIROS'!F$201,ENTRADAS!$H$46:$H$65,'RESULTADOS FINANCEIROS'!$B202)</f>
        <v>0</v>
      </c>
      <c r="G202" s="228">
        <f>SUMIFS(ENTRADAS!$F$46:$F$65,ENTRADAS!$D$46:$D$65,'RESULTADOS FINANCEIROS'!G$201,ENTRADAS!$H$46:$H$65,'RESULTADOS FINANCEIROS'!$B202)</f>
        <v>0</v>
      </c>
      <c r="H202" s="228">
        <f>SUMIFS(ENTRADAS!$F$46:$F$65,ENTRADAS!$D$46:$D$65,'RESULTADOS FINANCEIROS'!H$201,ENTRADAS!$H$46:$H$65,'RESULTADOS FINANCEIROS'!$B202)</f>
        <v>0</v>
      </c>
      <c r="I202" s="228">
        <f>SUMIFS(ENTRADAS!$F$46:$F$65,ENTRADAS!$D$46:$D$65,'RESULTADOS FINANCEIROS'!I$201,ENTRADAS!$H$46:$H$65,'RESULTADOS FINANCEIROS'!$B202)</f>
        <v>0</v>
      </c>
      <c r="J202" s="228">
        <f>SUMIFS(ENTRADAS!$F$46:$F$65,ENTRADAS!$D$46:$D$65,'RESULTADOS FINANCEIROS'!J$201,ENTRADAS!$H$46:$H$65,'RESULTADOS FINANCEIROS'!$B202)</f>
        <v>0</v>
      </c>
      <c r="K202" s="228">
        <f>SUMIFS(ENTRADAS!$F$46:$F$65,ENTRADAS!$D$46:$D$65,'RESULTADOS FINANCEIROS'!K$201,ENTRADAS!$H$46:$H$65,'RESULTADOS FINANCEIROS'!$B202)</f>
        <v>0</v>
      </c>
      <c r="L202" s="228">
        <f>SUMIFS(ENTRADAS!$F$46:$F$65,ENTRADAS!$D$46:$D$65,'RESULTADOS FINANCEIROS'!L$201,ENTRADAS!$H$46:$H$65,'RESULTADOS FINANCEIROS'!$B202)</f>
        <v>0</v>
      </c>
      <c r="M202" s="228">
        <f>SUMIFS(ENTRADAS!$F$46:$F$65,ENTRADAS!$D$46:$D$65,'RESULTADOS FINANCEIROS'!M$201,ENTRADAS!$H$46:$H$65,'RESULTADOS FINANCEIROS'!$B202)</f>
        <v>0</v>
      </c>
      <c r="N202" s="228">
        <f>SUMIFS(ENTRADAS!$F$46:$F$65,ENTRADAS!$D$46:$D$65,'RESULTADOS FINANCEIROS'!N$201,ENTRADAS!$H$46:$H$65,'RESULTADOS FINANCEIROS'!$B202)</f>
        <v>0</v>
      </c>
      <c r="O202" s="228">
        <f>SUMIFS(ENTRADAS!$F$46:$F$65,ENTRADAS!$D$46:$D$65,'RESULTADOS FINANCEIROS'!O$201,ENTRADAS!$H$46:$H$65,'RESULTADOS FINANCEIROS'!$B202)</f>
        <v>0</v>
      </c>
      <c r="P202" s="228">
        <f>SUM(D202:O202)</f>
        <v>0</v>
      </c>
      <c r="Q202" s="672"/>
      <c r="R202" s="783"/>
      <c r="S202" s="783"/>
      <c r="T202" s="783"/>
      <c r="U202" s="783"/>
      <c r="V202" s="783"/>
      <c r="W202" s="783"/>
      <c r="X202" s="783"/>
      <c r="Y202" s="783"/>
      <c r="Z202" s="783"/>
    </row>
    <row r="203" spans="1:26" hidden="1" x14ac:dyDescent="0.25">
      <c r="A203" s="670"/>
      <c r="B203" s="51" t="s">
        <v>103</v>
      </c>
      <c r="C203" s="224"/>
      <c r="D203" s="228">
        <f>SUMIFS(ENTRADAS!$F$46:$F$65,ENTRADAS!$D$46:$D$65,'RESULTADOS FINANCEIROS'!D$201,ENTRADAS!$H$46:$H$65,'RESULTADOS FINANCEIROS'!$B203)</f>
        <v>0</v>
      </c>
      <c r="E203" s="228">
        <f>SUMIFS(ENTRADAS!$F$46:$F$65,ENTRADAS!$D$46:$D$65,'RESULTADOS FINANCEIROS'!E$201,ENTRADAS!$H$46:$H$65,'RESULTADOS FINANCEIROS'!$B203)</f>
        <v>0</v>
      </c>
      <c r="F203" s="228">
        <f>SUMIFS(ENTRADAS!$F$46:$F$65,ENTRADAS!$D$46:$D$65,'RESULTADOS FINANCEIROS'!F$201,ENTRADAS!$H$46:$H$65,'RESULTADOS FINANCEIROS'!$B203)</f>
        <v>0</v>
      </c>
      <c r="G203" s="228">
        <f>SUMIFS(ENTRADAS!$F$46:$F$65,ENTRADAS!$D$46:$D$65,'RESULTADOS FINANCEIROS'!G$201,ENTRADAS!$H$46:$H$65,'RESULTADOS FINANCEIROS'!$B203)</f>
        <v>0</v>
      </c>
      <c r="H203" s="228">
        <f>SUMIFS(ENTRADAS!$F$46:$F$65,ENTRADAS!$D$46:$D$65,'RESULTADOS FINANCEIROS'!H$201,ENTRADAS!$H$46:$H$65,'RESULTADOS FINANCEIROS'!$B203)</f>
        <v>0</v>
      </c>
      <c r="I203" s="228">
        <f>SUMIFS(ENTRADAS!$F$46:$F$65,ENTRADAS!$D$46:$D$65,'RESULTADOS FINANCEIROS'!I$201,ENTRADAS!$H$46:$H$65,'RESULTADOS FINANCEIROS'!$B203)</f>
        <v>0</v>
      </c>
      <c r="J203" s="228">
        <f>SUMIFS(ENTRADAS!$F$46:$F$65,ENTRADAS!$D$46:$D$65,'RESULTADOS FINANCEIROS'!J$201,ENTRADAS!$H$46:$H$65,'RESULTADOS FINANCEIROS'!$B203)</f>
        <v>0</v>
      </c>
      <c r="K203" s="228">
        <f>SUMIFS(ENTRADAS!$F$46:$F$65,ENTRADAS!$D$46:$D$65,'RESULTADOS FINANCEIROS'!K$201,ENTRADAS!$H$46:$H$65,'RESULTADOS FINANCEIROS'!$B203)</f>
        <v>0</v>
      </c>
      <c r="L203" s="228">
        <f>SUMIFS(ENTRADAS!$F$46:$F$65,ENTRADAS!$D$46:$D$65,'RESULTADOS FINANCEIROS'!L$201,ENTRADAS!$H$46:$H$65,'RESULTADOS FINANCEIROS'!$B203)</f>
        <v>0</v>
      </c>
      <c r="M203" s="228">
        <f>SUMIFS(ENTRADAS!$F$46:$F$65,ENTRADAS!$D$46:$D$65,'RESULTADOS FINANCEIROS'!M$201,ENTRADAS!$H$46:$H$65,'RESULTADOS FINANCEIROS'!$B203)</f>
        <v>0</v>
      </c>
      <c r="N203" s="228">
        <f>SUMIFS(ENTRADAS!$F$46:$F$65,ENTRADAS!$D$46:$D$65,'RESULTADOS FINANCEIROS'!N$201,ENTRADAS!$H$46:$H$65,'RESULTADOS FINANCEIROS'!$B203)</f>
        <v>0</v>
      </c>
      <c r="O203" s="228">
        <f>SUMIFS(ENTRADAS!$F$46:$F$65,ENTRADAS!$D$46:$D$65,'RESULTADOS FINANCEIROS'!O$201,ENTRADAS!$H$46:$H$65,'RESULTADOS FINANCEIROS'!$B203)</f>
        <v>0</v>
      </c>
      <c r="P203" s="228">
        <f>SUM(D203:O203)</f>
        <v>0</v>
      </c>
      <c r="Q203" s="672"/>
      <c r="R203" s="783"/>
      <c r="S203" s="783"/>
      <c r="T203" s="783"/>
      <c r="U203" s="783"/>
      <c r="V203" s="783"/>
      <c r="W203" s="783"/>
      <c r="X203" s="783"/>
      <c r="Y203" s="783"/>
      <c r="Z203" s="783"/>
    </row>
    <row r="204" spans="1:26" hidden="1" x14ac:dyDescent="0.25">
      <c r="A204" s="670"/>
      <c r="B204" s="51" t="s">
        <v>102</v>
      </c>
      <c r="C204" s="224"/>
      <c r="D204" s="228">
        <f>SUMIFS(ENTRADAS!$F$46:$F$65,ENTRADAS!$D$46:$D$65,'RESULTADOS FINANCEIROS'!D$201,ENTRADAS!$H$46:$H$65,'RESULTADOS FINANCEIROS'!$B204)</f>
        <v>0</v>
      </c>
      <c r="E204" s="228">
        <f>SUMIFS(ENTRADAS!$F$46:$F$65,ENTRADAS!$D$46:$D$65,'RESULTADOS FINANCEIROS'!E$201,ENTRADAS!$H$46:$H$65,'RESULTADOS FINANCEIROS'!$B204)</f>
        <v>0</v>
      </c>
      <c r="F204" s="228">
        <f>SUMIFS(ENTRADAS!$F$46:$F$65,ENTRADAS!$D$46:$D$65,'RESULTADOS FINANCEIROS'!F$201,ENTRADAS!$H$46:$H$65,'RESULTADOS FINANCEIROS'!$B204)</f>
        <v>0</v>
      </c>
      <c r="G204" s="228">
        <f>SUMIFS(ENTRADAS!$F$46:$F$65,ENTRADAS!$D$46:$D$65,'RESULTADOS FINANCEIROS'!G$201,ENTRADAS!$H$46:$H$65,'RESULTADOS FINANCEIROS'!$B204)</f>
        <v>0</v>
      </c>
      <c r="H204" s="228">
        <f>SUMIFS(ENTRADAS!$F$46:$F$65,ENTRADAS!$D$46:$D$65,'RESULTADOS FINANCEIROS'!H$201,ENTRADAS!$H$46:$H$65,'RESULTADOS FINANCEIROS'!$B204)</f>
        <v>0</v>
      </c>
      <c r="I204" s="228">
        <f>SUMIFS(ENTRADAS!$F$46:$F$65,ENTRADAS!$D$46:$D$65,'RESULTADOS FINANCEIROS'!I$201,ENTRADAS!$H$46:$H$65,'RESULTADOS FINANCEIROS'!$B204)</f>
        <v>0</v>
      </c>
      <c r="J204" s="228">
        <f>SUMIFS(ENTRADAS!$F$46:$F$65,ENTRADAS!$D$46:$D$65,'RESULTADOS FINANCEIROS'!J$201,ENTRADAS!$H$46:$H$65,'RESULTADOS FINANCEIROS'!$B204)</f>
        <v>0</v>
      </c>
      <c r="K204" s="228">
        <f>SUMIFS(ENTRADAS!$F$46:$F$65,ENTRADAS!$D$46:$D$65,'RESULTADOS FINANCEIROS'!K$201,ENTRADAS!$H$46:$H$65,'RESULTADOS FINANCEIROS'!$B204)</f>
        <v>0</v>
      </c>
      <c r="L204" s="228">
        <f>SUMIFS(ENTRADAS!$F$46:$F$65,ENTRADAS!$D$46:$D$65,'RESULTADOS FINANCEIROS'!L$201,ENTRADAS!$H$46:$H$65,'RESULTADOS FINANCEIROS'!$B204)</f>
        <v>0</v>
      </c>
      <c r="M204" s="228">
        <f>SUMIFS(ENTRADAS!$F$46:$F$65,ENTRADAS!$D$46:$D$65,'RESULTADOS FINANCEIROS'!M$201,ENTRADAS!$H$46:$H$65,'RESULTADOS FINANCEIROS'!$B204)</f>
        <v>0</v>
      </c>
      <c r="N204" s="228">
        <f>SUMIFS(ENTRADAS!$F$46:$F$65,ENTRADAS!$D$46:$D$65,'RESULTADOS FINANCEIROS'!N$201,ENTRADAS!$H$46:$H$65,'RESULTADOS FINANCEIROS'!$B204)</f>
        <v>0</v>
      </c>
      <c r="O204" s="228">
        <f>SUMIFS(ENTRADAS!$F$46:$F$65,ENTRADAS!$D$46:$D$65,'RESULTADOS FINANCEIROS'!O$201,ENTRADAS!$H$46:$H$65,'RESULTADOS FINANCEIROS'!$B204)</f>
        <v>0</v>
      </c>
      <c r="P204" s="228">
        <f>SUM(D204:O204)</f>
        <v>0</v>
      </c>
      <c r="Q204" s="672"/>
      <c r="R204" s="783"/>
      <c r="S204" s="783"/>
      <c r="T204" s="783"/>
      <c r="U204" s="783"/>
      <c r="V204" s="783"/>
      <c r="W204" s="783"/>
      <c r="X204" s="783"/>
      <c r="Y204" s="783"/>
      <c r="Z204" s="783"/>
    </row>
    <row r="205" spans="1:26" hidden="1" x14ac:dyDescent="0.25">
      <c r="A205" s="670"/>
      <c r="B205" s="51" t="s">
        <v>123</v>
      </c>
      <c r="C205" s="224"/>
      <c r="D205" s="228">
        <f>SUMIFS(ENTRADAS!$F$46:$F$65,ENTRADAS!$D$46:$D$65,'RESULTADOS FINANCEIROS'!D$201,ENTRADAS!$H$46:$H$65,'RESULTADOS FINANCEIROS'!$B205)</f>
        <v>0</v>
      </c>
      <c r="E205" s="228">
        <f>SUMIFS(ENTRADAS!$F$46:$F$65,ENTRADAS!$D$46:$D$65,'RESULTADOS FINANCEIROS'!E$201,ENTRADAS!$H$46:$H$65,'RESULTADOS FINANCEIROS'!$B205)</f>
        <v>0</v>
      </c>
      <c r="F205" s="228">
        <f>SUMIFS(ENTRADAS!$F$46:$F$65,ENTRADAS!$D$46:$D$65,'RESULTADOS FINANCEIROS'!F$201,ENTRADAS!$H$46:$H$65,'RESULTADOS FINANCEIROS'!$B205)</f>
        <v>0</v>
      </c>
      <c r="G205" s="228">
        <f>SUMIFS(ENTRADAS!$F$46:$F$65,ENTRADAS!$D$46:$D$65,'RESULTADOS FINANCEIROS'!G$201,ENTRADAS!$H$46:$H$65,'RESULTADOS FINANCEIROS'!$B205)</f>
        <v>0</v>
      </c>
      <c r="H205" s="228">
        <f>SUMIFS(ENTRADAS!$F$46:$F$65,ENTRADAS!$D$46:$D$65,'RESULTADOS FINANCEIROS'!H$201,ENTRADAS!$H$46:$H$65,'RESULTADOS FINANCEIROS'!$B205)</f>
        <v>0</v>
      </c>
      <c r="I205" s="228">
        <f>SUMIFS(ENTRADAS!$F$46:$F$65,ENTRADAS!$D$46:$D$65,'RESULTADOS FINANCEIROS'!I$201,ENTRADAS!$H$46:$H$65,'RESULTADOS FINANCEIROS'!$B205)</f>
        <v>0</v>
      </c>
      <c r="J205" s="228">
        <f>SUMIFS(ENTRADAS!$F$46:$F$65,ENTRADAS!$D$46:$D$65,'RESULTADOS FINANCEIROS'!J$201,ENTRADAS!$H$46:$H$65,'RESULTADOS FINANCEIROS'!$B205)</f>
        <v>0</v>
      </c>
      <c r="K205" s="228">
        <f>SUMIFS(ENTRADAS!$F$46:$F$65,ENTRADAS!$D$46:$D$65,'RESULTADOS FINANCEIROS'!K$201,ENTRADAS!$H$46:$H$65,'RESULTADOS FINANCEIROS'!$B205)</f>
        <v>0</v>
      </c>
      <c r="L205" s="228">
        <f>SUMIFS(ENTRADAS!$F$46:$F$65,ENTRADAS!$D$46:$D$65,'RESULTADOS FINANCEIROS'!L$201,ENTRADAS!$H$46:$H$65,'RESULTADOS FINANCEIROS'!$B205)</f>
        <v>0</v>
      </c>
      <c r="M205" s="228">
        <f>SUMIFS(ENTRADAS!$F$46:$F$65,ENTRADAS!$D$46:$D$65,'RESULTADOS FINANCEIROS'!M$201,ENTRADAS!$H$46:$H$65,'RESULTADOS FINANCEIROS'!$B205)</f>
        <v>0</v>
      </c>
      <c r="N205" s="228">
        <f>SUMIFS(ENTRADAS!$F$46:$F$65,ENTRADAS!$D$46:$D$65,'RESULTADOS FINANCEIROS'!N$201,ENTRADAS!$H$46:$H$65,'RESULTADOS FINANCEIROS'!$B205)</f>
        <v>0</v>
      </c>
      <c r="O205" s="228">
        <f>SUMIFS(ENTRADAS!$F$46:$F$65,ENTRADAS!$D$46:$D$65,'RESULTADOS FINANCEIROS'!O$201,ENTRADAS!$H$46:$H$65,'RESULTADOS FINANCEIROS'!$B205)</f>
        <v>0</v>
      </c>
      <c r="P205" s="228">
        <f>SUM(D205:O205)</f>
        <v>0</v>
      </c>
      <c r="Q205" s="672"/>
      <c r="R205" s="783"/>
      <c r="S205" s="783"/>
      <c r="T205" s="783"/>
      <c r="U205" s="783"/>
      <c r="V205" s="783"/>
      <c r="W205" s="783"/>
      <c r="X205" s="783"/>
      <c r="Y205" s="783"/>
      <c r="Z205" s="783"/>
    </row>
    <row r="206" spans="1:26" hidden="1" x14ac:dyDescent="0.25">
      <c r="A206" s="670"/>
      <c r="B206" s="224"/>
      <c r="C206" s="224"/>
      <c r="D206" s="228"/>
      <c r="E206" s="228"/>
      <c r="F206" s="228"/>
      <c r="G206" s="228"/>
      <c r="H206" s="228"/>
      <c r="I206" s="228"/>
      <c r="J206" s="228"/>
      <c r="K206" s="228"/>
      <c r="L206" s="228"/>
      <c r="M206" s="228"/>
      <c r="N206" s="228"/>
      <c r="O206" s="228"/>
      <c r="P206" s="228"/>
      <c r="Q206" s="672"/>
      <c r="R206" s="783"/>
      <c r="S206" s="783"/>
      <c r="T206" s="783"/>
      <c r="U206" s="783"/>
      <c r="V206" s="783"/>
      <c r="W206" s="783"/>
      <c r="X206" s="783"/>
      <c r="Y206" s="783"/>
      <c r="Z206" s="783"/>
    </row>
    <row r="207" spans="1:26" hidden="1" x14ac:dyDescent="0.25">
      <c r="A207" s="670"/>
      <c r="B207" s="224"/>
      <c r="C207" s="224"/>
      <c r="D207" s="228"/>
      <c r="E207" s="228"/>
      <c r="F207" s="228"/>
      <c r="G207" s="228"/>
      <c r="H207" s="228"/>
      <c r="I207" s="228"/>
      <c r="J207" s="228"/>
      <c r="K207" s="228"/>
      <c r="L207" s="228"/>
      <c r="M207" s="228"/>
      <c r="N207" s="228"/>
      <c r="O207" s="228"/>
      <c r="P207" s="228"/>
      <c r="Q207" s="672"/>
      <c r="R207" s="783"/>
      <c r="S207" s="783"/>
      <c r="T207" s="783"/>
      <c r="U207" s="783"/>
      <c r="V207" s="783"/>
      <c r="W207" s="783"/>
      <c r="X207" s="783"/>
      <c r="Y207" s="783"/>
      <c r="Z207" s="783"/>
    </row>
    <row r="208" spans="1:26" hidden="1" x14ac:dyDescent="0.25">
      <c r="A208" s="670"/>
      <c r="B208" s="651" t="s">
        <v>170</v>
      </c>
      <c r="C208" s="977" t="s">
        <v>475</v>
      </c>
      <c r="D208" s="978"/>
      <c r="E208" s="978"/>
      <c r="F208" s="978"/>
      <c r="G208" s="978"/>
      <c r="H208" s="978"/>
      <c r="I208" s="978"/>
      <c r="J208" s="978"/>
      <c r="K208" s="978"/>
      <c r="L208" s="978"/>
      <c r="M208" s="978"/>
      <c r="N208" s="978"/>
      <c r="O208" s="978"/>
      <c r="P208" s="978" t="s">
        <v>17</v>
      </c>
      <c r="Q208" s="706"/>
      <c r="R208" s="783"/>
      <c r="S208" s="783"/>
      <c r="T208" s="783"/>
      <c r="U208" s="783"/>
      <c r="V208" s="783"/>
      <c r="W208" s="783"/>
      <c r="X208" s="783"/>
      <c r="Y208" s="783"/>
      <c r="Z208" s="783"/>
    </row>
    <row r="209" spans="1:26" hidden="1" x14ac:dyDescent="0.25">
      <c r="A209" s="670"/>
      <c r="B209" s="224" t="s">
        <v>12</v>
      </c>
      <c r="C209" s="300">
        <f>P209</f>
        <v>0</v>
      </c>
      <c r="D209" s="300">
        <f>(ENTRADAS!D8*ENTRADAS!D9)/14.689</f>
        <v>0</v>
      </c>
      <c r="E209" s="300">
        <f>(ENTRADAS!E8*ENTRADAS!E9)/14.689</f>
        <v>0</v>
      </c>
      <c r="F209" s="300">
        <f>(ENTRADAS!F8*ENTRADAS!F9)/14.689</f>
        <v>0</v>
      </c>
      <c r="G209" s="300">
        <f>(ENTRADAS!G8*ENTRADAS!G9)/14.689</f>
        <v>0</v>
      </c>
      <c r="H209" s="300">
        <f>(ENTRADAS!H8*ENTRADAS!H9)/14.689</f>
        <v>0</v>
      </c>
      <c r="I209" s="300">
        <f>(ENTRADAS!I8*ENTRADAS!I9)/14.689</f>
        <v>0</v>
      </c>
      <c r="J209" s="300">
        <f>(ENTRADAS!J8*ENTRADAS!J9)/14.689</f>
        <v>0</v>
      </c>
      <c r="K209" s="300">
        <f>(ENTRADAS!K8*ENTRADAS!K9)/14.689</f>
        <v>0</v>
      </c>
      <c r="L209" s="300">
        <f>(ENTRADAS!L8*ENTRADAS!L9)/14.689</f>
        <v>0</v>
      </c>
      <c r="M209" s="300">
        <f>(ENTRADAS!M8*ENTRADAS!M9)/14.689</f>
        <v>0</v>
      </c>
      <c r="N209" s="300">
        <f>(ENTRADAS!N8*ENTRADAS!N9)/14.689</f>
        <v>0</v>
      </c>
      <c r="O209" s="300">
        <f>(ENTRADAS!O8*ENTRADAS!O9)/14.689</f>
        <v>0</v>
      </c>
      <c r="P209" s="300">
        <f>SUM(D209:O209)</f>
        <v>0</v>
      </c>
      <c r="Q209" s="706"/>
      <c r="R209" s="783"/>
      <c r="S209" s="783"/>
      <c r="T209" s="783"/>
      <c r="U209" s="783"/>
      <c r="V209" s="783"/>
      <c r="W209" s="783"/>
      <c r="X209" s="783"/>
      <c r="Y209" s="783"/>
      <c r="Z209" s="783"/>
    </row>
    <row r="210" spans="1:26" hidden="1" x14ac:dyDescent="0.25">
      <c r="A210" s="670"/>
      <c r="B210" s="224" t="s">
        <v>13</v>
      </c>
      <c r="C210" s="300">
        <f>P210</f>
        <v>31.179794403975762</v>
      </c>
      <c r="D210" s="300">
        <f>(ENTRADAS!D12*ENTRADAS!D13)/14.689</f>
        <v>0</v>
      </c>
      <c r="E210" s="300">
        <f>(ENTRADAS!E12*ENTRADAS!E13)/14.689</f>
        <v>0</v>
      </c>
      <c r="F210" s="300">
        <f>(ENTRADAS!F12*ENTRADAS!F13)/14.689</f>
        <v>0</v>
      </c>
      <c r="G210" s="300">
        <f>(ENTRADAS!G12*ENTRADAS!G13)/14.689</f>
        <v>31.179794403975762</v>
      </c>
      <c r="H210" s="300">
        <f>(ENTRADAS!H12*ENTRADAS!H13)/14.689</f>
        <v>0</v>
      </c>
      <c r="I210" s="300">
        <f>(ENTRADAS!I12*ENTRADAS!I13)/14.689</f>
        <v>0</v>
      </c>
      <c r="J210" s="300">
        <f>(ENTRADAS!J12*ENTRADAS!J13)/14.689</f>
        <v>0</v>
      </c>
      <c r="K210" s="300">
        <f>(ENTRADAS!K12*ENTRADAS!K13)/14.689</f>
        <v>0</v>
      </c>
      <c r="L210" s="300">
        <f>(ENTRADAS!L12*ENTRADAS!L13)/14.689</f>
        <v>0</v>
      </c>
      <c r="M210" s="300">
        <f>(ENTRADAS!M12*ENTRADAS!M13)/14.689</f>
        <v>0</v>
      </c>
      <c r="N210" s="300">
        <f>(ENTRADAS!N12*ENTRADAS!N13)/14.689</f>
        <v>0</v>
      </c>
      <c r="O210" s="300">
        <f>(ENTRADAS!O12*ENTRADAS!O13)/14.689</f>
        <v>0</v>
      </c>
      <c r="P210" s="300">
        <f>SUM(D210:O210)</f>
        <v>31.179794403975762</v>
      </c>
      <c r="Q210" s="706"/>
      <c r="R210" s="783"/>
      <c r="S210" s="783"/>
      <c r="T210" s="783"/>
      <c r="U210" s="783"/>
      <c r="V210" s="783"/>
      <c r="W210" s="783"/>
      <c r="X210" s="783"/>
      <c r="Y210" s="783"/>
      <c r="Z210" s="783"/>
    </row>
    <row r="211" spans="1:26" hidden="1" x14ac:dyDescent="0.25">
      <c r="A211" s="670"/>
      <c r="B211" s="224" t="s">
        <v>14</v>
      </c>
      <c r="C211" s="300">
        <f>P211+P217</f>
        <v>4435.7682619647358</v>
      </c>
      <c r="D211" s="300">
        <f>(ENTRADAS!D16*ENTRADAS!D17)/14.689</f>
        <v>0</v>
      </c>
      <c r="E211" s="300">
        <f>(ENTRADAS!E16*ENTRADAS!E17)/14.689</f>
        <v>0</v>
      </c>
      <c r="F211" s="300">
        <f>(ENTRADAS!F16*ENTRADAS!F17)/14.689</f>
        <v>0</v>
      </c>
      <c r="G211" s="300">
        <f>(ENTRADAS!G16*ENTRADAS!G17)/14.689</f>
        <v>0</v>
      </c>
      <c r="H211" s="300">
        <f>(ENTRADAS!H16*ENTRADAS!H17)/14.689</f>
        <v>0</v>
      </c>
      <c r="I211" s="300">
        <f>(ENTRADAS!I16*ENTRADAS!I17)/14.689</f>
        <v>0</v>
      </c>
      <c r="J211" s="300">
        <f>(ENTRADAS!J16*ENTRADAS!J17)/14.689</f>
        <v>0</v>
      </c>
      <c r="K211" s="300">
        <f>(ENTRADAS!K16*ENTRADAS!K17)/14.689</f>
        <v>0</v>
      </c>
      <c r="L211" s="300">
        <f>(ENTRADAS!L16*ENTRADAS!L17)/14.689</f>
        <v>0</v>
      </c>
      <c r="M211" s="300">
        <f>(ENTRADAS!M16*ENTRADAS!M17)/14.689</f>
        <v>0</v>
      </c>
      <c r="N211" s="300">
        <f>(ENTRADAS!N16*ENTRADAS!N17)/14.689</f>
        <v>0</v>
      </c>
      <c r="O211" s="300">
        <f>(ENTRADAS!O16*ENTRADAS!O17)/14.689</f>
        <v>0</v>
      </c>
      <c r="P211" s="300">
        <f>SUM(D211:O211)</f>
        <v>0</v>
      </c>
      <c r="Q211" s="706"/>
      <c r="R211" s="783"/>
      <c r="S211" s="783"/>
      <c r="T211" s="783"/>
      <c r="U211" s="783"/>
      <c r="V211" s="783"/>
      <c r="W211" s="783"/>
      <c r="X211" s="783"/>
      <c r="Y211" s="783"/>
      <c r="Z211" s="783"/>
    </row>
    <row r="212" spans="1:26" hidden="1" x14ac:dyDescent="0.25">
      <c r="A212" s="670"/>
      <c r="B212" s="224" t="s">
        <v>105</v>
      </c>
      <c r="C212" s="300"/>
      <c r="D212" s="300">
        <f>(ENTRADAS!D20*ENTRADAS!D21)/14.689</f>
        <v>0</v>
      </c>
      <c r="E212" s="300">
        <f>(ENTRADAS!E20*ENTRADAS!E21)/14.689</f>
        <v>0</v>
      </c>
      <c r="F212" s="300">
        <f>(ENTRADAS!F20*ENTRADAS!F21)/14.689</f>
        <v>0</v>
      </c>
      <c r="G212" s="300">
        <f>(ENTRADAS!G20*ENTRADAS!G21)/14.689</f>
        <v>0</v>
      </c>
      <c r="H212" s="300">
        <f>(ENTRADAS!H20*ENTRADAS!H21)/14.689</f>
        <v>0</v>
      </c>
      <c r="I212" s="300">
        <f>(ENTRADAS!I20*ENTRADAS!I21)/14.689</f>
        <v>0</v>
      </c>
      <c r="J212" s="300">
        <f>(ENTRADAS!J20*ENTRADAS!J21)/14.689</f>
        <v>0</v>
      </c>
      <c r="K212" s="300">
        <f>(ENTRADAS!K20*ENTRADAS!K21)/14.689</f>
        <v>0</v>
      </c>
      <c r="L212" s="300">
        <f>(ENTRADAS!L20*ENTRADAS!L21)/14.689</f>
        <v>0</v>
      </c>
      <c r="M212" s="300">
        <f>(ENTRADAS!M20*ENTRADAS!M21)/14.689</f>
        <v>0</v>
      </c>
      <c r="N212" s="300">
        <f>(ENTRADAS!N20*ENTRADAS!N21)/14.689</f>
        <v>0</v>
      </c>
      <c r="O212" s="300">
        <f>(ENTRADAS!O20*ENTRADAS!O21)/14.689</f>
        <v>0</v>
      </c>
      <c r="P212" s="300">
        <f>SUM(D212:O212)</f>
        <v>0</v>
      </c>
      <c r="Q212" s="706"/>
      <c r="R212" s="783"/>
      <c r="S212" s="783"/>
      <c r="T212" s="783"/>
      <c r="U212" s="783"/>
      <c r="V212" s="783"/>
      <c r="W212" s="783"/>
      <c r="X212" s="783"/>
      <c r="Y212" s="783"/>
      <c r="Z212" s="783"/>
    </row>
    <row r="213" spans="1:26" hidden="1" x14ac:dyDescent="0.25">
      <c r="A213" s="670"/>
      <c r="B213" s="224" t="s">
        <v>106</v>
      </c>
      <c r="C213" s="300">
        <f>P212+P213+P218+P219</f>
        <v>0</v>
      </c>
      <c r="D213" s="300">
        <f>(ENTRADAS!D24*ENTRADAS!D25)/14.689</f>
        <v>0</v>
      </c>
      <c r="E213" s="300">
        <f>(ENTRADAS!E24*ENTRADAS!E25)/14.689</f>
        <v>0</v>
      </c>
      <c r="F213" s="300">
        <f>(ENTRADAS!F24*ENTRADAS!F25)/14.689</f>
        <v>0</v>
      </c>
      <c r="G213" s="300">
        <f>(ENTRADAS!G24*ENTRADAS!G25)/14.689</f>
        <v>0</v>
      </c>
      <c r="H213" s="300">
        <f>(ENTRADAS!H24*ENTRADAS!H25)/14.689</f>
        <v>0</v>
      </c>
      <c r="I213" s="300">
        <f>(ENTRADAS!I24*ENTRADAS!I25)/14.689</f>
        <v>0</v>
      </c>
      <c r="J213" s="300">
        <f>(ENTRADAS!J24*ENTRADAS!J25)/14.689</f>
        <v>0</v>
      </c>
      <c r="K213" s="300">
        <f>(ENTRADAS!K24*ENTRADAS!K25)/14.689</f>
        <v>0</v>
      </c>
      <c r="L213" s="300">
        <f>(ENTRADAS!L24*ENTRADAS!L25)/14.689</f>
        <v>0</v>
      </c>
      <c r="M213" s="300">
        <f>(ENTRADAS!M24*ENTRADAS!M25)/14.689</f>
        <v>0</v>
      </c>
      <c r="N213" s="300">
        <f>(ENTRADAS!N24*ENTRADAS!N25)/14.689</f>
        <v>0</v>
      </c>
      <c r="O213" s="300">
        <f>(ENTRADAS!O24*ENTRADAS!O25)/14.689</f>
        <v>0</v>
      </c>
      <c r="P213" s="300">
        <f>SUM(D213:O213)</f>
        <v>0</v>
      </c>
      <c r="Q213" s="706"/>
      <c r="R213" s="783"/>
      <c r="S213" s="783"/>
      <c r="T213" s="783"/>
      <c r="U213" s="783"/>
      <c r="V213" s="783"/>
      <c r="W213" s="783"/>
      <c r="X213" s="783"/>
      <c r="Y213" s="783"/>
      <c r="Z213" s="783"/>
    </row>
    <row r="214" spans="1:26" hidden="1" x14ac:dyDescent="0.25">
      <c r="A214" s="670"/>
      <c r="B214" s="224"/>
      <c r="C214" s="300">
        <f>SUM(C209:C213)</f>
        <v>4466.9480563687111</v>
      </c>
      <c r="D214" s="228"/>
      <c r="E214" s="228"/>
      <c r="F214" s="228"/>
      <c r="G214" s="228"/>
      <c r="H214" s="228"/>
      <c r="I214" s="228"/>
      <c r="J214" s="228"/>
      <c r="K214" s="228"/>
      <c r="L214" s="228"/>
      <c r="M214" s="228"/>
      <c r="N214" s="228"/>
      <c r="O214" s="228"/>
      <c r="P214" s="228"/>
      <c r="Q214" s="706"/>
      <c r="R214" s="783"/>
      <c r="S214" s="783"/>
      <c r="T214" s="783"/>
      <c r="U214" s="783"/>
      <c r="V214" s="783"/>
      <c r="W214" s="783"/>
      <c r="X214" s="783"/>
      <c r="Y214" s="783"/>
      <c r="Z214" s="783"/>
    </row>
    <row r="215" spans="1:26" hidden="1" x14ac:dyDescent="0.25">
      <c r="A215" s="670"/>
      <c r="B215" s="224"/>
      <c r="C215" s="653"/>
      <c r="D215" s="228"/>
      <c r="E215" s="228"/>
      <c r="F215" s="228"/>
      <c r="G215" s="228"/>
      <c r="H215" s="228"/>
      <c r="I215" s="228"/>
      <c r="J215" s="228"/>
      <c r="K215" s="228"/>
      <c r="L215" s="228"/>
      <c r="M215" s="228"/>
      <c r="N215" s="228"/>
      <c r="O215" s="228"/>
      <c r="P215" s="228"/>
      <c r="Q215" s="706"/>
      <c r="R215" s="783"/>
      <c r="S215" s="783"/>
      <c r="T215" s="783"/>
      <c r="U215" s="783"/>
      <c r="V215" s="783"/>
      <c r="W215" s="783"/>
      <c r="X215" s="783"/>
      <c r="Y215" s="783"/>
      <c r="Z215" s="783"/>
    </row>
    <row r="216" spans="1:26" hidden="1" x14ac:dyDescent="0.25">
      <c r="A216" s="670"/>
      <c r="B216" s="651" t="s">
        <v>200</v>
      </c>
      <c r="C216" s="977"/>
      <c r="D216" s="978"/>
      <c r="E216" s="978"/>
      <c r="F216" s="978"/>
      <c r="G216" s="978"/>
      <c r="H216" s="978"/>
      <c r="I216" s="978"/>
      <c r="J216" s="978"/>
      <c r="K216" s="978"/>
      <c r="L216" s="978"/>
      <c r="M216" s="978"/>
      <c r="N216" s="978"/>
      <c r="O216" s="978"/>
      <c r="P216" s="978"/>
      <c r="Q216" s="706"/>
      <c r="R216" s="783"/>
      <c r="S216" s="783"/>
      <c r="T216" s="783"/>
      <c r="U216" s="783"/>
      <c r="V216" s="783"/>
      <c r="W216" s="783"/>
      <c r="X216" s="783"/>
      <c r="Y216" s="783"/>
      <c r="Z216" s="783"/>
    </row>
    <row r="217" spans="1:26" hidden="1" x14ac:dyDescent="0.25">
      <c r="A217" s="670"/>
      <c r="B217" s="224" t="s">
        <v>14</v>
      </c>
      <c r="C217" s="224"/>
      <c r="D217" s="300">
        <f>(ENTRADAS!D31*ENTRADAS!D32)/14.689</f>
        <v>0</v>
      </c>
      <c r="E217" s="300">
        <f>(ENTRADAS!E31*ENTRADAS!E32)/14.689</f>
        <v>0</v>
      </c>
      <c r="F217" s="300">
        <f>(ENTRADAS!F31*ENTRADAS!F32)/14.689</f>
        <v>0</v>
      </c>
      <c r="G217" s="300">
        <f>(ENTRADAS!G31*ENTRADAS!G32)/14.689</f>
        <v>0</v>
      </c>
      <c r="H217" s="300">
        <f>(ENTRADAS!H31*ENTRADAS!H32)/14.689</f>
        <v>0</v>
      </c>
      <c r="I217" s="300">
        <f>(ENTRADAS!I31*ENTRADAS!I32)/14.689</f>
        <v>0</v>
      </c>
      <c r="J217" s="300">
        <f>(ENTRADAS!J31*ENTRADAS!J32)/14.689</f>
        <v>4435.7682619647358</v>
      </c>
      <c r="K217" s="300">
        <f>(ENTRADAS!K31*ENTRADAS!K32)/14.689</f>
        <v>0</v>
      </c>
      <c r="L217" s="300">
        <f>(ENTRADAS!L31*ENTRADAS!L32)/14.689</f>
        <v>0</v>
      </c>
      <c r="M217" s="300">
        <f>(ENTRADAS!M31*ENTRADAS!M32)/14.689</f>
        <v>0</v>
      </c>
      <c r="N217" s="300">
        <f>(ENTRADAS!N31*ENTRADAS!N32)/14.689</f>
        <v>0</v>
      </c>
      <c r="O217" s="300">
        <f>(ENTRADAS!O31*ENTRADAS!O32)/14.689</f>
        <v>0</v>
      </c>
      <c r="P217" s="300">
        <f>SUM(D217:O217)</f>
        <v>4435.7682619647358</v>
      </c>
      <c r="Q217" s="672"/>
      <c r="R217" s="783"/>
      <c r="S217" s="783"/>
      <c r="T217" s="783"/>
      <c r="U217" s="783"/>
      <c r="V217" s="783"/>
      <c r="W217" s="783"/>
      <c r="X217" s="783"/>
      <c r="Y217" s="783"/>
      <c r="Z217" s="783"/>
    </row>
    <row r="218" spans="1:26" hidden="1" x14ac:dyDescent="0.25">
      <c r="A218" s="670"/>
      <c r="B218" s="224" t="s">
        <v>105</v>
      </c>
      <c r="C218" s="224"/>
      <c r="D218" s="300">
        <f>(ENTRADAS!D35*ENTRADAS!D36)/14.689</f>
        <v>0</v>
      </c>
      <c r="E218" s="300">
        <f>(ENTRADAS!E35*ENTRADAS!E36)/14.689</f>
        <v>0</v>
      </c>
      <c r="F218" s="300">
        <f>(ENTRADAS!F35*ENTRADAS!F36)/14.689</f>
        <v>0</v>
      </c>
      <c r="G218" s="300">
        <f>(ENTRADAS!G35*ENTRADAS!G36)/14.689</f>
        <v>0</v>
      </c>
      <c r="H218" s="300">
        <f>(ENTRADAS!H35*ENTRADAS!H36)/14.689</f>
        <v>0</v>
      </c>
      <c r="I218" s="300">
        <f>(ENTRADAS!I35*ENTRADAS!I36)/14.689</f>
        <v>0</v>
      </c>
      <c r="J218" s="300">
        <f>(ENTRADAS!J35*ENTRADAS!J36)/14.689</f>
        <v>0</v>
      </c>
      <c r="K218" s="300">
        <f>(ENTRADAS!K35*ENTRADAS!K36)/14.689</f>
        <v>0</v>
      </c>
      <c r="L218" s="300">
        <f>(ENTRADAS!L35*ENTRADAS!L36)/14.689</f>
        <v>0</v>
      </c>
      <c r="M218" s="300">
        <f>(ENTRADAS!M35*ENTRADAS!M36)/14.689</f>
        <v>0</v>
      </c>
      <c r="N218" s="300">
        <f>(ENTRADAS!N35*ENTRADAS!N36)/14.689</f>
        <v>0</v>
      </c>
      <c r="O218" s="300">
        <f>(ENTRADAS!O35*ENTRADAS!O36)/14.689</f>
        <v>0</v>
      </c>
      <c r="P218" s="300">
        <f>SUM(D218:O218)</f>
        <v>0</v>
      </c>
      <c r="Q218" s="672"/>
      <c r="R218" s="783"/>
      <c r="S218" s="783"/>
      <c r="T218" s="783"/>
      <c r="U218" s="783"/>
      <c r="V218" s="783"/>
      <c r="W218" s="783"/>
      <c r="X218" s="783"/>
      <c r="Y218" s="783"/>
      <c r="Z218" s="783"/>
    </row>
    <row r="219" spans="1:26" hidden="1" x14ac:dyDescent="0.25">
      <c r="A219" s="670"/>
      <c r="B219" s="224" t="s">
        <v>106</v>
      </c>
      <c r="C219" s="224"/>
      <c r="D219" s="300">
        <f>(ENTRADAS!D39*ENTRADAS!D40)/14.689</f>
        <v>0</v>
      </c>
      <c r="E219" s="300">
        <f>(ENTRADAS!E39*ENTRADAS!E40)/14.689</f>
        <v>0</v>
      </c>
      <c r="F219" s="300">
        <f>(ENTRADAS!F39*ENTRADAS!F40)/14.689</f>
        <v>0</v>
      </c>
      <c r="G219" s="300">
        <f>(ENTRADAS!G39*ENTRADAS!G40)/14.689</f>
        <v>0</v>
      </c>
      <c r="H219" s="300">
        <f>(ENTRADAS!H39*ENTRADAS!H40)/14.689</f>
        <v>0</v>
      </c>
      <c r="I219" s="300">
        <f>(ENTRADAS!I39*ENTRADAS!I40)/14.689</f>
        <v>0</v>
      </c>
      <c r="J219" s="300">
        <f>(ENTRADAS!J39*ENTRADAS!J40)/14.689</f>
        <v>0</v>
      </c>
      <c r="K219" s="300">
        <f>(ENTRADAS!K39*ENTRADAS!K40)/14.689</f>
        <v>0</v>
      </c>
      <c r="L219" s="300">
        <f>(ENTRADAS!L39*ENTRADAS!L40)/14.689</f>
        <v>0</v>
      </c>
      <c r="M219" s="300">
        <f>(ENTRADAS!M39*ENTRADAS!M40)/14.689</f>
        <v>0</v>
      </c>
      <c r="N219" s="300">
        <f>(ENTRADAS!N39*ENTRADAS!N40)/14.689</f>
        <v>0</v>
      </c>
      <c r="O219" s="300">
        <f>(ENTRADAS!O39*ENTRADAS!O40)/14.689</f>
        <v>0</v>
      </c>
      <c r="P219" s="300">
        <f>SUM(D219:O219)</f>
        <v>0</v>
      </c>
      <c r="Q219" s="672"/>
      <c r="R219" s="783"/>
      <c r="S219" s="783"/>
      <c r="T219" s="783"/>
      <c r="U219" s="783"/>
      <c r="V219" s="783"/>
      <c r="W219" s="783"/>
      <c r="X219" s="783"/>
      <c r="Y219" s="783"/>
      <c r="Z219" s="783"/>
    </row>
    <row r="220" spans="1:26" hidden="1" x14ac:dyDescent="0.25">
      <c r="A220" s="670"/>
      <c r="B220" s="224"/>
      <c r="C220" s="224"/>
      <c r="D220" s="300"/>
      <c r="E220" s="300"/>
      <c r="F220" s="300"/>
      <c r="G220" s="300"/>
      <c r="H220" s="300"/>
      <c r="I220" s="300"/>
      <c r="J220" s="300"/>
      <c r="K220" s="300"/>
      <c r="L220" s="300"/>
      <c r="M220" s="300"/>
      <c r="N220" s="300"/>
      <c r="O220" s="300"/>
      <c r="P220" s="300"/>
      <c r="Q220" s="672"/>
      <c r="R220" s="783"/>
      <c r="S220" s="783"/>
      <c r="T220" s="783"/>
      <c r="U220" s="783"/>
      <c r="V220" s="783"/>
      <c r="W220" s="783"/>
      <c r="X220" s="783"/>
      <c r="Y220" s="783"/>
      <c r="Z220" s="783"/>
    </row>
    <row r="221" spans="1:26" hidden="1" x14ac:dyDescent="0.25">
      <c r="A221" s="670"/>
      <c r="B221" s="651" t="s">
        <v>119</v>
      </c>
      <c r="C221" s="977"/>
      <c r="D221" s="978"/>
      <c r="E221" s="978"/>
      <c r="F221" s="978"/>
      <c r="G221" s="978"/>
      <c r="H221" s="978"/>
      <c r="I221" s="978"/>
      <c r="J221" s="978"/>
      <c r="K221" s="978"/>
      <c r="L221" s="978"/>
      <c r="M221" s="978"/>
      <c r="N221" s="978"/>
      <c r="O221" s="978"/>
      <c r="P221" s="978"/>
      <c r="Q221" s="672"/>
      <c r="R221" s="783"/>
      <c r="S221" s="783"/>
      <c r="T221" s="783"/>
      <c r="U221" s="783"/>
      <c r="V221" s="783"/>
      <c r="W221" s="783"/>
      <c r="X221" s="783"/>
      <c r="Y221" s="783"/>
      <c r="Z221" s="783"/>
    </row>
    <row r="222" spans="1:26" hidden="1" x14ac:dyDescent="0.25">
      <c r="A222" s="670"/>
      <c r="B222" s="224" t="s">
        <v>12</v>
      </c>
      <c r="C222" s="224"/>
      <c r="D222" s="300">
        <f>SUMIFS(ENTRADAS!$K$46:$K$65,ENTRADAS!$D$46:$D$65,'RESULTADOS FINANCEIROS'!D$201,ENTRADAS!$H$46:$H$65,'RESULTADOS FINANCEIROS'!$B222)</f>
        <v>0</v>
      </c>
      <c r="E222" s="300">
        <f>SUMIFS(ENTRADAS!$K$46:$K$65,ENTRADAS!$D$46:$D$65,'RESULTADOS FINANCEIROS'!E$201,ENTRADAS!$H$46:$H$65,'RESULTADOS FINANCEIROS'!$B222)</f>
        <v>0</v>
      </c>
      <c r="F222" s="300">
        <f>SUMIFS(ENTRADAS!$K$46:$K$65,ENTRADAS!$D$46:$D$65,'RESULTADOS FINANCEIROS'!F$201,ENTRADAS!$H$46:$H$65,'RESULTADOS FINANCEIROS'!$B222)</f>
        <v>0</v>
      </c>
      <c r="G222" s="300">
        <f>SUMIFS(ENTRADAS!$K$46:$K$65,ENTRADAS!$D$46:$D$65,'RESULTADOS FINANCEIROS'!G$201,ENTRADAS!$H$46:$H$65,'RESULTADOS FINANCEIROS'!$B222)</f>
        <v>0</v>
      </c>
      <c r="H222" s="300">
        <f>SUMIFS(ENTRADAS!$K$46:$K$65,ENTRADAS!$D$46:$D$65,'RESULTADOS FINANCEIROS'!H$201,ENTRADAS!$H$46:$H$65,'RESULTADOS FINANCEIROS'!$B222)</f>
        <v>0</v>
      </c>
      <c r="I222" s="300">
        <f>SUMIFS(ENTRADAS!$K$46:$K$65,ENTRADAS!$D$46:$D$65,'RESULTADOS FINANCEIROS'!I$201,ENTRADAS!$H$46:$H$65,'RESULTADOS FINANCEIROS'!$B222)</f>
        <v>0</v>
      </c>
      <c r="J222" s="300">
        <f>SUMIFS(ENTRADAS!$K$46:$K$65,ENTRADAS!$D$46:$D$65,'RESULTADOS FINANCEIROS'!J$201,ENTRADAS!$H$46:$H$65,'RESULTADOS FINANCEIROS'!$B222)</f>
        <v>0</v>
      </c>
      <c r="K222" s="300">
        <f>SUMIFS(ENTRADAS!$K$46:$K$65,ENTRADAS!$D$46:$D$65,'RESULTADOS FINANCEIROS'!K$201,ENTRADAS!$H$46:$H$65,'RESULTADOS FINANCEIROS'!$B222)</f>
        <v>0</v>
      </c>
      <c r="L222" s="300">
        <f>SUMIFS(ENTRADAS!$K$46:$K$65,ENTRADAS!$D$46:$D$65,'RESULTADOS FINANCEIROS'!L$201,ENTRADAS!$H$46:$H$65,'RESULTADOS FINANCEIROS'!$B222)</f>
        <v>0</v>
      </c>
      <c r="M222" s="300">
        <f>SUMIFS(ENTRADAS!$K$46:$K$65,ENTRADAS!$D$46:$D$65,'RESULTADOS FINANCEIROS'!M$201,ENTRADAS!$H$46:$H$65,'RESULTADOS FINANCEIROS'!$B222)</f>
        <v>0</v>
      </c>
      <c r="N222" s="300">
        <f>SUMIFS(ENTRADAS!$K$46:$K$65,ENTRADAS!$D$46:$D$65,'RESULTADOS FINANCEIROS'!N$201,ENTRADAS!$H$46:$H$65,'RESULTADOS FINANCEIROS'!$B222)</f>
        <v>0</v>
      </c>
      <c r="O222" s="300">
        <f>SUMIFS(ENTRADAS!$K$46:$K$65,ENTRADAS!$D$46:$D$65,'RESULTADOS FINANCEIROS'!O$201,ENTRADAS!$H$46:$H$65,'RESULTADOS FINANCEIROS'!$B222)</f>
        <v>0</v>
      </c>
      <c r="P222" s="300">
        <f>SUM(D222:O222)</f>
        <v>0</v>
      </c>
      <c r="Q222" s="672"/>
      <c r="R222" s="783"/>
      <c r="S222" s="783"/>
      <c r="T222" s="783"/>
      <c r="U222" s="783"/>
      <c r="V222" s="783"/>
      <c r="W222" s="783"/>
      <c r="X222" s="783"/>
      <c r="Y222" s="783"/>
      <c r="Z222" s="783"/>
    </row>
    <row r="223" spans="1:26" hidden="1" x14ac:dyDescent="0.25">
      <c r="A223" s="670"/>
      <c r="B223" s="224" t="s">
        <v>13</v>
      </c>
      <c r="C223" s="224"/>
      <c r="D223" s="300">
        <f>SUMIFS(ENTRADAS!$K$46:$K$65,ENTRADAS!$D$46:$D$65,'RESULTADOS FINANCEIROS'!D$201,ENTRADAS!$H$46:$H$65,'RESULTADOS FINANCEIROS'!$B223)</f>
        <v>0</v>
      </c>
      <c r="E223" s="300">
        <f>SUMIFS(ENTRADAS!$K$46:$K$65,ENTRADAS!$D$46:$D$65,'RESULTADOS FINANCEIROS'!E$201,ENTRADAS!$H$46:$H$65,'RESULTADOS FINANCEIROS'!$B223)</f>
        <v>0</v>
      </c>
      <c r="F223" s="300">
        <f>SUMIFS(ENTRADAS!$K$46:$K$65,ENTRADAS!$D$46:$D$65,'RESULTADOS FINANCEIROS'!F$201,ENTRADAS!$H$46:$H$65,'RESULTADOS FINANCEIROS'!$B223)</f>
        <v>0</v>
      </c>
      <c r="G223" s="300">
        <f>SUMIFS(ENTRADAS!$K$46:$K$65,ENTRADAS!$D$46:$D$65,'RESULTADOS FINANCEIROS'!G$201,ENTRADAS!$H$46:$H$65,'RESULTADOS FINANCEIROS'!$B223)</f>
        <v>0</v>
      </c>
      <c r="H223" s="300">
        <f>SUMIFS(ENTRADAS!$K$46:$K$65,ENTRADAS!$D$46:$D$65,'RESULTADOS FINANCEIROS'!H$201,ENTRADAS!$H$46:$H$65,'RESULTADOS FINANCEIROS'!$B223)</f>
        <v>0</v>
      </c>
      <c r="I223" s="300">
        <f>SUMIFS(ENTRADAS!$K$46:$K$65,ENTRADAS!$D$46:$D$65,'RESULTADOS FINANCEIROS'!I$201,ENTRADAS!$H$46:$H$65,'RESULTADOS FINANCEIROS'!$B223)</f>
        <v>0</v>
      </c>
      <c r="J223" s="300">
        <f>SUMIFS(ENTRADAS!$K$46:$K$65,ENTRADAS!$D$46:$D$65,'RESULTADOS FINANCEIROS'!J$201,ENTRADAS!$H$46:$H$65,'RESULTADOS FINANCEIROS'!$B223)</f>
        <v>0</v>
      </c>
      <c r="K223" s="300">
        <f>SUMIFS(ENTRADAS!$K$46:$K$65,ENTRADAS!$D$46:$D$65,'RESULTADOS FINANCEIROS'!K$201,ENTRADAS!$H$46:$H$65,'RESULTADOS FINANCEIROS'!$B223)</f>
        <v>0</v>
      </c>
      <c r="L223" s="300">
        <f>SUMIFS(ENTRADAS!$K$46:$K$65,ENTRADAS!$D$46:$D$65,'RESULTADOS FINANCEIROS'!L$201,ENTRADAS!$H$46:$H$65,'RESULTADOS FINANCEIROS'!$B223)</f>
        <v>0</v>
      </c>
      <c r="M223" s="300">
        <f>SUMIFS(ENTRADAS!$K$46:$K$65,ENTRADAS!$D$46:$D$65,'RESULTADOS FINANCEIROS'!M$201,ENTRADAS!$H$46:$H$65,'RESULTADOS FINANCEIROS'!$B223)</f>
        <v>0</v>
      </c>
      <c r="N223" s="300">
        <f>SUMIFS(ENTRADAS!$K$46:$K$65,ENTRADAS!$D$46:$D$65,'RESULTADOS FINANCEIROS'!N$201,ENTRADAS!$H$46:$H$65,'RESULTADOS FINANCEIROS'!$B223)</f>
        <v>0</v>
      </c>
      <c r="O223" s="300">
        <f>SUMIFS(ENTRADAS!$K$46:$K$65,ENTRADAS!$D$46:$D$65,'RESULTADOS FINANCEIROS'!O$201,ENTRADAS!$H$46:$H$65,'RESULTADOS FINANCEIROS'!$B223)</f>
        <v>0</v>
      </c>
      <c r="P223" s="300">
        <f>SUM(D223:O223)</f>
        <v>0</v>
      </c>
      <c r="Q223" s="672"/>
      <c r="R223" s="783"/>
      <c r="S223" s="783"/>
      <c r="T223" s="783"/>
      <c r="U223" s="783"/>
      <c r="V223" s="783"/>
      <c r="W223" s="783"/>
      <c r="X223" s="783"/>
      <c r="Y223" s="783"/>
      <c r="Z223" s="783"/>
    </row>
    <row r="224" spans="1:26" hidden="1" x14ac:dyDescent="0.25">
      <c r="A224" s="670"/>
      <c r="B224" s="224" t="s">
        <v>14</v>
      </c>
      <c r="C224" s="224"/>
      <c r="D224" s="300">
        <f>SUMIFS(ENTRADAS!$K$46:$K$65,ENTRADAS!$D$46:$D$65,'RESULTADOS FINANCEIROS'!D$201,ENTRADAS!$H$46:$H$65,'RESULTADOS FINANCEIROS'!$B224)</f>
        <v>0</v>
      </c>
      <c r="E224" s="300">
        <f>SUMIFS(ENTRADAS!$K$46:$K$65,ENTRADAS!$D$46:$D$65,'RESULTADOS FINANCEIROS'!E$201,ENTRADAS!$H$46:$H$65,'RESULTADOS FINANCEIROS'!$B224)</f>
        <v>0</v>
      </c>
      <c r="F224" s="300">
        <f>SUMIFS(ENTRADAS!$K$46:$K$65,ENTRADAS!$D$46:$D$65,'RESULTADOS FINANCEIROS'!F$201,ENTRADAS!$H$46:$H$65,'RESULTADOS FINANCEIROS'!$B224)</f>
        <v>0</v>
      </c>
      <c r="G224" s="300">
        <f>SUMIFS(ENTRADAS!$K$46:$K$65,ENTRADAS!$D$46:$D$65,'RESULTADOS FINANCEIROS'!G$201,ENTRADAS!$H$46:$H$65,'RESULTADOS FINANCEIROS'!$B224)</f>
        <v>0</v>
      </c>
      <c r="H224" s="300">
        <f>SUMIFS(ENTRADAS!$K$46:$K$65,ENTRADAS!$D$46:$D$65,'RESULTADOS FINANCEIROS'!H$201,ENTRADAS!$H$46:$H$65,'RESULTADOS FINANCEIROS'!$B224)</f>
        <v>0</v>
      </c>
      <c r="I224" s="300">
        <f>SUMIFS(ENTRADAS!$K$46:$K$65,ENTRADAS!$D$46:$D$65,'RESULTADOS FINANCEIROS'!I$201,ENTRADAS!$H$46:$H$65,'RESULTADOS FINANCEIROS'!$B224)</f>
        <v>0</v>
      </c>
      <c r="J224" s="300">
        <f>SUMIFS(ENTRADAS!$K$46:$K$65,ENTRADAS!$D$46:$D$65,'RESULTADOS FINANCEIROS'!J$201,ENTRADAS!$H$46:$H$65,'RESULTADOS FINANCEIROS'!$B224)</f>
        <v>0</v>
      </c>
      <c r="K224" s="300">
        <f>SUMIFS(ENTRADAS!$K$46:$K$65,ENTRADAS!$D$46:$D$65,'RESULTADOS FINANCEIROS'!K$201,ENTRADAS!$H$46:$H$65,'RESULTADOS FINANCEIROS'!$B224)</f>
        <v>0</v>
      </c>
      <c r="L224" s="300">
        <f>SUMIFS(ENTRADAS!$K$46:$K$65,ENTRADAS!$D$46:$D$65,'RESULTADOS FINANCEIROS'!L$201,ENTRADAS!$H$46:$H$65,'RESULTADOS FINANCEIROS'!$B224)</f>
        <v>0</v>
      </c>
      <c r="M224" s="300">
        <f>SUMIFS(ENTRADAS!$K$46:$K$65,ENTRADAS!$D$46:$D$65,'RESULTADOS FINANCEIROS'!M$201,ENTRADAS!$H$46:$H$65,'RESULTADOS FINANCEIROS'!$B224)</f>
        <v>0</v>
      </c>
      <c r="N224" s="300">
        <f>SUMIFS(ENTRADAS!$K$46:$K$65,ENTRADAS!$D$46:$D$65,'RESULTADOS FINANCEIROS'!N$201,ENTRADAS!$H$46:$H$65,'RESULTADOS FINANCEIROS'!$B224)</f>
        <v>0</v>
      </c>
      <c r="O224" s="300">
        <f>SUMIFS(ENTRADAS!$K$46:$K$65,ENTRADAS!$D$46:$D$65,'RESULTADOS FINANCEIROS'!O$201,ENTRADAS!$H$46:$H$65,'RESULTADOS FINANCEIROS'!$B224)</f>
        <v>0</v>
      </c>
      <c r="P224" s="300">
        <f>SUM(D224:O224)</f>
        <v>0</v>
      </c>
      <c r="Q224" s="672"/>
      <c r="R224" s="783"/>
      <c r="S224" s="783"/>
      <c r="T224" s="783"/>
      <c r="U224" s="783"/>
      <c r="V224" s="783"/>
      <c r="W224" s="783"/>
      <c r="X224" s="783"/>
      <c r="Y224" s="783"/>
      <c r="Z224" s="783"/>
    </row>
    <row r="225" spans="1:26" hidden="1" x14ac:dyDescent="0.25">
      <c r="A225" s="670"/>
      <c r="B225" s="224" t="s">
        <v>237</v>
      </c>
      <c r="C225" s="224"/>
      <c r="D225" s="300">
        <f>SUMIFS(ENTRADAS!$K$46:$K$65,ENTRADAS!$D$46:$D$65,'RESULTADOS FINANCEIROS'!D$201,ENTRADAS!$H$46:$H$65,'RESULTADOS FINANCEIROS'!$B225)</f>
        <v>0</v>
      </c>
      <c r="E225" s="300">
        <f>SUMIFS(ENTRADAS!$K$46:$K$65,ENTRADAS!$D$46:$D$65,'RESULTADOS FINANCEIROS'!E$201,ENTRADAS!$H$46:$H$65,'RESULTADOS FINANCEIROS'!$B225)</f>
        <v>0</v>
      </c>
      <c r="F225" s="300">
        <f>SUMIFS(ENTRADAS!$K$46:$K$65,ENTRADAS!$D$46:$D$65,'RESULTADOS FINANCEIROS'!F$201,ENTRADAS!$H$46:$H$65,'RESULTADOS FINANCEIROS'!$B225)</f>
        <v>0</v>
      </c>
      <c r="G225" s="300">
        <f>SUMIFS(ENTRADAS!$K$46:$K$65,ENTRADAS!$D$46:$D$65,'RESULTADOS FINANCEIROS'!G$201,ENTRADAS!$H$46:$H$65,'RESULTADOS FINANCEIROS'!$B225)</f>
        <v>0</v>
      </c>
      <c r="H225" s="300">
        <f>SUMIFS(ENTRADAS!$K$46:$K$65,ENTRADAS!$D$46:$D$65,'RESULTADOS FINANCEIROS'!H$201,ENTRADAS!$H$46:$H$65,'RESULTADOS FINANCEIROS'!$B225)</f>
        <v>0</v>
      </c>
      <c r="I225" s="300">
        <f>SUMIFS(ENTRADAS!$K$46:$K$65,ENTRADAS!$D$46:$D$65,'RESULTADOS FINANCEIROS'!I$201,ENTRADAS!$H$46:$H$65,'RESULTADOS FINANCEIROS'!$B225)</f>
        <v>0</v>
      </c>
      <c r="J225" s="300">
        <f>SUMIFS(ENTRADAS!$K$46:$K$65,ENTRADAS!$D$46:$D$65,'RESULTADOS FINANCEIROS'!J$201,ENTRADAS!$H$46:$H$65,'RESULTADOS FINANCEIROS'!$B225)</f>
        <v>0</v>
      </c>
      <c r="K225" s="300">
        <f>SUMIFS(ENTRADAS!$K$46:$K$65,ENTRADAS!$D$46:$D$65,'RESULTADOS FINANCEIROS'!K$201,ENTRADAS!$H$46:$H$65,'RESULTADOS FINANCEIROS'!$B225)</f>
        <v>0</v>
      </c>
      <c r="L225" s="300">
        <f>SUMIFS(ENTRADAS!$K$46:$K$65,ENTRADAS!$D$46:$D$65,'RESULTADOS FINANCEIROS'!L$201,ENTRADAS!$H$46:$H$65,'RESULTADOS FINANCEIROS'!$B225)</f>
        <v>0</v>
      </c>
      <c r="M225" s="300">
        <f>SUMIFS(ENTRADAS!$K$46:$K$65,ENTRADAS!$D$46:$D$65,'RESULTADOS FINANCEIROS'!M$201,ENTRADAS!$H$46:$H$65,'RESULTADOS FINANCEIROS'!$B225)</f>
        <v>0</v>
      </c>
      <c r="N225" s="300">
        <f>SUMIFS(ENTRADAS!$K$46:$K$65,ENTRADAS!$D$46:$D$65,'RESULTADOS FINANCEIROS'!N$201,ENTRADAS!$H$46:$H$65,'RESULTADOS FINANCEIROS'!$B225)</f>
        <v>0</v>
      </c>
      <c r="O225" s="300">
        <f>SUMIFS(ENTRADAS!$K$46:$K$65,ENTRADAS!$D$46:$D$65,'RESULTADOS FINANCEIROS'!O$201,ENTRADAS!$H$46:$H$65,'RESULTADOS FINANCEIROS'!$B225)</f>
        <v>0</v>
      </c>
      <c r="P225" s="300">
        <f>SUM(D225:O225)</f>
        <v>0</v>
      </c>
      <c r="Q225" s="672"/>
      <c r="R225" s="783"/>
      <c r="S225" s="783"/>
      <c r="T225" s="783"/>
      <c r="U225" s="783"/>
      <c r="V225" s="783"/>
      <c r="W225" s="783"/>
      <c r="X225" s="783"/>
      <c r="Y225" s="783"/>
      <c r="Z225" s="783"/>
    </row>
    <row r="226" spans="1:26" hidden="1" x14ac:dyDescent="0.25">
      <c r="A226" s="670"/>
      <c r="B226" s="224"/>
      <c r="C226" s="224"/>
      <c r="D226" s="300"/>
      <c r="E226" s="300"/>
      <c r="F226" s="300"/>
      <c r="G226" s="300"/>
      <c r="H226" s="300"/>
      <c r="I226" s="300"/>
      <c r="J226" s="300"/>
      <c r="K226" s="300"/>
      <c r="L226" s="300"/>
      <c r="M226" s="300"/>
      <c r="N226" s="300"/>
      <c r="O226" s="300"/>
      <c r="P226" s="300"/>
      <c r="Q226" s="672"/>
      <c r="R226" s="783"/>
      <c r="S226" s="783"/>
      <c r="T226" s="783"/>
      <c r="U226" s="783"/>
      <c r="V226" s="783"/>
      <c r="W226" s="783"/>
      <c r="X226" s="783"/>
      <c r="Y226" s="783"/>
      <c r="Z226" s="783"/>
    </row>
    <row r="227" spans="1:26" hidden="1" x14ac:dyDescent="0.25">
      <c r="A227" s="670"/>
      <c r="B227" s="224"/>
      <c r="C227" s="224"/>
      <c r="D227" s="228"/>
      <c r="E227" s="228"/>
      <c r="F227" s="228"/>
      <c r="G227" s="228"/>
      <c r="H227" s="228"/>
      <c r="I227" s="228"/>
      <c r="J227" s="228"/>
      <c r="K227" s="228"/>
      <c r="L227" s="228"/>
      <c r="M227" s="228"/>
      <c r="N227" s="228"/>
      <c r="O227" s="228"/>
      <c r="P227" s="228"/>
      <c r="Q227" s="672"/>
      <c r="R227" s="783"/>
      <c r="S227" s="783"/>
      <c r="T227" s="783"/>
      <c r="U227" s="783"/>
      <c r="V227" s="783"/>
      <c r="W227" s="783"/>
      <c r="X227" s="783"/>
      <c r="Y227" s="783"/>
      <c r="Z227" s="783"/>
    </row>
    <row r="228" spans="1:26" hidden="1" x14ac:dyDescent="0.25">
      <c r="A228" s="670"/>
      <c r="B228" s="224"/>
      <c r="C228" s="224"/>
      <c r="D228" s="228"/>
      <c r="E228" s="228"/>
      <c r="F228" s="228"/>
      <c r="G228" s="228"/>
      <c r="H228" s="228"/>
      <c r="I228" s="228"/>
      <c r="J228" s="228"/>
      <c r="K228" s="228"/>
      <c r="L228" s="228"/>
      <c r="M228" s="228"/>
      <c r="N228" s="228"/>
      <c r="O228" s="228"/>
      <c r="P228" s="228"/>
      <c r="Q228" s="672"/>
      <c r="R228" s="783"/>
      <c r="S228" s="783"/>
      <c r="T228" s="783"/>
      <c r="U228" s="783"/>
      <c r="V228" s="783"/>
      <c r="W228" s="783"/>
      <c r="X228" s="783"/>
      <c r="Y228" s="783"/>
      <c r="Z228" s="783"/>
    </row>
    <row r="229" spans="1:26" hidden="1" x14ac:dyDescent="0.25">
      <c r="A229" s="670"/>
      <c r="B229" s="944" t="s">
        <v>170</v>
      </c>
      <c r="C229" s="945" t="s">
        <v>207</v>
      </c>
      <c r="D229" s="945"/>
      <c r="E229" s="946"/>
      <c r="F229" s="946"/>
      <c r="G229" s="946"/>
      <c r="H229" s="946"/>
      <c r="I229" s="946"/>
      <c r="J229" s="946"/>
      <c r="K229" s="946"/>
      <c r="L229" s="946"/>
      <c r="M229" s="946"/>
      <c r="N229" s="946"/>
      <c r="O229" s="946"/>
      <c r="P229" s="946"/>
      <c r="Q229" s="672"/>
      <c r="R229" s="783"/>
      <c r="S229" s="783"/>
      <c r="T229" s="783"/>
      <c r="U229" s="783"/>
      <c r="V229" s="783"/>
      <c r="W229" s="783"/>
      <c r="X229" s="783"/>
      <c r="Y229" s="783"/>
      <c r="Z229" s="783"/>
    </row>
    <row r="230" spans="1:26" hidden="1" x14ac:dyDescent="0.25">
      <c r="A230" s="670"/>
      <c r="B230" s="224" t="s">
        <v>12</v>
      </c>
      <c r="C230" s="300">
        <f>P230+P243</f>
        <v>0</v>
      </c>
      <c r="D230" s="300">
        <f>ENTRADAS!D11</f>
        <v>0</v>
      </c>
      <c r="E230" s="300">
        <f>ENTRADAS!E11</f>
        <v>0</v>
      </c>
      <c r="F230" s="300">
        <f>ENTRADAS!F11</f>
        <v>0</v>
      </c>
      <c r="G230" s="300">
        <f>ENTRADAS!G11</f>
        <v>0</v>
      </c>
      <c r="H230" s="300">
        <f>ENTRADAS!H11</f>
        <v>0</v>
      </c>
      <c r="I230" s="300">
        <f>ENTRADAS!I11</f>
        <v>0</v>
      </c>
      <c r="J230" s="300">
        <f>ENTRADAS!J11</f>
        <v>0</v>
      </c>
      <c r="K230" s="300">
        <f>ENTRADAS!K11</f>
        <v>0</v>
      </c>
      <c r="L230" s="300">
        <f>ENTRADAS!L11</f>
        <v>0</v>
      </c>
      <c r="M230" s="300">
        <f>ENTRADAS!M11</f>
        <v>0</v>
      </c>
      <c r="N230" s="300">
        <f>ENTRADAS!N11</f>
        <v>0</v>
      </c>
      <c r="O230" s="300">
        <f>ENTRADAS!O11</f>
        <v>0</v>
      </c>
      <c r="P230" s="300">
        <f>SUM(D230:O230)</f>
        <v>0</v>
      </c>
      <c r="Q230" s="706"/>
      <c r="R230" s="783"/>
      <c r="S230" s="783"/>
      <c r="T230" s="783"/>
      <c r="U230" s="783"/>
      <c r="V230" s="783"/>
      <c r="W230" s="783"/>
      <c r="X230" s="783"/>
      <c r="Y230" s="783"/>
      <c r="Z230" s="783"/>
    </row>
    <row r="231" spans="1:26" hidden="1" x14ac:dyDescent="0.25">
      <c r="A231" s="670"/>
      <c r="B231" s="224" t="s">
        <v>13</v>
      </c>
      <c r="C231" s="300">
        <f>P231+P244</f>
        <v>3000</v>
      </c>
      <c r="D231" s="300">
        <f>ENTRADAS!D15</f>
        <v>0</v>
      </c>
      <c r="E231" s="300">
        <f>ENTRADAS!E15</f>
        <v>0</v>
      </c>
      <c r="F231" s="300">
        <f>ENTRADAS!F15</f>
        <v>0</v>
      </c>
      <c r="G231" s="300">
        <f>ENTRADAS!G15</f>
        <v>3000</v>
      </c>
      <c r="H231" s="300">
        <f>ENTRADAS!H15</f>
        <v>0</v>
      </c>
      <c r="I231" s="300">
        <f>ENTRADAS!I15</f>
        <v>0</v>
      </c>
      <c r="J231" s="300">
        <f>ENTRADAS!J15</f>
        <v>0</v>
      </c>
      <c r="K231" s="300">
        <f>ENTRADAS!K15</f>
        <v>0</v>
      </c>
      <c r="L231" s="300">
        <f>ENTRADAS!L15</f>
        <v>0</v>
      </c>
      <c r="M231" s="300">
        <f>ENTRADAS!M15</f>
        <v>0</v>
      </c>
      <c r="N231" s="300">
        <f>ENTRADAS!N15</f>
        <v>0</v>
      </c>
      <c r="O231" s="300">
        <f>ENTRADAS!O15</f>
        <v>0</v>
      </c>
      <c r="P231" s="300">
        <f>SUM(D231:O231)</f>
        <v>3000</v>
      </c>
      <c r="Q231" s="706"/>
      <c r="R231" s="783"/>
      <c r="S231" s="783"/>
      <c r="T231" s="783"/>
      <c r="U231" s="783"/>
      <c r="V231" s="783"/>
      <c r="W231" s="783"/>
      <c r="X231" s="783"/>
      <c r="Y231" s="783"/>
      <c r="Z231" s="783"/>
    </row>
    <row r="232" spans="1:26" hidden="1" x14ac:dyDescent="0.25">
      <c r="A232" s="670"/>
      <c r="B232" s="224" t="s">
        <v>14</v>
      </c>
      <c r="C232" s="300">
        <f>P232+P238+P245</f>
        <v>359730.8</v>
      </c>
      <c r="D232" s="300">
        <f>ENTRADAS!D19</f>
        <v>0</v>
      </c>
      <c r="E232" s="300">
        <f>ENTRADAS!E19</f>
        <v>0</v>
      </c>
      <c r="F232" s="300">
        <f>ENTRADAS!F19</f>
        <v>0</v>
      </c>
      <c r="G232" s="300">
        <f>ENTRADAS!G19</f>
        <v>0</v>
      </c>
      <c r="H232" s="300">
        <f>ENTRADAS!H19</f>
        <v>0</v>
      </c>
      <c r="I232" s="300">
        <f>ENTRADAS!I19</f>
        <v>0</v>
      </c>
      <c r="J232" s="300">
        <f>ENTRADAS!J19</f>
        <v>0</v>
      </c>
      <c r="K232" s="300">
        <f>ENTRADAS!K19</f>
        <v>0</v>
      </c>
      <c r="L232" s="300">
        <f>ENTRADAS!L19</f>
        <v>0</v>
      </c>
      <c r="M232" s="300">
        <f>ENTRADAS!M19</f>
        <v>0</v>
      </c>
      <c r="N232" s="300">
        <f>ENTRADAS!N19</f>
        <v>0</v>
      </c>
      <c r="O232" s="300">
        <f>ENTRADAS!O19</f>
        <v>0</v>
      </c>
      <c r="P232" s="300">
        <f>SUM(D232:O232)</f>
        <v>0</v>
      </c>
      <c r="Q232" s="706"/>
      <c r="R232" s="783"/>
      <c r="S232" s="783"/>
      <c r="T232" s="783"/>
      <c r="U232" s="783"/>
      <c r="V232" s="783"/>
      <c r="W232" s="783"/>
      <c r="X232" s="783"/>
      <c r="Y232" s="783"/>
      <c r="Z232" s="783"/>
    </row>
    <row r="233" spans="1:26" hidden="1" x14ac:dyDescent="0.25">
      <c r="A233" s="670"/>
      <c r="B233" s="224" t="s">
        <v>105</v>
      </c>
      <c r="D233" s="300">
        <f>ENTRADAS!D23</f>
        <v>0</v>
      </c>
      <c r="E233" s="300">
        <f>ENTRADAS!E23</f>
        <v>0</v>
      </c>
      <c r="F233" s="300">
        <f>ENTRADAS!F23</f>
        <v>0</v>
      </c>
      <c r="G233" s="300">
        <f>ENTRADAS!G23</f>
        <v>0</v>
      </c>
      <c r="H233" s="300">
        <f>ENTRADAS!H23</f>
        <v>0</v>
      </c>
      <c r="I233" s="300">
        <f>ENTRADAS!I23</f>
        <v>0</v>
      </c>
      <c r="J233" s="300">
        <f>ENTRADAS!J23</f>
        <v>0</v>
      </c>
      <c r="K233" s="300">
        <f>ENTRADAS!K23</f>
        <v>0</v>
      </c>
      <c r="L233" s="300">
        <f>ENTRADAS!L23</f>
        <v>0</v>
      </c>
      <c r="M233" s="300">
        <f>ENTRADAS!M23</f>
        <v>0</v>
      </c>
      <c r="N233" s="300">
        <f>ENTRADAS!N23</f>
        <v>0</v>
      </c>
      <c r="O233" s="300">
        <f>ENTRADAS!O23</f>
        <v>0</v>
      </c>
      <c r="P233" s="300">
        <f>SUM(D233:O233)</f>
        <v>0</v>
      </c>
      <c r="Q233" s="706"/>
      <c r="R233" s="783"/>
      <c r="S233" s="783"/>
      <c r="T233" s="783"/>
      <c r="U233" s="783"/>
      <c r="V233" s="783"/>
      <c r="W233" s="783"/>
      <c r="X233" s="783"/>
      <c r="Y233" s="783"/>
      <c r="Z233" s="783"/>
    </row>
    <row r="234" spans="1:26" hidden="1" x14ac:dyDescent="0.25">
      <c r="A234" s="670"/>
      <c r="B234" s="224" t="s">
        <v>106</v>
      </c>
      <c r="C234" s="300">
        <f>P233+P234+P239+P240+P246</f>
        <v>0</v>
      </c>
      <c r="D234" s="300">
        <f>ENTRADAS!D27</f>
        <v>0</v>
      </c>
      <c r="E234" s="300">
        <f>ENTRADAS!E27</f>
        <v>0</v>
      </c>
      <c r="F234" s="300">
        <f>ENTRADAS!F27</f>
        <v>0</v>
      </c>
      <c r="G234" s="300">
        <f>ENTRADAS!G27</f>
        <v>0</v>
      </c>
      <c r="H234" s="300">
        <f>ENTRADAS!H27</f>
        <v>0</v>
      </c>
      <c r="I234" s="300">
        <f>ENTRADAS!I27</f>
        <v>0</v>
      </c>
      <c r="J234" s="300">
        <f>ENTRADAS!J27</f>
        <v>0</v>
      </c>
      <c r="K234" s="300">
        <f>ENTRADAS!K27</f>
        <v>0</v>
      </c>
      <c r="L234" s="300">
        <f>ENTRADAS!L27</f>
        <v>0</v>
      </c>
      <c r="M234" s="300">
        <f>ENTRADAS!M27</f>
        <v>0</v>
      </c>
      <c r="N234" s="300">
        <f>ENTRADAS!N27</f>
        <v>0</v>
      </c>
      <c r="O234" s="300">
        <f>ENTRADAS!O27</f>
        <v>0</v>
      </c>
      <c r="P234" s="300">
        <f>SUM(D234:O234)</f>
        <v>0</v>
      </c>
      <c r="Q234" s="706"/>
      <c r="R234" s="783"/>
      <c r="S234" s="783"/>
      <c r="T234" s="783"/>
      <c r="U234" s="783"/>
      <c r="V234" s="783"/>
      <c r="W234" s="783"/>
      <c r="X234" s="783"/>
      <c r="Y234" s="783"/>
      <c r="Z234" s="783"/>
    </row>
    <row r="235" spans="1:26" hidden="1" x14ac:dyDescent="0.25">
      <c r="A235" s="670"/>
      <c r="B235" s="224"/>
      <c r="C235" s="300">
        <f>SUM(C230:C234)</f>
        <v>362730.8</v>
      </c>
      <c r="D235" s="228"/>
      <c r="E235" s="228"/>
      <c r="F235" s="228"/>
      <c r="G235" s="228"/>
      <c r="H235" s="228"/>
      <c r="I235" s="228"/>
      <c r="J235" s="228"/>
      <c r="K235" s="228"/>
      <c r="L235" s="228"/>
      <c r="M235" s="228"/>
      <c r="N235" s="228"/>
      <c r="O235" s="228"/>
      <c r="P235" s="300"/>
      <c r="Q235" s="706"/>
      <c r="R235" s="783"/>
      <c r="S235" s="783"/>
      <c r="T235" s="783"/>
      <c r="U235" s="783"/>
      <c r="V235" s="783"/>
      <c r="W235" s="783"/>
      <c r="X235" s="783"/>
      <c r="Y235" s="783"/>
      <c r="Z235" s="783"/>
    </row>
    <row r="236" spans="1:26" hidden="1" x14ac:dyDescent="0.25">
      <c r="A236" s="670"/>
      <c r="B236" s="224"/>
      <c r="C236" s="300"/>
      <c r="D236" s="228"/>
      <c r="E236" s="228"/>
      <c r="F236" s="228"/>
      <c r="G236" s="228"/>
      <c r="H236" s="228"/>
      <c r="I236" s="228"/>
      <c r="J236" s="228"/>
      <c r="K236" s="228"/>
      <c r="L236" s="228"/>
      <c r="M236" s="228"/>
      <c r="N236" s="228"/>
      <c r="O236" s="228"/>
      <c r="P236" s="300"/>
      <c r="Q236" s="706"/>
      <c r="R236" s="783"/>
      <c r="S236" s="783"/>
      <c r="T236" s="783"/>
      <c r="U236" s="783"/>
      <c r="V236" s="783"/>
      <c r="W236" s="783"/>
      <c r="X236" s="783"/>
      <c r="Y236" s="783"/>
      <c r="Z236" s="783"/>
    </row>
    <row r="237" spans="1:26" hidden="1" x14ac:dyDescent="0.25">
      <c r="A237" s="670"/>
      <c r="B237" s="945" t="s">
        <v>200</v>
      </c>
      <c r="C237" s="945"/>
      <c r="D237" s="946"/>
      <c r="E237" s="946"/>
      <c r="F237" s="946"/>
      <c r="G237" s="946"/>
      <c r="H237" s="946"/>
      <c r="I237" s="946"/>
      <c r="J237" s="946"/>
      <c r="K237" s="946"/>
      <c r="L237" s="946"/>
      <c r="M237" s="946"/>
      <c r="N237" s="946"/>
      <c r="O237" s="946"/>
      <c r="P237" s="947"/>
      <c r="Q237" s="672"/>
      <c r="R237" s="783"/>
      <c r="S237" s="783"/>
      <c r="T237" s="783"/>
      <c r="U237" s="783"/>
      <c r="V237" s="783"/>
      <c r="W237" s="783"/>
      <c r="X237" s="783"/>
      <c r="Y237" s="783"/>
      <c r="Z237" s="783"/>
    </row>
    <row r="238" spans="1:26" hidden="1" x14ac:dyDescent="0.25">
      <c r="A238" s="670"/>
      <c r="B238" s="224" t="s">
        <v>14</v>
      </c>
      <c r="C238" s="224"/>
      <c r="D238" s="300">
        <f>ENTRADAS!D34</f>
        <v>0</v>
      </c>
      <c r="E238" s="300">
        <f>ENTRADAS!E34</f>
        <v>0</v>
      </c>
      <c r="F238" s="300">
        <f>ENTRADAS!F34</f>
        <v>0</v>
      </c>
      <c r="G238" s="300">
        <f>ENTRADAS!G34</f>
        <v>0</v>
      </c>
      <c r="H238" s="300">
        <f>ENTRADAS!H34</f>
        <v>0</v>
      </c>
      <c r="I238" s="300">
        <f>ENTRADAS!I34</f>
        <v>0</v>
      </c>
      <c r="J238" s="300">
        <f>ENTRADAS!J34</f>
        <v>359730.8</v>
      </c>
      <c r="K238" s="300">
        <f>ENTRADAS!K34</f>
        <v>0</v>
      </c>
      <c r="L238" s="300">
        <f>ENTRADAS!L34</f>
        <v>0</v>
      </c>
      <c r="M238" s="300">
        <f>ENTRADAS!M34</f>
        <v>0</v>
      </c>
      <c r="N238" s="300">
        <f>ENTRADAS!N34</f>
        <v>0</v>
      </c>
      <c r="O238" s="300">
        <f>ENTRADAS!O34</f>
        <v>0</v>
      </c>
      <c r="P238" s="300">
        <f>SUM(D238:O238)</f>
        <v>359730.8</v>
      </c>
      <c r="Q238" s="672"/>
      <c r="R238" s="783"/>
      <c r="S238" s="783"/>
      <c r="T238" s="783"/>
      <c r="U238" s="783"/>
      <c r="V238" s="783"/>
      <c r="W238" s="783"/>
      <c r="X238" s="783"/>
      <c r="Y238" s="783"/>
      <c r="Z238" s="783"/>
    </row>
    <row r="239" spans="1:26" hidden="1" x14ac:dyDescent="0.25">
      <c r="A239" s="670"/>
      <c r="B239" s="224" t="s">
        <v>105</v>
      </c>
      <c r="C239" s="224"/>
      <c r="D239" s="300">
        <f>ENTRADAS!D38</f>
        <v>0</v>
      </c>
      <c r="E239" s="300">
        <f>ENTRADAS!E38</f>
        <v>0</v>
      </c>
      <c r="F239" s="300">
        <f>ENTRADAS!F38</f>
        <v>0</v>
      </c>
      <c r="G239" s="300">
        <f>ENTRADAS!G38</f>
        <v>0</v>
      </c>
      <c r="H239" s="300">
        <f>ENTRADAS!H38</f>
        <v>0</v>
      </c>
      <c r="I239" s="300">
        <f>ENTRADAS!I38</f>
        <v>0</v>
      </c>
      <c r="J239" s="300">
        <f>ENTRADAS!J38</f>
        <v>0</v>
      </c>
      <c r="K239" s="300">
        <f>ENTRADAS!K38</f>
        <v>0</v>
      </c>
      <c r="L239" s="300">
        <f>ENTRADAS!L38</f>
        <v>0</v>
      </c>
      <c r="M239" s="300">
        <f>ENTRADAS!M38</f>
        <v>0</v>
      </c>
      <c r="N239" s="300">
        <f>ENTRADAS!N38</f>
        <v>0</v>
      </c>
      <c r="O239" s="300">
        <f>ENTRADAS!O38</f>
        <v>0</v>
      </c>
      <c r="P239" s="300">
        <f>SUM(D239:O239)</f>
        <v>0</v>
      </c>
      <c r="Q239" s="672"/>
      <c r="R239" s="783"/>
      <c r="S239" s="783"/>
      <c r="T239" s="783"/>
      <c r="U239" s="783"/>
      <c r="V239" s="783"/>
      <c r="W239" s="783"/>
      <c r="X239" s="783"/>
      <c r="Y239" s="783"/>
      <c r="Z239" s="783"/>
    </row>
    <row r="240" spans="1:26" hidden="1" x14ac:dyDescent="0.25">
      <c r="A240" s="670"/>
      <c r="B240" s="224" t="s">
        <v>106</v>
      </c>
      <c r="C240" s="224"/>
      <c r="D240" s="300">
        <f>ENTRADAS!D42</f>
        <v>0</v>
      </c>
      <c r="E240" s="300">
        <f>ENTRADAS!E42</f>
        <v>0</v>
      </c>
      <c r="F240" s="300">
        <f>ENTRADAS!F42</f>
        <v>0</v>
      </c>
      <c r="G240" s="300">
        <f>ENTRADAS!G42</f>
        <v>0</v>
      </c>
      <c r="H240" s="300">
        <f>ENTRADAS!H42</f>
        <v>0</v>
      </c>
      <c r="I240" s="300">
        <f>ENTRADAS!I42</f>
        <v>0</v>
      </c>
      <c r="J240" s="300">
        <f>ENTRADAS!J42</f>
        <v>0</v>
      </c>
      <c r="K240" s="300">
        <f>ENTRADAS!K42</f>
        <v>0</v>
      </c>
      <c r="L240" s="300">
        <f>ENTRADAS!L42</f>
        <v>0</v>
      </c>
      <c r="M240" s="300">
        <f>ENTRADAS!M42</f>
        <v>0</v>
      </c>
      <c r="N240" s="300">
        <f>ENTRADAS!N42</f>
        <v>0</v>
      </c>
      <c r="O240" s="300">
        <f>ENTRADAS!O42</f>
        <v>0</v>
      </c>
      <c r="P240" s="300">
        <f>SUM(D240:O240)</f>
        <v>0</v>
      </c>
      <c r="Q240" s="672"/>
      <c r="R240" s="783"/>
      <c r="S240" s="783"/>
      <c r="T240" s="783"/>
      <c r="U240" s="783"/>
      <c r="V240" s="783"/>
      <c r="W240" s="783"/>
      <c r="X240" s="783"/>
      <c r="Y240" s="783"/>
      <c r="Z240" s="783"/>
    </row>
    <row r="241" spans="1:26" hidden="1" x14ac:dyDescent="0.25">
      <c r="A241" s="670"/>
      <c r="B241" s="224"/>
      <c r="C241" s="224"/>
      <c r="D241" s="228"/>
      <c r="E241" s="228"/>
      <c r="F241" s="228"/>
      <c r="G241" s="228"/>
      <c r="H241" s="228"/>
      <c r="I241" s="228"/>
      <c r="J241" s="228"/>
      <c r="K241" s="228"/>
      <c r="L241" s="228"/>
      <c r="M241" s="228"/>
      <c r="N241" s="228"/>
      <c r="O241" s="228"/>
      <c r="P241" s="300"/>
      <c r="Q241" s="672"/>
      <c r="R241" s="783"/>
      <c r="S241" s="783"/>
      <c r="T241" s="783"/>
      <c r="U241" s="783"/>
      <c r="V241" s="783"/>
      <c r="W241" s="783"/>
      <c r="X241" s="783"/>
      <c r="Y241" s="783"/>
      <c r="Z241" s="783"/>
    </row>
    <row r="242" spans="1:26" hidden="1" x14ac:dyDescent="0.25">
      <c r="A242" s="670"/>
      <c r="B242" s="945" t="s">
        <v>119</v>
      </c>
      <c r="C242" s="945"/>
      <c r="D242" s="945"/>
      <c r="E242" s="945"/>
      <c r="F242" s="945"/>
      <c r="G242" s="945"/>
      <c r="H242" s="945"/>
      <c r="I242" s="945"/>
      <c r="J242" s="945"/>
      <c r="K242" s="945"/>
      <c r="L242" s="945"/>
      <c r="M242" s="945"/>
      <c r="N242" s="945"/>
      <c r="O242" s="945"/>
      <c r="P242" s="947"/>
      <c r="Q242" s="672"/>
      <c r="R242" s="783"/>
      <c r="S242" s="783"/>
      <c r="T242" s="783"/>
      <c r="U242" s="783"/>
      <c r="V242" s="783"/>
      <c r="W242" s="783"/>
      <c r="X242" s="783"/>
      <c r="Y242" s="783"/>
      <c r="Z242" s="783"/>
    </row>
    <row r="243" spans="1:26" hidden="1" x14ac:dyDescent="0.25">
      <c r="A243" s="670"/>
      <c r="B243" s="224" t="s">
        <v>12</v>
      </c>
      <c r="C243" s="224"/>
      <c r="D243" s="300">
        <f>SUMIFS(ENTRADAS!$E$46:$E$65,ENTRADAS!$D$46:$D$65,'RESULTADOS FINANCEIROS'!D$201,ENTRADAS!$H$46:$H$65,'RESULTADOS FINANCEIROS'!$B202)</f>
        <v>0</v>
      </c>
      <c r="E243" s="300">
        <f>SUMIFS(ENTRADAS!$E$46:$E$65,ENTRADAS!$D$46:$D$65,'RESULTADOS FINANCEIROS'!E$201,ENTRADAS!$H$46:$H$65,'RESULTADOS FINANCEIROS'!$B202)</f>
        <v>0</v>
      </c>
      <c r="F243" s="300">
        <f>SUMIFS(ENTRADAS!$E$46:$E$65,ENTRADAS!$D$46:$D$65,'RESULTADOS FINANCEIROS'!F$201,ENTRADAS!$H$46:$H$65,'RESULTADOS FINANCEIROS'!$B202)</f>
        <v>0</v>
      </c>
      <c r="G243" s="300">
        <f>SUMIFS(ENTRADAS!$E$46:$E$65,ENTRADAS!$D$46:$D$65,'RESULTADOS FINANCEIROS'!G$201,ENTRADAS!$H$46:$H$65,'RESULTADOS FINANCEIROS'!$B202)</f>
        <v>0</v>
      </c>
      <c r="H243" s="300">
        <f>SUMIFS(ENTRADAS!$E$46:$E$65,ENTRADAS!$D$46:$D$65,'RESULTADOS FINANCEIROS'!H$201,ENTRADAS!$H$46:$H$65,'RESULTADOS FINANCEIROS'!$B202)</f>
        <v>0</v>
      </c>
      <c r="I243" s="300">
        <f>SUMIFS(ENTRADAS!$E$46:$E$65,ENTRADAS!$D$46:$D$65,'RESULTADOS FINANCEIROS'!I$201,ENTRADAS!$H$46:$H$65,'RESULTADOS FINANCEIROS'!$B202)</f>
        <v>0</v>
      </c>
      <c r="J243" s="300">
        <f>SUMIFS(ENTRADAS!$E$46:$E$65,ENTRADAS!$D$46:$D$65,'RESULTADOS FINANCEIROS'!J$201,ENTRADAS!$H$46:$H$65,'RESULTADOS FINANCEIROS'!$B202)</f>
        <v>0</v>
      </c>
      <c r="K243" s="300">
        <f>SUMIFS(ENTRADAS!$E$46:$E$65,ENTRADAS!$D$46:$D$65,'RESULTADOS FINANCEIROS'!K$201,ENTRADAS!$H$46:$H$65,'RESULTADOS FINANCEIROS'!$B202)</f>
        <v>0</v>
      </c>
      <c r="L243" s="300">
        <f>SUMIFS(ENTRADAS!$E$46:$E$65,ENTRADAS!$D$46:$D$65,'RESULTADOS FINANCEIROS'!L$201,ENTRADAS!$H$46:$H$65,'RESULTADOS FINANCEIROS'!$B202)</f>
        <v>0</v>
      </c>
      <c r="M243" s="300">
        <f>SUMIFS(ENTRADAS!$E$46:$E$65,ENTRADAS!$D$46:$D$65,'RESULTADOS FINANCEIROS'!M$201,ENTRADAS!$H$46:$H$65,'RESULTADOS FINANCEIROS'!$B202)</f>
        <v>0</v>
      </c>
      <c r="N243" s="300">
        <f>SUMIFS(ENTRADAS!$E$46:$E$65,ENTRADAS!$D$46:$D$65,'RESULTADOS FINANCEIROS'!N$201,ENTRADAS!$H$46:$H$65,'RESULTADOS FINANCEIROS'!$B202)</f>
        <v>0</v>
      </c>
      <c r="O243" s="300">
        <f>SUMIFS(ENTRADAS!$E$46:$E$65,ENTRADAS!$D$46:$D$65,'RESULTADOS FINANCEIROS'!O$201,ENTRADAS!$H$46:$H$65,'RESULTADOS FINANCEIROS'!$B202)</f>
        <v>0</v>
      </c>
      <c r="P243" s="300">
        <f>SUM(D243:O243)</f>
        <v>0</v>
      </c>
      <c r="Q243" s="672"/>
      <c r="R243" s="783"/>
      <c r="S243" s="783"/>
      <c r="T243" s="783"/>
      <c r="U243" s="783"/>
      <c r="V243" s="783"/>
      <c r="W243" s="783"/>
      <c r="X243" s="783"/>
      <c r="Y243" s="783"/>
      <c r="Z243" s="783"/>
    </row>
    <row r="244" spans="1:26" hidden="1" x14ac:dyDescent="0.25">
      <c r="A244" s="670"/>
      <c r="B244" s="224" t="s">
        <v>13</v>
      </c>
      <c r="C244" s="224"/>
      <c r="D244" s="300">
        <f>SUMIFS(ENTRADAS!$E$46:$E$65,ENTRADAS!$D$46:$D$65,'RESULTADOS FINANCEIROS'!D$201,ENTRADAS!$H$46:$H$65,'RESULTADOS FINANCEIROS'!$B203)</f>
        <v>0</v>
      </c>
      <c r="E244" s="300">
        <f>SUMIFS(ENTRADAS!$E$46:$E$65,ENTRADAS!$D$46:$D$65,'RESULTADOS FINANCEIROS'!E$201,ENTRADAS!$H$46:$H$65,'RESULTADOS FINANCEIROS'!$B203)</f>
        <v>0</v>
      </c>
      <c r="F244" s="300">
        <f>SUMIFS(ENTRADAS!$E$46:$E$65,ENTRADAS!$D$46:$D$65,'RESULTADOS FINANCEIROS'!F$201,ENTRADAS!$H$46:$H$65,'RESULTADOS FINANCEIROS'!$B203)</f>
        <v>0</v>
      </c>
      <c r="G244" s="300">
        <f>SUMIFS(ENTRADAS!$E$46:$E$65,ENTRADAS!$D$46:$D$65,'RESULTADOS FINANCEIROS'!G$201,ENTRADAS!$H$46:$H$65,'RESULTADOS FINANCEIROS'!$B203)</f>
        <v>0</v>
      </c>
      <c r="H244" s="300">
        <f>SUMIFS(ENTRADAS!$E$46:$E$65,ENTRADAS!$D$46:$D$65,'RESULTADOS FINANCEIROS'!H$201,ENTRADAS!$H$46:$H$65,'RESULTADOS FINANCEIROS'!$B203)</f>
        <v>0</v>
      </c>
      <c r="I244" s="300">
        <f>SUMIFS(ENTRADAS!$E$46:$E$65,ENTRADAS!$D$46:$D$65,'RESULTADOS FINANCEIROS'!I$201,ENTRADAS!$H$46:$H$65,'RESULTADOS FINANCEIROS'!$B203)</f>
        <v>0</v>
      </c>
      <c r="J244" s="300">
        <f>SUMIFS(ENTRADAS!$E$46:$E$65,ENTRADAS!$D$46:$D$65,'RESULTADOS FINANCEIROS'!J$201,ENTRADAS!$H$46:$H$65,'RESULTADOS FINANCEIROS'!$B203)</f>
        <v>0</v>
      </c>
      <c r="K244" s="300">
        <f>SUMIFS(ENTRADAS!$E$46:$E$65,ENTRADAS!$D$46:$D$65,'RESULTADOS FINANCEIROS'!K$201,ENTRADAS!$H$46:$H$65,'RESULTADOS FINANCEIROS'!$B203)</f>
        <v>0</v>
      </c>
      <c r="L244" s="300">
        <f>SUMIFS(ENTRADAS!$E$46:$E$65,ENTRADAS!$D$46:$D$65,'RESULTADOS FINANCEIROS'!L$201,ENTRADAS!$H$46:$H$65,'RESULTADOS FINANCEIROS'!$B203)</f>
        <v>0</v>
      </c>
      <c r="M244" s="300">
        <f>SUMIFS(ENTRADAS!$E$46:$E$65,ENTRADAS!$D$46:$D$65,'RESULTADOS FINANCEIROS'!M$201,ENTRADAS!$H$46:$H$65,'RESULTADOS FINANCEIROS'!$B203)</f>
        <v>0</v>
      </c>
      <c r="N244" s="300">
        <f>SUMIFS(ENTRADAS!$E$46:$E$65,ENTRADAS!$D$46:$D$65,'RESULTADOS FINANCEIROS'!N$201,ENTRADAS!$H$46:$H$65,'RESULTADOS FINANCEIROS'!$B203)</f>
        <v>0</v>
      </c>
      <c r="O244" s="300">
        <f>SUMIFS(ENTRADAS!$E$46:$E$65,ENTRADAS!$D$46:$D$65,'RESULTADOS FINANCEIROS'!O$201,ENTRADAS!$H$46:$H$65,'RESULTADOS FINANCEIROS'!$B203)</f>
        <v>0</v>
      </c>
      <c r="P244" s="300">
        <f>SUM(D244:O244)</f>
        <v>0</v>
      </c>
      <c r="Q244" s="672"/>
      <c r="R244" s="783"/>
      <c r="S244" s="783"/>
      <c r="T244" s="783"/>
      <c r="U244" s="783"/>
      <c r="V244" s="783"/>
      <c r="W244" s="783"/>
      <c r="X244" s="783"/>
      <c r="Y244" s="783"/>
      <c r="Z244" s="783"/>
    </row>
    <row r="245" spans="1:26" hidden="1" x14ac:dyDescent="0.25">
      <c r="A245" s="670"/>
      <c r="B245" s="224" t="s">
        <v>14</v>
      </c>
      <c r="C245" s="224"/>
      <c r="D245" s="300">
        <f>SUMIFS(ENTRADAS!$E$46:$E$65,ENTRADAS!$D$46:$D$65,'RESULTADOS FINANCEIROS'!D$201,ENTRADAS!$H$46:$H$65,'RESULTADOS FINANCEIROS'!$B204)</f>
        <v>0</v>
      </c>
      <c r="E245" s="300">
        <f>SUMIFS(ENTRADAS!$E$46:$E$65,ENTRADAS!$D$46:$D$65,'RESULTADOS FINANCEIROS'!E$201,ENTRADAS!$H$46:$H$65,'RESULTADOS FINANCEIROS'!$B204)</f>
        <v>0</v>
      </c>
      <c r="F245" s="300">
        <f>SUMIFS(ENTRADAS!$E$46:$E$65,ENTRADAS!$D$46:$D$65,'RESULTADOS FINANCEIROS'!F$201,ENTRADAS!$H$46:$H$65,'RESULTADOS FINANCEIROS'!$B204)</f>
        <v>0</v>
      </c>
      <c r="G245" s="300">
        <f>SUMIFS(ENTRADAS!$E$46:$E$65,ENTRADAS!$D$46:$D$65,'RESULTADOS FINANCEIROS'!G$201,ENTRADAS!$H$46:$H$65,'RESULTADOS FINANCEIROS'!$B204)</f>
        <v>0</v>
      </c>
      <c r="H245" s="300">
        <f>SUMIFS(ENTRADAS!$E$46:$E$65,ENTRADAS!$D$46:$D$65,'RESULTADOS FINANCEIROS'!H$201,ENTRADAS!$H$46:$H$65,'RESULTADOS FINANCEIROS'!$B204)</f>
        <v>0</v>
      </c>
      <c r="I245" s="300">
        <f>SUMIFS(ENTRADAS!$E$46:$E$65,ENTRADAS!$D$46:$D$65,'RESULTADOS FINANCEIROS'!I$201,ENTRADAS!$H$46:$H$65,'RESULTADOS FINANCEIROS'!$B204)</f>
        <v>0</v>
      </c>
      <c r="J245" s="300">
        <f>SUMIFS(ENTRADAS!$E$46:$E$65,ENTRADAS!$D$46:$D$65,'RESULTADOS FINANCEIROS'!J$201,ENTRADAS!$H$46:$H$65,'RESULTADOS FINANCEIROS'!$B204)</f>
        <v>0</v>
      </c>
      <c r="K245" s="300">
        <f>SUMIFS(ENTRADAS!$E$46:$E$65,ENTRADAS!$D$46:$D$65,'RESULTADOS FINANCEIROS'!K$201,ENTRADAS!$H$46:$H$65,'RESULTADOS FINANCEIROS'!$B204)</f>
        <v>0</v>
      </c>
      <c r="L245" s="300">
        <f>SUMIFS(ENTRADAS!$E$46:$E$65,ENTRADAS!$D$46:$D$65,'RESULTADOS FINANCEIROS'!L$201,ENTRADAS!$H$46:$H$65,'RESULTADOS FINANCEIROS'!$B204)</f>
        <v>0</v>
      </c>
      <c r="M245" s="300">
        <f>SUMIFS(ENTRADAS!$E$46:$E$65,ENTRADAS!$D$46:$D$65,'RESULTADOS FINANCEIROS'!M$201,ENTRADAS!$H$46:$H$65,'RESULTADOS FINANCEIROS'!$B204)</f>
        <v>0</v>
      </c>
      <c r="N245" s="300">
        <f>SUMIFS(ENTRADAS!$E$46:$E$65,ENTRADAS!$D$46:$D$65,'RESULTADOS FINANCEIROS'!N$201,ENTRADAS!$H$46:$H$65,'RESULTADOS FINANCEIROS'!$B204)</f>
        <v>0</v>
      </c>
      <c r="O245" s="300">
        <f>SUMIFS(ENTRADAS!$E$46:$E$65,ENTRADAS!$D$46:$D$65,'RESULTADOS FINANCEIROS'!O$201,ENTRADAS!$H$46:$H$65,'RESULTADOS FINANCEIROS'!$B204)</f>
        <v>0</v>
      </c>
      <c r="P245" s="300">
        <f>SUM(D245:O245)</f>
        <v>0</v>
      </c>
      <c r="Q245" s="672"/>
      <c r="R245" s="783"/>
      <c r="S245" s="783"/>
      <c r="T245" s="783"/>
      <c r="U245" s="783"/>
      <c r="V245" s="783"/>
      <c r="W245" s="783"/>
      <c r="X245" s="783"/>
      <c r="Y245" s="783"/>
      <c r="Z245" s="783"/>
    </row>
    <row r="246" spans="1:26" hidden="1" x14ac:dyDescent="0.25">
      <c r="A246" s="670"/>
      <c r="B246" s="224" t="s">
        <v>237</v>
      </c>
      <c r="C246" s="224"/>
      <c r="D246" s="300">
        <f>SUMIFS(ENTRADAS!$E$46:$E$65,ENTRADAS!$D$46:$D$65,'RESULTADOS FINANCEIROS'!D$201,ENTRADAS!$H$46:$H$65,'RESULTADOS FINANCEIROS'!$B205)</f>
        <v>0</v>
      </c>
      <c r="E246" s="300">
        <f>SUMIFS(ENTRADAS!$E$46:$E$65,ENTRADAS!$D$46:$D$65,'RESULTADOS FINANCEIROS'!E$201,ENTRADAS!$H$46:$H$65,'RESULTADOS FINANCEIROS'!$B205)</f>
        <v>0</v>
      </c>
      <c r="F246" s="300">
        <f>SUMIFS(ENTRADAS!$E$46:$E$65,ENTRADAS!$D$46:$D$65,'RESULTADOS FINANCEIROS'!F$201,ENTRADAS!$H$46:$H$65,'RESULTADOS FINANCEIROS'!$B205)</f>
        <v>0</v>
      </c>
      <c r="G246" s="300">
        <f>SUMIFS(ENTRADAS!$E$46:$E$65,ENTRADAS!$D$46:$D$65,'RESULTADOS FINANCEIROS'!G$201,ENTRADAS!$H$46:$H$65,'RESULTADOS FINANCEIROS'!$B205)</f>
        <v>0</v>
      </c>
      <c r="H246" s="300">
        <f>SUMIFS(ENTRADAS!$E$46:$E$65,ENTRADAS!$D$46:$D$65,'RESULTADOS FINANCEIROS'!H$201,ENTRADAS!$H$46:$H$65,'RESULTADOS FINANCEIROS'!$B205)</f>
        <v>0</v>
      </c>
      <c r="I246" s="300">
        <f>SUMIFS(ENTRADAS!$E$46:$E$65,ENTRADAS!$D$46:$D$65,'RESULTADOS FINANCEIROS'!I$201,ENTRADAS!$H$46:$H$65,'RESULTADOS FINANCEIROS'!$B205)</f>
        <v>0</v>
      </c>
      <c r="J246" s="300">
        <f>SUMIFS(ENTRADAS!$E$46:$E$65,ENTRADAS!$D$46:$D$65,'RESULTADOS FINANCEIROS'!J$201,ENTRADAS!$H$46:$H$65,'RESULTADOS FINANCEIROS'!$B205)</f>
        <v>0</v>
      </c>
      <c r="K246" s="300">
        <f>SUMIFS(ENTRADAS!$E$46:$E$65,ENTRADAS!$D$46:$D$65,'RESULTADOS FINANCEIROS'!K$201,ENTRADAS!$H$46:$H$65,'RESULTADOS FINANCEIROS'!$B205)</f>
        <v>0</v>
      </c>
      <c r="L246" s="300">
        <f>SUMIFS(ENTRADAS!$E$46:$E$65,ENTRADAS!$D$46:$D$65,'RESULTADOS FINANCEIROS'!L$201,ENTRADAS!$H$46:$H$65,'RESULTADOS FINANCEIROS'!$B205)</f>
        <v>0</v>
      </c>
      <c r="M246" s="300">
        <f>SUMIFS(ENTRADAS!$E$46:$E$65,ENTRADAS!$D$46:$D$65,'RESULTADOS FINANCEIROS'!M$201,ENTRADAS!$H$46:$H$65,'RESULTADOS FINANCEIROS'!$B205)</f>
        <v>0</v>
      </c>
      <c r="N246" s="300">
        <f>SUMIFS(ENTRADAS!$E$46:$E$65,ENTRADAS!$D$46:$D$65,'RESULTADOS FINANCEIROS'!N$201,ENTRADAS!$H$46:$H$65,'RESULTADOS FINANCEIROS'!$B205)</f>
        <v>0</v>
      </c>
      <c r="O246" s="300">
        <f>SUMIFS(ENTRADAS!$E$46:$E$65,ENTRADAS!$D$46:$D$65,'RESULTADOS FINANCEIROS'!O$201,ENTRADAS!$H$46:$H$65,'RESULTADOS FINANCEIROS'!$B205)</f>
        <v>0</v>
      </c>
      <c r="P246" s="300">
        <f>SUM(D246:O246)</f>
        <v>0</v>
      </c>
      <c r="Q246" s="672"/>
      <c r="R246" s="783"/>
      <c r="S246" s="783"/>
      <c r="T246" s="783"/>
      <c r="U246" s="783"/>
      <c r="V246" s="783"/>
      <c r="W246" s="783"/>
      <c r="X246" s="783"/>
      <c r="Y246" s="783"/>
      <c r="Z246" s="783"/>
    </row>
    <row r="247" spans="1:26" ht="15.75" hidden="1" thickBot="1" x14ac:dyDescent="0.3">
      <c r="A247" s="701"/>
      <c r="B247" s="702"/>
      <c r="C247" s="702"/>
      <c r="D247" s="703"/>
      <c r="E247" s="703"/>
      <c r="F247" s="703"/>
      <c r="G247" s="703"/>
      <c r="H247" s="703"/>
      <c r="I247" s="703"/>
      <c r="J247" s="703"/>
      <c r="K247" s="703"/>
      <c r="L247" s="703"/>
      <c r="M247" s="703"/>
      <c r="N247" s="703"/>
      <c r="O247" s="703"/>
      <c r="P247" s="703"/>
      <c r="Q247" s="704"/>
      <c r="R247" s="783"/>
      <c r="S247" s="783"/>
      <c r="T247" s="783"/>
      <c r="U247" s="783"/>
      <c r="V247" s="783"/>
      <c r="W247" s="783"/>
      <c r="X247" s="783"/>
      <c r="Y247" s="783"/>
      <c r="Z247" s="783"/>
    </row>
    <row r="248" spans="1:26" ht="16.5" hidden="1" thickTop="1" thickBot="1" x14ac:dyDescent="0.3">
      <c r="D248" s="227"/>
      <c r="E248" s="227"/>
      <c r="F248" s="227"/>
      <c r="G248" s="227"/>
      <c r="H248" s="227"/>
      <c r="I248" s="227"/>
      <c r="J248" s="227"/>
      <c r="K248" s="227"/>
      <c r="L248" s="227"/>
      <c r="M248" s="227"/>
      <c r="N248" s="227"/>
      <c r="O248" s="227"/>
      <c r="P248" s="227"/>
      <c r="Q248" s="326"/>
      <c r="R248" s="783"/>
      <c r="S248" s="783"/>
      <c r="T248" s="783"/>
      <c r="U248" s="783"/>
      <c r="V248" s="783"/>
      <c r="W248" s="783"/>
      <c r="X248" s="783"/>
      <c r="Y248" s="783"/>
      <c r="Z248" s="783"/>
    </row>
    <row r="249" spans="1:26" ht="16.5" hidden="1" thickTop="1" thickBot="1" x14ac:dyDescent="0.3">
      <c r="A249" s="665"/>
      <c r="B249" s="707"/>
      <c r="C249" s="666"/>
      <c r="D249" s="668"/>
      <c r="E249" s="668"/>
      <c r="F249" s="668"/>
      <c r="G249" s="668"/>
      <c r="H249" s="668"/>
      <c r="I249" s="668"/>
      <c r="J249" s="668"/>
      <c r="K249" s="668"/>
      <c r="L249" s="668"/>
      <c r="M249" s="668"/>
      <c r="N249" s="668"/>
      <c r="O249" s="668"/>
      <c r="P249" s="666"/>
      <c r="Q249" s="705"/>
    </row>
    <row r="250" spans="1:26" ht="15.75" hidden="1" thickBot="1" x14ac:dyDescent="0.3">
      <c r="A250" s="670"/>
      <c r="B250" s="708" t="s">
        <v>193</v>
      </c>
      <c r="C250" s="709" t="s">
        <v>474</v>
      </c>
      <c r="D250" s="709">
        <v>1</v>
      </c>
      <c r="E250" s="709">
        <v>2</v>
      </c>
      <c r="F250" s="709">
        <v>3</v>
      </c>
      <c r="G250" s="709">
        <v>4</v>
      </c>
      <c r="H250" s="709">
        <v>5</v>
      </c>
      <c r="I250" s="709">
        <v>6</v>
      </c>
      <c r="J250" s="709">
        <v>7</v>
      </c>
      <c r="K250" s="709">
        <v>8</v>
      </c>
      <c r="L250" s="709">
        <v>9</v>
      </c>
      <c r="M250" s="709">
        <v>10</v>
      </c>
      <c r="N250" s="709">
        <v>11</v>
      </c>
      <c r="O250" s="709">
        <v>12</v>
      </c>
      <c r="P250" s="710" t="s">
        <v>176</v>
      </c>
      <c r="Q250" s="706"/>
    </row>
    <row r="251" spans="1:26" hidden="1" x14ac:dyDescent="0.25">
      <c r="A251" s="670"/>
      <c r="B251" s="711" t="s">
        <v>194</v>
      </c>
      <c r="C251" s="712"/>
      <c r="D251" s="713" t="str">
        <f>IF(OR(REBANHO!E42=0,REBANHO!E42=""),"",SUM(D230,D243)/REBANHO!E42)</f>
        <v/>
      </c>
      <c r="E251" s="713" t="str">
        <f>IF(OR(REBANHO!F42=0,REBANHO!F42=""),"",SUM(E230,E243)/REBANHO!F42)</f>
        <v/>
      </c>
      <c r="F251" s="713" t="str">
        <f>IF(OR(REBANHO!G42=0,REBANHO!G42=""),"",SUM(F230,F243)/REBANHO!G42)</f>
        <v/>
      </c>
      <c r="G251" s="713" t="str">
        <f>IF(OR(REBANHO!H42=0,REBANHO!H42=""),"",SUM(G230,G243)/REBANHO!H42)</f>
        <v/>
      </c>
      <c r="H251" s="713" t="str">
        <f>IF(OR(REBANHO!I42=0,REBANHO!I42=""),"",SUM(H230,H243)/REBANHO!I42)</f>
        <v/>
      </c>
      <c r="I251" s="713" t="str">
        <f>IF(OR(REBANHO!J42=0,REBANHO!J42=""),"",SUM(I230,I243)/REBANHO!J42)</f>
        <v/>
      </c>
      <c r="J251" s="713" t="str">
        <f>IF(OR(REBANHO!K42=0,REBANHO!K42=""),"",SUM(J230,J243)/REBANHO!K42)</f>
        <v/>
      </c>
      <c r="K251" s="713" t="str">
        <f>IF(OR(REBANHO!L42=0,REBANHO!L42=""),"",SUM(K230,K243)/REBANHO!L42)</f>
        <v/>
      </c>
      <c r="L251" s="713" t="str">
        <f>IF(OR(REBANHO!M42=0,REBANHO!M42=""),"",SUM(L230,L243)/REBANHO!M42)</f>
        <v/>
      </c>
      <c r="M251" s="713" t="str">
        <f>IF(OR(REBANHO!N42=0,REBANHO!N42=""),"",SUM(M230,M243)/REBANHO!N42)</f>
        <v/>
      </c>
      <c r="N251" s="713" t="str">
        <f>IF(OR(REBANHO!O42=0,REBANHO!O42=""),"",SUM(N230,N243)/REBANHO!O42)</f>
        <v/>
      </c>
      <c r="O251" s="713" t="str">
        <f>IF(OR(REBANHO!P42=0,REBANHO!P42=""),"",SUM(O230,O243)/REBANHO!P42)</f>
        <v/>
      </c>
      <c r="P251" s="714"/>
      <c r="Q251" s="706"/>
    </row>
    <row r="252" spans="1:26" ht="16.5" hidden="1" customHeight="1" x14ac:dyDescent="0.25">
      <c r="A252" s="670"/>
      <c r="B252" s="715" t="s">
        <v>195</v>
      </c>
      <c r="C252" s="716"/>
      <c r="D252" s="717" t="str">
        <f t="shared" ref="D252:O252" si="44">IF(OR(D189="",D189=0),"",D230/D189)</f>
        <v/>
      </c>
      <c r="E252" s="717" t="str">
        <f t="shared" si="44"/>
        <v/>
      </c>
      <c r="F252" s="717" t="str">
        <f t="shared" si="44"/>
        <v/>
      </c>
      <c r="G252" s="717" t="str">
        <f t="shared" si="44"/>
        <v/>
      </c>
      <c r="H252" s="717" t="str">
        <f t="shared" si="44"/>
        <v/>
      </c>
      <c r="I252" s="717" t="str">
        <f t="shared" si="44"/>
        <v/>
      </c>
      <c r="J252" s="717" t="str">
        <f t="shared" si="44"/>
        <v/>
      </c>
      <c r="K252" s="717" t="str">
        <f t="shared" si="44"/>
        <v/>
      </c>
      <c r="L252" s="717" t="str">
        <f t="shared" si="44"/>
        <v/>
      </c>
      <c r="M252" s="717" t="str">
        <f t="shared" si="44"/>
        <v/>
      </c>
      <c r="N252" s="717" t="str">
        <f t="shared" si="44"/>
        <v/>
      </c>
      <c r="O252" s="717" t="str">
        <f t="shared" si="44"/>
        <v/>
      </c>
      <c r="P252" s="718"/>
      <c r="Q252" s="706"/>
    </row>
    <row r="253" spans="1:26" hidden="1" x14ac:dyDescent="0.25">
      <c r="A253" s="670"/>
      <c r="B253" s="719" t="s">
        <v>204</v>
      </c>
      <c r="C253" s="720"/>
      <c r="D253" s="721" t="str">
        <f t="shared" ref="D253:O253" si="45">IF(D202=0,"",D243/D202)</f>
        <v/>
      </c>
      <c r="E253" s="721" t="str">
        <f t="shared" si="45"/>
        <v/>
      </c>
      <c r="F253" s="721" t="str">
        <f t="shared" si="45"/>
        <v/>
      </c>
      <c r="G253" s="721" t="str">
        <f t="shared" si="45"/>
        <v/>
      </c>
      <c r="H253" s="721" t="str">
        <f t="shared" si="45"/>
        <v/>
      </c>
      <c r="I253" s="721" t="str">
        <f t="shared" si="45"/>
        <v/>
      </c>
      <c r="J253" s="721" t="str">
        <f t="shared" si="45"/>
        <v/>
      </c>
      <c r="K253" s="721" t="str">
        <f t="shared" si="45"/>
        <v/>
      </c>
      <c r="L253" s="721" t="str">
        <f t="shared" si="45"/>
        <v/>
      </c>
      <c r="M253" s="721" t="str">
        <f t="shared" si="45"/>
        <v/>
      </c>
      <c r="N253" s="721" t="str">
        <f t="shared" si="45"/>
        <v/>
      </c>
      <c r="O253" s="721" t="str">
        <f t="shared" si="45"/>
        <v/>
      </c>
      <c r="P253" s="718"/>
      <c r="Q253" s="706"/>
    </row>
    <row r="254" spans="1:26" ht="15.75" hidden="1" thickBot="1" x14ac:dyDescent="0.3">
      <c r="A254" s="670"/>
      <c r="B254" s="719" t="s">
        <v>205</v>
      </c>
      <c r="C254" s="720"/>
      <c r="D254" s="721" t="str">
        <f>IF(D189+D202=0,"",(D230+D243)/(D189+D202))</f>
        <v/>
      </c>
      <c r="E254" s="721" t="str">
        <f t="shared" ref="E254:O254" si="46">IF(E189+E202=0,"",(E230+E243)/(E189+E202))</f>
        <v/>
      </c>
      <c r="F254" s="721" t="str">
        <f t="shared" si="46"/>
        <v/>
      </c>
      <c r="G254" s="721" t="str">
        <f t="shared" si="46"/>
        <v/>
      </c>
      <c r="H254" s="721" t="str">
        <f t="shared" si="46"/>
        <v/>
      </c>
      <c r="I254" s="721" t="str">
        <f t="shared" si="46"/>
        <v/>
      </c>
      <c r="J254" s="721" t="str">
        <f t="shared" si="46"/>
        <v/>
      </c>
      <c r="K254" s="721" t="str">
        <f t="shared" si="46"/>
        <v/>
      </c>
      <c r="L254" s="721" t="str">
        <f t="shared" si="46"/>
        <v/>
      </c>
      <c r="M254" s="721" t="str">
        <f t="shared" si="46"/>
        <v/>
      </c>
      <c r="N254" s="721" t="str">
        <f t="shared" si="46"/>
        <v/>
      </c>
      <c r="O254" s="721" t="str">
        <f t="shared" si="46"/>
        <v/>
      </c>
      <c r="P254" s="718"/>
      <c r="Q254" s="706"/>
    </row>
    <row r="255" spans="1:26" hidden="1" x14ac:dyDescent="0.25">
      <c r="A255" s="670"/>
      <c r="B255" s="711" t="s">
        <v>196</v>
      </c>
      <c r="C255" s="712"/>
      <c r="D255" s="713">
        <f>IF(OR(REBANHO!E47=0,REBANHO!E47=""),"",SUM(D231,D244)/REBANHO!E47)</f>
        <v>0</v>
      </c>
      <c r="E255" s="713">
        <f>IF(OR(REBANHO!F47=0,REBANHO!F47=""),"",SUM(E231,E244)/REBANHO!F47)</f>
        <v>0</v>
      </c>
      <c r="F255" s="713">
        <f>IF(OR(REBANHO!G47=0,REBANHO!G47=""),"",SUM(F231,F244)/REBANHO!G47)</f>
        <v>0</v>
      </c>
      <c r="G255" s="713">
        <f>IF(OR(REBANHO!H47=0,REBANHO!H47=""),"",SUM(G231,G244)/REBANHO!H47)</f>
        <v>24.193548387096776</v>
      </c>
      <c r="H255" s="713">
        <f>IF(OR(REBANHO!I47=0,REBANHO!I47=""),"",SUM(H231,H244)/REBANHO!I47)</f>
        <v>0</v>
      </c>
      <c r="I255" s="713">
        <f>IF(OR(REBANHO!J47=0,REBANHO!J47=""),"",SUM(I231,I244)/REBANHO!J47)</f>
        <v>0</v>
      </c>
      <c r="J255" s="713">
        <f>IF(OR(REBANHO!K47=0,REBANHO!K47=""),"",SUM(J231,J244)/REBANHO!K47)</f>
        <v>0</v>
      </c>
      <c r="K255" s="713">
        <f>IF(OR(REBANHO!L47=0,REBANHO!L47=""),"",SUM(K231,K244)/REBANHO!L47)</f>
        <v>0</v>
      </c>
      <c r="L255" s="713" t="str">
        <f>IF(OR(REBANHO!M47=0,REBANHO!M47=""),"",SUM(L231,L244)/REBANHO!M47)</f>
        <v/>
      </c>
      <c r="M255" s="713" t="str">
        <f>IF(OR(REBANHO!N47=0,REBANHO!N47=""),"",SUM(M231,M244)/REBANHO!N47)</f>
        <v/>
      </c>
      <c r="N255" s="713" t="str">
        <f>IF(OR(REBANHO!O47=0,REBANHO!O47=""),"",SUM(N231,N244)/REBANHO!O47)</f>
        <v/>
      </c>
      <c r="O255" s="713" t="str">
        <f>IF(OR(REBANHO!P47=0,REBANHO!P47=""),"",SUM(O231,O244)/REBANHO!P47)</f>
        <v/>
      </c>
      <c r="P255" s="714"/>
      <c r="Q255" s="706"/>
    </row>
    <row r="256" spans="1:26" ht="16.5" hidden="1" customHeight="1" x14ac:dyDescent="0.25">
      <c r="A256" s="670"/>
      <c r="B256" s="715" t="s">
        <v>198</v>
      </c>
      <c r="C256" s="716"/>
      <c r="D256" s="717" t="str">
        <f t="shared" ref="D256:O256" si="47">IF(OR(D190="",D190=0),"",D231/D190)</f>
        <v/>
      </c>
      <c r="E256" s="717" t="str">
        <f t="shared" si="47"/>
        <v/>
      </c>
      <c r="F256" s="717" t="str">
        <f t="shared" si="47"/>
        <v/>
      </c>
      <c r="G256" s="717">
        <f t="shared" si="47"/>
        <v>3000</v>
      </c>
      <c r="H256" s="717" t="str">
        <f t="shared" si="47"/>
        <v/>
      </c>
      <c r="I256" s="717" t="str">
        <f t="shared" si="47"/>
        <v/>
      </c>
      <c r="J256" s="717" t="str">
        <f t="shared" si="47"/>
        <v/>
      </c>
      <c r="K256" s="717" t="str">
        <f t="shared" si="47"/>
        <v/>
      </c>
      <c r="L256" s="717" t="str">
        <f t="shared" si="47"/>
        <v/>
      </c>
      <c r="M256" s="717" t="str">
        <f t="shared" si="47"/>
        <v/>
      </c>
      <c r="N256" s="717" t="str">
        <f t="shared" si="47"/>
        <v/>
      </c>
      <c r="O256" s="717" t="str">
        <f t="shared" si="47"/>
        <v/>
      </c>
      <c r="P256" s="718"/>
      <c r="Q256" s="706"/>
    </row>
    <row r="257" spans="1:17" hidden="1" x14ac:dyDescent="0.25">
      <c r="A257" s="670"/>
      <c r="B257" s="719" t="s">
        <v>208</v>
      </c>
      <c r="C257" s="720"/>
      <c r="D257" s="721" t="str">
        <f t="shared" ref="D257:O257" si="48">IF(D203=0,"",D244/D203)</f>
        <v/>
      </c>
      <c r="E257" s="721" t="str">
        <f t="shared" si="48"/>
        <v/>
      </c>
      <c r="F257" s="721" t="str">
        <f t="shared" si="48"/>
        <v/>
      </c>
      <c r="G257" s="721" t="str">
        <f t="shared" si="48"/>
        <v/>
      </c>
      <c r="H257" s="721" t="str">
        <f t="shared" si="48"/>
        <v/>
      </c>
      <c r="I257" s="721" t="str">
        <f t="shared" si="48"/>
        <v/>
      </c>
      <c r="J257" s="721" t="str">
        <f t="shared" si="48"/>
        <v/>
      </c>
      <c r="K257" s="721" t="str">
        <f t="shared" si="48"/>
        <v/>
      </c>
      <c r="L257" s="721" t="str">
        <f t="shared" si="48"/>
        <v/>
      </c>
      <c r="M257" s="721" t="str">
        <f t="shared" si="48"/>
        <v/>
      </c>
      <c r="N257" s="721" t="str">
        <f t="shared" si="48"/>
        <v/>
      </c>
      <c r="O257" s="721" t="str">
        <f t="shared" si="48"/>
        <v/>
      </c>
      <c r="P257" s="718"/>
      <c r="Q257" s="706"/>
    </row>
    <row r="258" spans="1:17" ht="15.75" hidden="1" thickBot="1" x14ac:dyDescent="0.3">
      <c r="A258" s="670"/>
      <c r="B258" s="719" t="s">
        <v>209</v>
      </c>
      <c r="C258" s="720"/>
      <c r="D258" s="721" t="str">
        <f t="shared" ref="D258:O258" si="49">IF(D190+D203=0,"",(D231+D244)/(D190+D203))</f>
        <v/>
      </c>
      <c r="E258" s="721" t="str">
        <f t="shared" si="49"/>
        <v/>
      </c>
      <c r="F258" s="721" t="str">
        <f t="shared" si="49"/>
        <v/>
      </c>
      <c r="G258" s="721">
        <f t="shared" si="49"/>
        <v>3000</v>
      </c>
      <c r="H258" s="721" t="str">
        <f t="shared" si="49"/>
        <v/>
      </c>
      <c r="I258" s="721" t="str">
        <f t="shared" si="49"/>
        <v/>
      </c>
      <c r="J258" s="721" t="str">
        <f t="shared" si="49"/>
        <v/>
      </c>
      <c r="K258" s="721" t="str">
        <f t="shared" si="49"/>
        <v/>
      </c>
      <c r="L258" s="721" t="str">
        <f t="shared" si="49"/>
        <v/>
      </c>
      <c r="M258" s="721" t="str">
        <f t="shared" si="49"/>
        <v/>
      </c>
      <c r="N258" s="721" t="str">
        <f t="shared" si="49"/>
        <v/>
      </c>
      <c r="O258" s="721" t="str">
        <f t="shared" si="49"/>
        <v/>
      </c>
      <c r="P258" s="718"/>
      <c r="Q258" s="706"/>
    </row>
    <row r="259" spans="1:17" hidden="1" x14ac:dyDescent="0.25">
      <c r="A259" s="670"/>
      <c r="B259" s="711" t="s">
        <v>197</v>
      </c>
      <c r="C259" s="712"/>
      <c r="D259" s="713" t="str">
        <f>IF(OR(REBANHO!E52=0,REBANHO!E52=""),"",SUM(D232,D238,D245)/REBANHO!E52)</f>
        <v/>
      </c>
      <c r="E259" s="713" t="str">
        <f>IF(OR(REBANHO!F52=0,REBANHO!F52=""),"",SUM(E232,E238,E245)/REBANHO!F52)</f>
        <v/>
      </c>
      <c r="F259" s="713" t="str">
        <f>IF(OR(REBANHO!G52=0,REBANHO!G52=""),"",SUM(F232,F238,F245)/REBANHO!G52)</f>
        <v/>
      </c>
      <c r="G259" s="713">
        <f>IF(OR(REBANHO!H52=0,REBANHO!H52=""),"",SUM(G232,G238,G245)/REBANHO!H52)</f>
        <v>0</v>
      </c>
      <c r="H259" s="713">
        <f>IF(OR(REBANHO!I52=0,REBANHO!I52=""),"",SUM(H232,H238,H245)/REBANHO!I52)</f>
        <v>0</v>
      </c>
      <c r="I259" s="713">
        <f>IF(OR(REBANHO!J52=0,REBANHO!J52=""),"",SUM(I232,I238,I245)/REBANHO!J52)</f>
        <v>0</v>
      </c>
      <c r="J259" s="713">
        <f>IF(OR(REBANHO!K52=0,REBANHO!K52=""),"",SUM(J232,J238,J245)/REBANHO!K52)</f>
        <v>15640.46956521739</v>
      </c>
      <c r="K259" s="713">
        <f>IF(OR(REBANHO!L52=0,REBANHO!L52=""),"",SUM(K232,K238,K245)/REBANHO!L52)</f>
        <v>0</v>
      </c>
      <c r="L259" s="713" t="str">
        <f>IF(OR(REBANHO!M52=0,REBANHO!M52=""),"",SUM(L232,L238,L245)/REBANHO!M52)</f>
        <v/>
      </c>
      <c r="M259" s="713" t="str">
        <f>IF(OR(REBANHO!N52=0,REBANHO!N52=""),"",SUM(M232,M238,M245)/REBANHO!N52)</f>
        <v/>
      </c>
      <c r="N259" s="713" t="str">
        <f>IF(OR(REBANHO!O52=0,REBANHO!O52=""),"",SUM(N232,N238,N245)/REBANHO!O52)</f>
        <v/>
      </c>
      <c r="O259" s="713" t="str">
        <f>IF(OR(REBANHO!P52=0,REBANHO!P52=""),"",SUM(O232,O238,O245)/REBANHO!P52)</f>
        <v/>
      </c>
      <c r="P259" s="714"/>
      <c r="Q259" s="706"/>
    </row>
    <row r="260" spans="1:17" hidden="1" x14ac:dyDescent="0.25">
      <c r="A260" s="670"/>
      <c r="B260" s="715" t="s">
        <v>199</v>
      </c>
      <c r="C260" s="716"/>
      <c r="D260" s="717" t="str">
        <f t="shared" ref="D260:O260" si="50">IF(OR(D191="",D191=0),"",D232/D191)</f>
        <v/>
      </c>
      <c r="E260" s="717" t="str">
        <f t="shared" si="50"/>
        <v/>
      </c>
      <c r="F260" s="717" t="str">
        <f t="shared" si="50"/>
        <v/>
      </c>
      <c r="G260" s="717" t="str">
        <f t="shared" si="50"/>
        <v/>
      </c>
      <c r="H260" s="717" t="str">
        <f t="shared" si="50"/>
        <v/>
      </c>
      <c r="I260" s="717" t="str">
        <f t="shared" si="50"/>
        <v/>
      </c>
      <c r="J260" s="717" t="str">
        <f t="shared" si="50"/>
        <v/>
      </c>
      <c r="K260" s="717" t="str">
        <f t="shared" si="50"/>
        <v/>
      </c>
      <c r="L260" s="717" t="str">
        <f t="shared" si="50"/>
        <v/>
      </c>
      <c r="M260" s="717" t="str">
        <f t="shared" si="50"/>
        <v/>
      </c>
      <c r="N260" s="717" t="str">
        <f t="shared" si="50"/>
        <v/>
      </c>
      <c r="O260" s="717" t="str">
        <f t="shared" si="50"/>
        <v/>
      </c>
      <c r="P260" s="718"/>
      <c r="Q260" s="706"/>
    </row>
    <row r="261" spans="1:17" hidden="1" x14ac:dyDescent="0.25">
      <c r="A261" s="670"/>
      <c r="B261" s="719" t="s">
        <v>211</v>
      </c>
      <c r="C261" s="720"/>
      <c r="D261" s="721" t="str">
        <f t="shared" ref="D261:O261" si="51">IF(D197=0,"",D238/D197)</f>
        <v/>
      </c>
      <c r="E261" s="721" t="str">
        <f t="shared" si="51"/>
        <v/>
      </c>
      <c r="F261" s="721" t="str">
        <f t="shared" si="51"/>
        <v/>
      </c>
      <c r="G261" s="721" t="str">
        <f t="shared" si="51"/>
        <v/>
      </c>
      <c r="H261" s="721" t="str">
        <f t="shared" si="51"/>
        <v/>
      </c>
      <c r="I261" s="721" t="str">
        <f t="shared" si="51"/>
        <v/>
      </c>
      <c r="J261" s="721">
        <f t="shared" si="51"/>
        <v>3240.8180180180179</v>
      </c>
      <c r="K261" s="721" t="str">
        <f t="shared" si="51"/>
        <v/>
      </c>
      <c r="L261" s="721" t="str">
        <f t="shared" si="51"/>
        <v/>
      </c>
      <c r="M261" s="721" t="str">
        <f t="shared" si="51"/>
        <v/>
      </c>
      <c r="N261" s="721" t="str">
        <f t="shared" si="51"/>
        <v/>
      </c>
      <c r="O261" s="721" t="str">
        <f t="shared" si="51"/>
        <v/>
      </c>
      <c r="P261" s="718"/>
      <c r="Q261" s="706"/>
    </row>
    <row r="262" spans="1:17" hidden="1" x14ac:dyDescent="0.25">
      <c r="A262" s="670"/>
      <c r="B262" s="719" t="s">
        <v>212</v>
      </c>
      <c r="C262" s="720"/>
      <c r="D262" s="721" t="str">
        <f t="shared" ref="D262:O262" si="52">IF(D204=0,"",D245/D204)</f>
        <v/>
      </c>
      <c r="E262" s="721" t="str">
        <f t="shared" si="52"/>
        <v/>
      </c>
      <c r="F262" s="721" t="str">
        <f t="shared" si="52"/>
        <v/>
      </c>
      <c r="G262" s="721" t="str">
        <f t="shared" si="52"/>
        <v/>
      </c>
      <c r="H262" s="721" t="str">
        <f t="shared" si="52"/>
        <v/>
      </c>
      <c r="I262" s="721" t="str">
        <f t="shared" si="52"/>
        <v/>
      </c>
      <c r="J262" s="721" t="str">
        <f t="shared" si="52"/>
        <v/>
      </c>
      <c r="K262" s="721" t="str">
        <f t="shared" si="52"/>
        <v/>
      </c>
      <c r="L262" s="721" t="str">
        <f t="shared" si="52"/>
        <v/>
      </c>
      <c r="M262" s="721" t="str">
        <f t="shared" si="52"/>
        <v/>
      </c>
      <c r="N262" s="721" t="str">
        <f t="shared" si="52"/>
        <v/>
      </c>
      <c r="O262" s="721" t="str">
        <f t="shared" si="52"/>
        <v/>
      </c>
      <c r="P262" s="718"/>
      <c r="Q262" s="706"/>
    </row>
    <row r="263" spans="1:17" ht="15.75" hidden="1" thickBot="1" x14ac:dyDescent="0.3">
      <c r="A263" s="670"/>
      <c r="B263" s="719" t="s">
        <v>213</v>
      </c>
      <c r="C263" s="720"/>
      <c r="D263" s="721" t="str">
        <f t="shared" ref="D263:O263" si="53">IF(D191+D197+D204=0,"",(D232+D238+D245)/(D191+D197+D204))</f>
        <v/>
      </c>
      <c r="E263" s="721" t="str">
        <f t="shared" si="53"/>
        <v/>
      </c>
      <c r="F263" s="721" t="str">
        <f t="shared" si="53"/>
        <v/>
      </c>
      <c r="G263" s="721" t="str">
        <f t="shared" si="53"/>
        <v/>
      </c>
      <c r="H263" s="721" t="str">
        <f t="shared" si="53"/>
        <v/>
      </c>
      <c r="I263" s="721" t="str">
        <f t="shared" si="53"/>
        <v/>
      </c>
      <c r="J263" s="721">
        <f t="shared" si="53"/>
        <v>3240.8180180180179</v>
      </c>
      <c r="K263" s="721" t="str">
        <f t="shared" si="53"/>
        <v/>
      </c>
      <c r="L263" s="721" t="str">
        <f t="shared" si="53"/>
        <v/>
      </c>
      <c r="M263" s="721" t="str">
        <f t="shared" si="53"/>
        <v/>
      </c>
      <c r="N263" s="721" t="str">
        <f t="shared" si="53"/>
        <v/>
      </c>
      <c r="O263" s="721" t="str">
        <f t="shared" si="53"/>
        <v/>
      </c>
      <c r="P263" s="718"/>
      <c r="Q263" s="706"/>
    </row>
    <row r="264" spans="1:17" hidden="1" x14ac:dyDescent="0.25">
      <c r="A264" s="670"/>
      <c r="B264" s="711" t="s">
        <v>210</v>
      </c>
      <c r="C264" s="712"/>
      <c r="D264" s="713">
        <f>IF(OR(REBANHO!E57=0,REBANHO!E57=""),"",SUM(D233,D234,D239,D240,D246)/REBANHO!E57)</f>
        <v>0</v>
      </c>
      <c r="E264" s="713">
        <f>IF(OR(REBANHO!F57=0,REBANHO!F57=""),"",SUM(E233,E234,E239,E240,E246)/REBANHO!F57)</f>
        <v>0</v>
      </c>
      <c r="F264" s="713">
        <f>IF(OR(REBANHO!G57=0,REBANHO!G57=""),"",SUM(F233,F234,F239,F240,F246)/REBANHO!G57)</f>
        <v>0</v>
      </c>
      <c r="G264" s="713">
        <f>IF(OR(REBANHO!H57=0,REBANHO!H57=""),"",SUM(G233,G234,G239,G240,G246)/REBANHO!H57)</f>
        <v>0</v>
      </c>
      <c r="H264" s="713">
        <f>IF(OR(REBANHO!I57=0,REBANHO!I57=""),"",SUM(H233,H234,H239,H240,H246)/REBANHO!I57)</f>
        <v>0</v>
      </c>
      <c r="I264" s="713">
        <f>IF(OR(REBANHO!J57=0,REBANHO!J57=""),"",SUM(I233,I234,I239,I240,I246)/REBANHO!J57)</f>
        <v>0</v>
      </c>
      <c r="J264" s="713">
        <f>IF(OR(REBANHO!K57=0,REBANHO!K57=""),"",SUM(J233,J234,J239,J240,J246)/REBANHO!K57)</f>
        <v>0</v>
      </c>
      <c r="K264" s="713">
        <f>IF(OR(REBANHO!L57=0,REBANHO!L57=""),"",SUM(K233,K234,K239,K240,K246)/REBANHO!L57)</f>
        <v>0</v>
      </c>
      <c r="L264" s="713" t="str">
        <f>IF(OR(REBANHO!M57=0,REBANHO!M57=""),"",SUM(L233,L234,L239,L240,L246)/REBANHO!M57)</f>
        <v/>
      </c>
      <c r="M264" s="713" t="str">
        <f>IF(OR(REBANHO!N57=0,REBANHO!N57=""),"",SUM(M233,M234,M239,M240,M246)/REBANHO!N57)</f>
        <v/>
      </c>
      <c r="N264" s="713" t="str">
        <f>IF(OR(REBANHO!O57=0,REBANHO!O57=""),"",SUM(N233,N234,N239,N240,N246)/REBANHO!O57)</f>
        <v/>
      </c>
      <c r="O264" s="713" t="str">
        <f>IF(OR(REBANHO!P57=0,REBANHO!P57=""),"",SUM(O233,O234,O239,O240,O246)/REBANHO!P57)</f>
        <v/>
      </c>
      <c r="P264" s="714"/>
      <c r="Q264" s="706"/>
    </row>
    <row r="265" spans="1:17" hidden="1" x14ac:dyDescent="0.25">
      <c r="A265" s="670"/>
      <c r="B265" s="715" t="s">
        <v>214</v>
      </c>
      <c r="C265" s="716"/>
      <c r="D265" s="717" t="str">
        <f t="shared" ref="D265:O265" si="54">IF(D192+D193=0,"",(D233+D234)/(D192+D193))</f>
        <v/>
      </c>
      <c r="E265" s="717" t="str">
        <f t="shared" si="54"/>
        <v/>
      </c>
      <c r="F265" s="717" t="str">
        <f t="shared" si="54"/>
        <v/>
      </c>
      <c r="G265" s="717" t="str">
        <f t="shared" si="54"/>
        <v/>
      </c>
      <c r="H265" s="717" t="str">
        <f t="shared" si="54"/>
        <v/>
      </c>
      <c r="I265" s="717" t="str">
        <f t="shared" si="54"/>
        <v/>
      </c>
      <c r="J265" s="717" t="str">
        <f t="shared" si="54"/>
        <v/>
      </c>
      <c r="K265" s="717" t="str">
        <f t="shared" si="54"/>
        <v/>
      </c>
      <c r="L265" s="717" t="str">
        <f t="shared" si="54"/>
        <v/>
      </c>
      <c r="M265" s="717" t="str">
        <f t="shared" si="54"/>
        <v/>
      </c>
      <c r="N265" s="717" t="str">
        <f t="shared" si="54"/>
        <v/>
      </c>
      <c r="O265" s="717" t="str">
        <f t="shared" si="54"/>
        <v/>
      </c>
      <c r="P265" s="722"/>
      <c r="Q265" s="706"/>
    </row>
    <row r="266" spans="1:17" hidden="1" x14ac:dyDescent="0.25">
      <c r="A266" s="670"/>
      <c r="B266" s="719" t="s">
        <v>215</v>
      </c>
      <c r="C266" s="720"/>
      <c r="D266" s="721" t="str">
        <f t="shared" ref="D266:O266" si="55">IF(D198+D199=0,"",(D239+D240)/(D198+D199))</f>
        <v/>
      </c>
      <c r="E266" s="721" t="str">
        <f t="shared" si="55"/>
        <v/>
      </c>
      <c r="F266" s="721" t="str">
        <f t="shared" si="55"/>
        <v/>
      </c>
      <c r="G266" s="721" t="str">
        <f t="shared" si="55"/>
        <v/>
      </c>
      <c r="H266" s="721" t="str">
        <f t="shared" si="55"/>
        <v/>
      </c>
      <c r="I266" s="721" t="str">
        <f t="shared" si="55"/>
        <v/>
      </c>
      <c r="J266" s="721" t="str">
        <f t="shared" si="55"/>
        <v/>
      </c>
      <c r="K266" s="721" t="str">
        <f t="shared" si="55"/>
        <v/>
      </c>
      <c r="L266" s="721" t="str">
        <f t="shared" si="55"/>
        <v/>
      </c>
      <c r="M266" s="721" t="str">
        <f t="shared" si="55"/>
        <v/>
      </c>
      <c r="N266" s="721" t="str">
        <f t="shared" si="55"/>
        <v/>
      </c>
      <c r="O266" s="721" t="str">
        <f t="shared" si="55"/>
        <v/>
      </c>
      <c r="P266" s="718"/>
      <c r="Q266" s="706"/>
    </row>
    <row r="267" spans="1:17" hidden="1" x14ac:dyDescent="0.25">
      <c r="A267" s="670"/>
      <c r="B267" s="719" t="s">
        <v>216</v>
      </c>
      <c r="C267" s="720"/>
      <c r="D267" s="721" t="str">
        <f t="shared" ref="D267:O267" si="56">IF(D205=0,"",(D246)/(D205))</f>
        <v/>
      </c>
      <c r="E267" s="721" t="str">
        <f t="shared" si="56"/>
        <v/>
      </c>
      <c r="F267" s="721" t="str">
        <f t="shared" si="56"/>
        <v/>
      </c>
      <c r="G267" s="721" t="str">
        <f t="shared" si="56"/>
        <v/>
      </c>
      <c r="H267" s="721" t="str">
        <f t="shared" si="56"/>
        <v/>
      </c>
      <c r="I267" s="721" t="str">
        <f t="shared" si="56"/>
        <v/>
      </c>
      <c r="J267" s="721" t="str">
        <f t="shared" si="56"/>
        <v/>
      </c>
      <c r="K267" s="721" t="str">
        <f t="shared" si="56"/>
        <v/>
      </c>
      <c r="L267" s="721" t="str">
        <f t="shared" si="56"/>
        <v/>
      </c>
      <c r="M267" s="721" t="str">
        <f t="shared" si="56"/>
        <v/>
      </c>
      <c r="N267" s="721" t="str">
        <f t="shared" si="56"/>
        <v/>
      </c>
      <c r="O267" s="721" t="str">
        <f t="shared" si="56"/>
        <v/>
      </c>
      <c r="P267" s="718"/>
      <c r="Q267" s="706"/>
    </row>
    <row r="268" spans="1:17" ht="15.75" hidden="1" thickBot="1" x14ac:dyDescent="0.3">
      <c r="A268" s="670"/>
      <c r="B268" s="719" t="s">
        <v>217</v>
      </c>
      <c r="C268" s="720"/>
      <c r="D268" s="721" t="str">
        <f t="shared" ref="D268:O268" si="57">IF(D192+D193+D198+D199+D205=0,"",(D233+D234+D239+D240+D246)/(D192+D193+D198+D199+D205))</f>
        <v/>
      </c>
      <c r="E268" s="721" t="str">
        <f t="shared" si="57"/>
        <v/>
      </c>
      <c r="F268" s="721" t="str">
        <f t="shared" si="57"/>
        <v/>
      </c>
      <c r="G268" s="721" t="str">
        <f t="shared" si="57"/>
        <v/>
      </c>
      <c r="H268" s="721" t="str">
        <f t="shared" si="57"/>
        <v/>
      </c>
      <c r="I268" s="721" t="str">
        <f t="shared" si="57"/>
        <v/>
      </c>
      <c r="J268" s="721" t="str">
        <f t="shared" si="57"/>
        <v/>
      </c>
      <c r="K268" s="721" t="str">
        <f t="shared" si="57"/>
        <v/>
      </c>
      <c r="L268" s="721" t="str">
        <f t="shared" si="57"/>
        <v/>
      </c>
      <c r="M268" s="721" t="str">
        <f t="shared" si="57"/>
        <v/>
      </c>
      <c r="N268" s="721" t="str">
        <f t="shared" si="57"/>
        <v/>
      </c>
      <c r="O268" s="721" t="str">
        <f t="shared" si="57"/>
        <v/>
      </c>
      <c r="P268" s="718"/>
      <c r="Q268" s="706"/>
    </row>
    <row r="269" spans="1:17" hidden="1" x14ac:dyDescent="0.25">
      <c r="A269" s="670"/>
      <c r="B269" s="711" t="s">
        <v>439</v>
      </c>
      <c r="C269" s="712"/>
      <c r="D269" s="713">
        <f>IF(OR(REBANHO!E58=0,REBANHO!E58=""),"",SUM(D230:D246)/REBANHO!E58)</f>
        <v>0</v>
      </c>
      <c r="E269" s="713">
        <f>IF(OR(REBANHO!F58=0,REBANHO!F58=""),"",SUM(E230:E246)/REBANHO!F58)</f>
        <v>0</v>
      </c>
      <c r="F269" s="713">
        <f>IF(OR(REBANHO!G58=0,REBANHO!G58=""),"",SUM(F230:F246)/REBANHO!G58)</f>
        <v>0</v>
      </c>
      <c r="G269" s="713">
        <f>IF(OR(REBANHO!H58=0,REBANHO!H58=""),"",SUM(G230:G246)/REBANHO!H58)</f>
        <v>12.711864406779661</v>
      </c>
      <c r="H269" s="713">
        <f>IF(OR(REBANHO!I58=0,REBANHO!I58=""),"",SUM(H230:H246)/REBANHO!I58)</f>
        <v>0</v>
      </c>
      <c r="I269" s="713">
        <f>IF(OR(REBANHO!J58=0,REBANHO!J58=""),"",SUM(I230:I246)/REBANHO!J58)</f>
        <v>0</v>
      </c>
      <c r="J269" s="713">
        <f>IF(OR(REBANHO!K58=0,REBANHO!K58=""),"",SUM(J230:J246)/REBANHO!K58)</f>
        <v>1816.8222222222221</v>
      </c>
      <c r="K269" s="713">
        <f>IF(OR(REBANHO!L58=0,REBANHO!L58=""),"",SUM(K230:K246)/REBANHO!L58)</f>
        <v>0</v>
      </c>
      <c r="L269" s="713" t="str">
        <f>IF(OR(REBANHO!M58=0,REBANHO!M58=""),"",SUM(L230:L246)/REBANHO!M58)</f>
        <v/>
      </c>
      <c r="M269" s="713" t="str">
        <f>IF(OR(REBANHO!N58=0,REBANHO!N58=""),"",SUM(M230:M246)/REBANHO!N58)</f>
        <v/>
      </c>
      <c r="N269" s="713" t="str">
        <f>IF(OR(REBANHO!O58=0,REBANHO!O58=""),"",SUM(N230:N246)/REBANHO!O58)</f>
        <v/>
      </c>
      <c r="O269" s="713" t="str">
        <f>IF(OR(REBANHO!P58=0,REBANHO!P58=""),"",SUM(O230:O246)/REBANHO!P58)</f>
        <v/>
      </c>
      <c r="P269" s="714"/>
      <c r="Q269" s="706"/>
    </row>
    <row r="270" spans="1:17" hidden="1" x14ac:dyDescent="0.25">
      <c r="A270" s="670"/>
      <c r="B270" s="715" t="s">
        <v>440</v>
      </c>
      <c r="C270" s="716"/>
      <c r="D270" s="717" t="str">
        <f t="shared" ref="D270:O270" si="58">IF(SUM(D252,D256,D260,D265)=0,"",SUM(D252,D256,D260,D265))</f>
        <v/>
      </c>
      <c r="E270" s="717" t="str">
        <f t="shared" si="58"/>
        <v/>
      </c>
      <c r="F270" s="717" t="str">
        <f t="shared" si="58"/>
        <v/>
      </c>
      <c r="G270" s="717">
        <f t="shared" si="58"/>
        <v>3000</v>
      </c>
      <c r="H270" s="717" t="str">
        <f t="shared" si="58"/>
        <v/>
      </c>
      <c r="I270" s="717" t="str">
        <f t="shared" si="58"/>
        <v/>
      </c>
      <c r="J270" s="717" t="str">
        <f t="shared" si="58"/>
        <v/>
      </c>
      <c r="K270" s="717" t="str">
        <f t="shared" si="58"/>
        <v/>
      </c>
      <c r="L270" s="717" t="str">
        <f t="shared" si="58"/>
        <v/>
      </c>
      <c r="M270" s="717" t="str">
        <f t="shared" si="58"/>
        <v/>
      </c>
      <c r="N270" s="717" t="str">
        <f t="shared" si="58"/>
        <v/>
      </c>
      <c r="O270" s="717" t="str">
        <f t="shared" si="58"/>
        <v/>
      </c>
      <c r="P270" s="722"/>
      <c r="Q270" s="706"/>
    </row>
    <row r="271" spans="1:17" hidden="1" x14ac:dyDescent="0.25">
      <c r="A271" s="670"/>
      <c r="B271" s="719" t="s">
        <v>441</v>
      </c>
      <c r="C271" s="720"/>
      <c r="D271" s="717" t="str">
        <f>IF(SUM(D261,D266)=0,"",SUM(D261,D266))</f>
        <v/>
      </c>
      <c r="E271" s="717" t="str">
        <f t="shared" ref="E271:O271" si="59">IF(SUM(E261,E266)=0,"",SUM(E261,E266))</f>
        <v/>
      </c>
      <c r="F271" s="717" t="str">
        <f t="shared" si="59"/>
        <v/>
      </c>
      <c r="G271" s="717" t="str">
        <f t="shared" si="59"/>
        <v/>
      </c>
      <c r="H271" s="717" t="str">
        <f t="shared" si="59"/>
        <v/>
      </c>
      <c r="I271" s="717" t="str">
        <f t="shared" si="59"/>
        <v/>
      </c>
      <c r="J271" s="717">
        <f t="shared" si="59"/>
        <v>3240.8180180180179</v>
      </c>
      <c r="K271" s="717" t="str">
        <f t="shared" si="59"/>
        <v/>
      </c>
      <c r="L271" s="717" t="str">
        <f t="shared" si="59"/>
        <v/>
      </c>
      <c r="M271" s="717" t="str">
        <f t="shared" si="59"/>
        <v/>
      </c>
      <c r="N271" s="717" t="str">
        <f t="shared" si="59"/>
        <v/>
      </c>
      <c r="O271" s="717" t="str">
        <f t="shared" si="59"/>
        <v/>
      </c>
      <c r="P271" s="718"/>
      <c r="Q271" s="706"/>
    </row>
    <row r="272" spans="1:17" hidden="1" x14ac:dyDescent="0.25">
      <c r="A272" s="670"/>
      <c r="B272" s="719" t="s">
        <v>442</v>
      </c>
      <c r="C272" s="720"/>
      <c r="D272" s="717" t="str">
        <f>IF(SUM(D253,D257,D262,D267)=0,"",SUM(D253,D257,D262,D267))</f>
        <v/>
      </c>
      <c r="E272" s="717" t="str">
        <f t="shared" ref="E272:O272" si="60">IF(SUM(E253,E257,E262,E267)=0,"",SUM(E253,E257,E262,E267))</f>
        <v/>
      </c>
      <c r="F272" s="717" t="str">
        <f t="shared" si="60"/>
        <v/>
      </c>
      <c r="G272" s="717" t="str">
        <f t="shared" si="60"/>
        <v/>
      </c>
      <c r="H272" s="717" t="str">
        <f t="shared" si="60"/>
        <v/>
      </c>
      <c r="I272" s="717" t="str">
        <f t="shared" si="60"/>
        <v/>
      </c>
      <c r="J272" s="717" t="str">
        <f t="shared" si="60"/>
        <v/>
      </c>
      <c r="K272" s="717" t="str">
        <f t="shared" si="60"/>
        <v/>
      </c>
      <c r="L272" s="717" t="str">
        <f t="shared" si="60"/>
        <v/>
      </c>
      <c r="M272" s="717" t="str">
        <f t="shared" si="60"/>
        <v/>
      </c>
      <c r="N272" s="717" t="str">
        <f t="shared" si="60"/>
        <v/>
      </c>
      <c r="O272" s="717" t="str">
        <f t="shared" si="60"/>
        <v/>
      </c>
      <c r="P272" s="718"/>
      <c r="Q272" s="706"/>
    </row>
    <row r="273" spans="1:17" ht="15.75" hidden="1" thickBot="1" x14ac:dyDescent="0.3">
      <c r="A273" s="670"/>
      <c r="B273" s="1005" t="s">
        <v>443</v>
      </c>
      <c r="C273" s="1006"/>
      <c r="D273" s="1024" t="str">
        <f>IF(SUM(D254,D258,D263,D268)=0,"",SUM(D254,D258,D263,D268))</f>
        <v/>
      </c>
      <c r="E273" s="1024" t="str">
        <f t="shared" ref="E273:O273" si="61">IF(SUM(E254,E258,E263,E268)=0,"",SUM(E254,E258,E263,E268))</f>
        <v/>
      </c>
      <c r="F273" s="1024" t="str">
        <f t="shared" si="61"/>
        <v/>
      </c>
      <c r="G273" s="1024">
        <f t="shared" si="61"/>
        <v>3000</v>
      </c>
      <c r="H273" s="1024" t="str">
        <f t="shared" si="61"/>
        <v/>
      </c>
      <c r="I273" s="1024" t="str">
        <f t="shared" si="61"/>
        <v/>
      </c>
      <c r="J273" s="1024">
        <f t="shared" si="61"/>
        <v>3240.8180180180179</v>
      </c>
      <c r="K273" s="1024" t="str">
        <f t="shared" si="61"/>
        <v/>
      </c>
      <c r="L273" s="1024" t="str">
        <f t="shared" si="61"/>
        <v/>
      </c>
      <c r="M273" s="1024" t="str">
        <f t="shared" si="61"/>
        <v/>
      </c>
      <c r="N273" s="1024" t="str">
        <f t="shared" si="61"/>
        <v/>
      </c>
      <c r="O273" s="1024" t="str">
        <f t="shared" si="61"/>
        <v/>
      </c>
      <c r="P273" s="1025"/>
      <c r="Q273" s="706"/>
    </row>
    <row r="274" spans="1:17" ht="15.75" hidden="1" thickBot="1" x14ac:dyDescent="0.3">
      <c r="A274" s="670"/>
      <c r="B274" s="724"/>
      <c r="C274" s="300"/>
      <c r="D274" s="1008"/>
      <c r="E274" s="1008"/>
      <c r="F274" s="1008"/>
      <c r="G274" s="1008"/>
      <c r="H274" s="1008"/>
      <c r="I274" s="1008"/>
      <c r="J274" s="1008"/>
      <c r="K274" s="1008"/>
      <c r="L274" s="1008"/>
      <c r="M274" s="1008"/>
      <c r="N274" s="1008"/>
      <c r="O274" s="1008"/>
      <c r="P274" s="1009"/>
      <c r="Q274" s="706"/>
    </row>
    <row r="275" spans="1:17" ht="15.75" hidden="1" thickBot="1" x14ac:dyDescent="0.3">
      <c r="A275" s="670"/>
      <c r="B275" s="1020" t="s">
        <v>480</v>
      </c>
      <c r="C275" s="1012" t="s">
        <v>474</v>
      </c>
      <c r="D275" s="1012">
        <v>1</v>
      </c>
      <c r="E275" s="1012">
        <v>2</v>
      </c>
      <c r="F275" s="1012">
        <v>3</v>
      </c>
      <c r="G275" s="1012">
        <v>4</v>
      </c>
      <c r="H275" s="1012">
        <v>5</v>
      </c>
      <c r="I275" s="1012">
        <v>6</v>
      </c>
      <c r="J275" s="1012">
        <v>7</v>
      </c>
      <c r="K275" s="1012">
        <v>8</v>
      </c>
      <c r="L275" s="1012">
        <v>9</v>
      </c>
      <c r="M275" s="1012">
        <v>10</v>
      </c>
      <c r="N275" s="1012">
        <v>11</v>
      </c>
      <c r="O275" s="1012">
        <v>12</v>
      </c>
      <c r="P275" s="1013" t="s">
        <v>176</v>
      </c>
      <c r="Q275" s="706"/>
    </row>
    <row r="276" spans="1:17" hidden="1" x14ac:dyDescent="0.25">
      <c r="A276" s="670"/>
      <c r="B276" s="711" t="s">
        <v>194</v>
      </c>
      <c r="C276" s="712"/>
      <c r="D276" s="713" t="str">
        <f>IF(OR(REBANHO!E101=0,REBANHO!E101=""),"",SUM(D230,D243)/REBANHO!E101)</f>
        <v/>
      </c>
      <c r="E276" s="713" t="str">
        <f>IF(OR(REBANHO!F101=0,REBANHO!F101=""),"",SUM(E230,E243)/REBANHO!F101)</f>
        <v/>
      </c>
      <c r="F276" s="713" t="str">
        <f>IF(OR(REBANHO!G101=0,REBANHO!G101=""),"",SUM(F230,F243)/REBANHO!G101)</f>
        <v/>
      </c>
      <c r="G276" s="713" t="str">
        <f>IF(OR(REBANHO!H101=0,REBANHO!H101=""),"",SUM(G230,G243)/REBANHO!H101)</f>
        <v/>
      </c>
      <c r="H276" s="713" t="str">
        <f>IF(OR(REBANHO!I101=0,REBANHO!I101=""),"",SUM(H230,H243)/REBANHO!I101)</f>
        <v/>
      </c>
      <c r="I276" s="713" t="str">
        <f>IF(OR(REBANHO!J101=0,REBANHO!J101=""),"",SUM(I230,I243)/REBANHO!J101)</f>
        <v/>
      </c>
      <c r="J276" s="713" t="str">
        <f>IF(OR(REBANHO!K101=0,REBANHO!K101=""),"",SUM(J230,J243)/REBANHO!K101)</f>
        <v/>
      </c>
      <c r="K276" s="713" t="str">
        <f>IF(OR(REBANHO!L101=0,REBANHO!L101=""),"",SUM(K230,K243)/REBANHO!L101)</f>
        <v/>
      </c>
      <c r="L276" s="713" t="str">
        <f>IF(OR(REBANHO!M101=0,REBANHO!M101=""),"",SUM(L230,L243)/REBANHO!M101)</f>
        <v/>
      </c>
      <c r="M276" s="713" t="str">
        <f>IF(OR(REBANHO!N101=0,REBANHO!N101=""),"",SUM(M230,M243)/REBANHO!N101)</f>
        <v/>
      </c>
      <c r="N276" s="713" t="str">
        <f>IF(OR(REBANHO!O101=0,REBANHO!O101=""),"",SUM(N230,N243)/REBANHO!O101)</f>
        <v/>
      </c>
      <c r="O276" s="713" t="str">
        <f>IF(OR(REBANHO!P101=0,REBANHO!P101=""),"",SUM(O230,O243)/REBANHO!P101)</f>
        <v/>
      </c>
      <c r="P276" s="714"/>
      <c r="Q276" s="706"/>
    </row>
    <row r="277" spans="1:17" hidden="1" x14ac:dyDescent="0.25">
      <c r="A277" s="670"/>
      <c r="B277" s="1010" t="s">
        <v>195</v>
      </c>
      <c r="C277" s="1014"/>
      <c r="D277" s="1015" t="str">
        <f>IF(OR(D189="",D189=0),"",D230/D209)</f>
        <v/>
      </c>
      <c r="E277" s="1015" t="str">
        <f t="shared" ref="E277:O277" si="62">IF(OR(E189="",E189=0),"",E230/E209)</f>
        <v/>
      </c>
      <c r="F277" s="1015" t="str">
        <f t="shared" si="62"/>
        <v/>
      </c>
      <c r="G277" s="1015" t="str">
        <f t="shared" si="62"/>
        <v/>
      </c>
      <c r="H277" s="1015" t="str">
        <f t="shared" si="62"/>
        <v/>
      </c>
      <c r="I277" s="1015" t="str">
        <f t="shared" si="62"/>
        <v/>
      </c>
      <c r="J277" s="1015" t="str">
        <f t="shared" si="62"/>
        <v/>
      </c>
      <c r="K277" s="1015" t="str">
        <f t="shared" si="62"/>
        <v/>
      </c>
      <c r="L277" s="1015" t="str">
        <f t="shared" si="62"/>
        <v/>
      </c>
      <c r="M277" s="1015" t="str">
        <f t="shared" si="62"/>
        <v/>
      </c>
      <c r="N277" s="1015" t="str">
        <f t="shared" si="62"/>
        <v/>
      </c>
      <c r="O277" s="1015" t="str">
        <f t="shared" si="62"/>
        <v/>
      </c>
      <c r="P277" s="1033"/>
      <c r="Q277" s="706"/>
    </row>
    <row r="278" spans="1:17" hidden="1" x14ac:dyDescent="0.25">
      <c r="A278" s="670"/>
      <c r="B278" s="1011" t="s">
        <v>204</v>
      </c>
      <c r="C278" s="1016"/>
      <c r="D278" s="1017" t="str">
        <f>IF(D222=0,"",D243/D222)</f>
        <v/>
      </c>
      <c r="E278" s="1017" t="str">
        <f t="shared" ref="E278:O278" si="63">IF(E222=0,"",E243/E222)</f>
        <v/>
      </c>
      <c r="F278" s="1017" t="str">
        <f t="shared" si="63"/>
        <v/>
      </c>
      <c r="G278" s="1017" t="str">
        <f t="shared" si="63"/>
        <v/>
      </c>
      <c r="H278" s="1017" t="str">
        <f t="shared" si="63"/>
        <v/>
      </c>
      <c r="I278" s="1017" t="str">
        <f t="shared" si="63"/>
        <v/>
      </c>
      <c r="J278" s="1017" t="str">
        <f t="shared" si="63"/>
        <v/>
      </c>
      <c r="K278" s="1017" t="str">
        <f t="shared" si="63"/>
        <v/>
      </c>
      <c r="L278" s="1017" t="str">
        <f t="shared" si="63"/>
        <v/>
      </c>
      <c r="M278" s="1017" t="str">
        <f t="shared" si="63"/>
        <v/>
      </c>
      <c r="N278" s="1017" t="str">
        <f t="shared" si="63"/>
        <v/>
      </c>
      <c r="O278" s="1017" t="str">
        <f t="shared" si="63"/>
        <v/>
      </c>
      <c r="P278" s="1033"/>
      <c r="Q278" s="706"/>
    </row>
    <row r="279" spans="1:17" ht="15.75" hidden="1" thickBot="1" x14ac:dyDescent="0.3">
      <c r="A279" s="670"/>
      <c r="B279" s="1011" t="s">
        <v>205</v>
      </c>
      <c r="C279" s="1016"/>
      <c r="D279" s="1017" t="str">
        <f>IF(SUM(D277:D278)=0,"",SUM(D277:D278))</f>
        <v/>
      </c>
      <c r="E279" s="1017" t="str">
        <f t="shared" ref="E279:O279" si="64">IF(SUM(E277:E278)=0,"",SUM(E277:E278))</f>
        <v/>
      </c>
      <c r="F279" s="1017" t="str">
        <f t="shared" si="64"/>
        <v/>
      </c>
      <c r="G279" s="1017" t="str">
        <f t="shared" si="64"/>
        <v/>
      </c>
      <c r="H279" s="1017" t="str">
        <f t="shared" si="64"/>
        <v/>
      </c>
      <c r="I279" s="1017" t="str">
        <f t="shared" si="64"/>
        <v/>
      </c>
      <c r="J279" s="1017" t="str">
        <f t="shared" si="64"/>
        <v/>
      </c>
      <c r="K279" s="1017" t="str">
        <f t="shared" si="64"/>
        <v/>
      </c>
      <c r="L279" s="1017" t="str">
        <f t="shared" si="64"/>
        <v/>
      </c>
      <c r="M279" s="1017" t="str">
        <f t="shared" si="64"/>
        <v/>
      </c>
      <c r="N279" s="1017" t="str">
        <f t="shared" si="64"/>
        <v/>
      </c>
      <c r="O279" s="1017" t="str">
        <f t="shared" si="64"/>
        <v/>
      </c>
      <c r="P279" s="1032"/>
      <c r="Q279" s="706"/>
    </row>
    <row r="280" spans="1:17" hidden="1" x14ac:dyDescent="0.25">
      <c r="A280" s="670"/>
      <c r="B280" s="711" t="s">
        <v>196</v>
      </c>
      <c r="C280" s="712"/>
      <c r="D280" s="713">
        <f>IF(OR(REBANHO!E102=0,REBANHO!E102=""),"",SUM(D231,D244)/REBANHO!E102)</f>
        <v>0</v>
      </c>
      <c r="E280" s="713">
        <f>IF(OR(REBANHO!F102=0,REBANHO!F102=""),"",SUM(E231,E244)/REBANHO!F102)</f>
        <v>0</v>
      </c>
      <c r="F280" s="713">
        <f>IF(OR(REBANHO!G102=0,REBANHO!G102=""),"",SUM(F231,F244)/REBANHO!G102)</f>
        <v>0</v>
      </c>
      <c r="G280" s="713">
        <f>IF(OR(REBANHO!H102=0,REBANHO!H102=""),"",SUM(G231,G244)/REBANHO!H102)</f>
        <v>1.3668424317617867</v>
      </c>
      <c r="H280" s="713">
        <f>IF(OR(REBANHO!I102=0,REBANHO!I102=""),"",SUM(H231,H244)/REBANHO!I102)</f>
        <v>0</v>
      </c>
      <c r="I280" s="713">
        <f>IF(OR(REBANHO!J102=0,REBANHO!J102=""),"",SUM(I231,I244)/REBANHO!J102)</f>
        <v>0</v>
      </c>
      <c r="J280" s="713">
        <f>IF(OR(REBANHO!K102=0,REBANHO!K102=""),"",SUM(J231,J244)/REBANHO!K102)</f>
        <v>0</v>
      </c>
      <c r="K280" s="713">
        <f>IF(OR(REBANHO!L102=0,REBANHO!L102=""),"",SUM(K231,K244)/REBANHO!L102)</f>
        <v>0</v>
      </c>
      <c r="L280" s="713" t="str">
        <f>IF(OR(REBANHO!M102=0,REBANHO!M102=""),"",SUM(L231,L244)/REBANHO!M102)</f>
        <v/>
      </c>
      <c r="M280" s="713" t="str">
        <f>IF(OR(REBANHO!N102=0,REBANHO!N102=""),"",SUM(M231,M244)/REBANHO!N102)</f>
        <v/>
      </c>
      <c r="N280" s="713" t="str">
        <f>IF(OR(REBANHO!O102=0,REBANHO!O102=""),"",SUM(N231,N244)/REBANHO!O102)</f>
        <v/>
      </c>
      <c r="O280" s="713" t="str">
        <f>IF(OR(REBANHO!P102=0,REBANHO!P102=""),"",SUM(O231,O244)/REBANHO!P102)</f>
        <v/>
      </c>
      <c r="P280" s="714"/>
      <c r="Q280" s="706"/>
    </row>
    <row r="281" spans="1:17" hidden="1" x14ac:dyDescent="0.25">
      <c r="A281" s="670"/>
      <c r="B281" s="1010" t="s">
        <v>198</v>
      </c>
      <c r="C281" s="1014"/>
      <c r="D281" s="1015" t="str">
        <f>IF(OR(D190="",D190=0),"",D231/D210)</f>
        <v/>
      </c>
      <c r="E281" s="1015" t="str">
        <f t="shared" ref="E281:O281" si="65">IF(OR(E190="",E190=0),"",E231/E210)</f>
        <v/>
      </c>
      <c r="F281" s="1015" t="str">
        <f t="shared" si="65"/>
        <v/>
      </c>
      <c r="G281" s="1015">
        <f t="shared" si="65"/>
        <v>96.216157205240179</v>
      </c>
      <c r="H281" s="1015" t="str">
        <f t="shared" si="65"/>
        <v/>
      </c>
      <c r="I281" s="1015" t="str">
        <f t="shared" si="65"/>
        <v/>
      </c>
      <c r="J281" s="1015" t="str">
        <f t="shared" si="65"/>
        <v/>
      </c>
      <c r="K281" s="1015" t="str">
        <f t="shared" si="65"/>
        <v/>
      </c>
      <c r="L281" s="1015" t="str">
        <f t="shared" si="65"/>
        <v/>
      </c>
      <c r="M281" s="1015" t="str">
        <f t="shared" si="65"/>
        <v/>
      </c>
      <c r="N281" s="1015" t="str">
        <f t="shared" si="65"/>
        <v/>
      </c>
      <c r="O281" s="1015" t="str">
        <f t="shared" si="65"/>
        <v/>
      </c>
      <c r="P281" s="1033"/>
      <c r="Q281" s="706"/>
    </row>
    <row r="282" spans="1:17" hidden="1" x14ac:dyDescent="0.25">
      <c r="A282" s="670"/>
      <c r="B282" s="1011" t="s">
        <v>208</v>
      </c>
      <c r="C282" s="1016"/>
      <c r="D282" s="1017" t="str">
        <f>IF(D223=0,"",D244/D223)</f>
        <v/>
      </c>
      <c r="E282" s="1017" t="str">
        <f t="shared" ref="E282:O282" si="66">IF(E223=0,"",E244/E223)</f>
        <v/>
      </c>
      <c r="F282" s="1017" t="str">
        <f t="shared" si="66"/>
        <v/>
      </c>
      <c r="G282" s="1017" t="str">
        <f t="shared" si="66"/>
        <v/>
      </c>
      <c r="H282" s="1017" t="str">
        <f t="shared" si="66"/>
        <v/>
      </c>
      <c r="I282" s="1017" t="str">
        <f t="shared" si="66"/>
        <v/>
      </c>
      <c r="J282" s="1017" t="str">
        <f t="shared" si="66"/>
        <v/>
      </c>
      <c r="K282" s="1017" t="str">
        <f t="shared" si="66"/>
        <v/>
      </c>
      <c r="L282" s="1017" t="str">
        <f t="shared" si="66"/>
        <v/>
      </c>
      <c r="M282" s="1017" t="str">
        <f t="shared" si="66"/>
        <v/>
      </c>
      <c r="N282" s="1017" t="str">
        <f t="shared" si="66"/>
        <v/>
      </c>
      <c r="O282" s="1017" t="str">
        <f t="shared" si="66"/>
        <v/>
      </c>
      <c r="P282" s="1033"/>
      <c r="Q282" s="706"/>
    </row>
    <row r="283" spans="1:17" ht="15.75" hidden="1" thickBot="1" x14ac:dyDescent="0.3">
      <c r="A283" s="670"/>
      <c r="B283" s="1011" t="s">
        <v>209</v>
      </c>
      <c r="C283" s="1016"/>
      <c r="D283" s="1017" t="str">
        <f>IF(SUM(D281:D282)=0,"",SUM(D281:D282))</f>
        <v/>
      </c>
      <c r="E283" s="1017" t="str">
        <f t="shared" ref="E283:O283" si="67">IF(SUM(E281:E282)=0,"",SUM(E281:E282))</f>
        <v/>
      </c>
      <c r="F283" s="1017" t="str">
        <f t="shared" si="67"/>
        <v/>
      </c>
      <c r="G283" s="1017">
        <f t="shared" si="67"/>
        <v>96.216157205240179</v>
      </c>
      <c r="H283" s="1017" t="str">
        <f t="shared" si="67"/>
        <v/>
      </c>
      <c r="I283" s="1017" t="str">
        <f t="shared" si="67"/>
        <v/>
      </c>
      <c r="J283" s="1017" t="str">
        <f t="shared" si="67"/>
        <v/>
      </c>
      <c r="K283" s="1017" t="str">
        <f t="shared" si="67"/>
        <v/>
      </c>
      <c r="L283" s="1017" t="str">
        <f t="shared" si="67"/>
        <v/>
      </c>
      <c r="M283" s="1017" t="str">
        <f t="shared" si="67"/>
        <v/>
      </c>
      <c r="N283" s="1017" t="str">
        <f t="shared" si="67"/>
        <v/>
      </c>
      <c r="O283" s="1017" t="str">
        <f t="shared" si="67"/>
        <v/>
      </c>
      <c r="P283" s="1033"/>
      <c r="Q283" s="706"/>
    </row>
    <row r="284" spans="1:17" hidden="1" x14ac:dyDescent="0.25">
      <c r="A284" s="670"/>
      <c r="B284" s="711" t="s">
        <v>197</v>
      </c>
      <c r="C284" s="712"/>
      <c r="D284" s="713" t="str">
        <f>IF(OR(REBANHO!E103=0,REBANHO!E103=""),"",SUM(D232,D238,D245)/REBANHO!E103)</f>
        <v/>
      </c>
      <c r="E284" s="713" t="str">
        <f>IF(OR(REBANHO!F103=0,REBANHO!F103=""),"",SUM(E232,E238,E245)/REBANHO!F103)</f>
        <v/>
      </c>
      <c r="F284" s="713" t="str">
        <f>IF(OR(REBANHO!G103=0,REBANHO!G103=""),"",SUM(F232,F238,F245)/REBANHO!G103)</f>
        <v/>
      </c>
      <c r="G284" s="713">
        <f>IF(OR(REBANHO!H103=0,REBANHO!H103=""),"",SUM(G232,G238,G245)/REBANHO!H103)</f>
        <v>0</v>
      </c>
      <c r="H284" s="713">
        <f>IF(OR(REBANHO!I103=0,REBANHO!I103=""),"",SUM(H232,H238,H245)/REBANHO!I103)</f>
        <v>0</v>
      </c>
      <c r="I284" s="713">
        <f>IF(OR(REBANHO!J103=0,REBANHO!J103=""),"",SUM(I232,I238,I245)/REBANHO!J103)</f>
        <v>0</v>
      </c>
      <c r="J284" s="713">
        <f>IF(OR(REBANHO!K103=0,REBANHO!K103=""),"",SUM(J232,J238,J245)/REBANHO!K103)</f>
        <v>509.40766617179219</v>
      </c>
      <c r="K284" s="713">
        <f>IF(OR(REBANHO!L103=0,REBANHO!L103=""),"",SUM(K232,K238,K245)/REBANHO!L103)</f>
        <v>0</v>
      </c>
      <c r="L284" s="713" t="str">
        <f>IF(OR(REBANHO!M103=0,REBANHO!M103=""),"",SUM(L232,L238,L245)/REBANHO!M103)</f>
        <v/>
      </c>
      <c r="M284" s="713" t="str">
        <f>IF(OR(REBANHO!N103=0,REBANHO!N103=""),"",SUM(M232,M238,M245)/REBANHO!N103)</f>
        <v/>
      </c>
      <c r="N284" s="713" t="str">
        <f>IF(OR(REBANHO!O103=0,REBANHO!O103=""),"",SUM(N232,N238,N245)/REBANHO!O103)</f>
        <v/>
      </c>
      <c r="O284" s="713" t="str">
        <f>IF(OR(REBANHO!P103=0,REBANHO!P103=""),"",SUM(O232,O238,O245)/REBANHO!P103)</f>
        <v/>
      </c>
      <c r="P284" s="714"/>
      <c r="Q284" s="706"/>
    </row>
    <row r="285" spans="1:17" hidden="1" x14ac:dyDescent="0.25">
      <c r="A285" s="670"/>
      <c r="B285" s="1010" t="s">
        <v>199</v>
      </c>
      <c r="C285" s="1014"/>
      <c r="D285" s="1015" t="str">
        <f>IF(OR(D191="",D191=0),"",D232/D211)</f>
        <v/>
      </c>
      <c r="E285" s="1015" t="str">
        <f t="shared" ref="E285:O285" si="68">IF(OR(E191="",E191=0),"",E232/E211)</f>
        <v/>
      </c>
      <c r="F285" s="1015" t="str">
        <f t="shared" si="68"/>
        <v/>
      </c>
      <c r="G285" s="1015" t="str">
        <f t="shared" si="68"/>
        <v/>
      </c>
      <c r="H285" s="1015" t="str">
        <f t="shared" si="68"/>
        <v/>
      </c>
      <c r="I285" s="1015" t="str">
        <f t="shared" si="68"/>
        <v/>
      </c>
      <c r="J285" s="1015" t="str">
        <f t="shared" si="68"/>
        <v/>
      </c>
      <c r="K285" s="1015" t="str">
        <f t="shared" si="68"/>
        <v/>
      </c>
      <c r="L285" s="1015" t="str">
        <f t="shared" si="68"/>
        <v/>
      </c>
      <c r="M285" s="1015" t="str">
        <f t="shared" si="68"/>
        <v/>
      </c>
      <c r="N285" s="1015" t="str">
        <f t="shared" si="68"/>
        <v/>
      </c>
      <c r="O285" s="1015" t="str">
        <f t="shared" si="68"/>
        <v/>
      </c>
      <c r="P285" s="1032"/>
      <c r="Q285" s="706"/>
    </row>
    <row r="286" spans="1:17" hidden="1" x14ac:dyDescent="0.25">
      <c r="A286" s="670"/>
      <c r="B286" s="1011" t="s">
        <v>211</v>
      </c>
      <c r="C286" s="1016"/>
      <c r="D286" s="1017" t="str">
        <f>IF(D197=0,"",D238/D217)</f>
        <v/>
      </c>
      <c r="E286" s="1017" t="str">
        <f t="shared" ref="E286:O286" si="69">IF(E197=0,"",E238/E217)</f>
        <v/>
      </c>
      <c r="F286" s="1017" t="str">
        <f t="shared" si="69"/>
        <v/>
      </c>
      <c r="G286" s="1017" t="str">
        <f t="shared" si="69"/>
        <v/>
      </c>
      <c r="H286" s="1017" t="str">
        <f t="shared" si="69"/>
        <v/>
      </c>
      <c r="I286" s="1017" t="str">
        <f t="shared" si="69"/>
        <v/>
      </c>
      <c r="J286" s="1017">
        <f t="shared" si="69"/>
        <v>81.097744236229403</v>
      </c>
      <c r="K286" s="1017" t="str">
        <f t="shared" si="69"/>
        <v/>
      </c>
      <c r="L286" s="1017" t="str">
        <f t="shared" si="69"/>
        <v/>
      </c>
      <c r="M286" s="1017" t="str">
        <f t="shared" si="69"/>
        <v/>
      </c>
      <c r="N286" s="1017" t="str">
        <f t="shared" si="69"/>
        <v/>
      </c>
      <c r="O286" s="1017" t="str">
        <f t="shared" si="69"/>
        <v/>
      </c>
      <c r="P286" s="1032"/>
      <c r="Q286" s="706"/>
    </row>
    <row r="287" spans="1:17" hidden="1" x14ac:dyDescent="0.25">
      <c r="A287" s="670"/>
      <c r="B287" s="1011" t="s">
        <v>212</v>
      </c>
      <c r="C287" s="1016"/>
      <c r="D287" s="1017" t="str">
        <f>IF(D224=0,"",(D245)/(D224))</f>
        <v/>
      </c>
      <c r="E287" s="1017" t="str">
        <f t="shared" ref="E287:O287" si="70">IF(E224=0,"",(E245)/(E224))</f>
        <v/>
      </c>
      <c r="F287" s="1017" t="str">
        <f t="shared" si="70"/>
        <v/>
      </c>
      <c r="G287" s="1017" t="str">
        <f t="shared" si="70"/>
        <v/>
      </c>
      <c r="H287" s="1017" t="str">
        <f t="shared" si="70"/>
        <v/>
      </c>
      <c r="I287" s="1017" t="str">
        <f t="shared" si="70"/>
        <v/>
      </c>
      <c r="J287" s="1017" t="str">
        <f t="shared" si="70"/>
        <v/>
      </c>
      <c r="K287" s="1017" t="str">
        <f t="shared" si="70"/>
        <v/>
      </c>
      <c r="L287" s="1017" t="str">
        <f t="shared" si="70"/>
        <v/>
      </c>
      <c r="M287" s="1017" t="str">
        <f t="shared" si="70"/>
        <v/>
      </c>
      <c r="N287" s="1017" t="str">
        <f t="shared" si="70"/>
        <v/>
      </c>
      <c r="O287" s="1017" t="str">
        <f t="shared" si="70"/>
        <v/>
      </c>
      <c r="P287" s="1032"/>
      <c r="Q287" s="706"/>
    </row>
    <row r="288" spans="1:17" ht="15.75" hidden="1" thickBot="1" x14ac:dyDescent="0.3">
      <c r="A288" s="670"/>
      <c r="B288" s="1011" t="s">
        <v>213</v>
      </c>
      <c r="C288" s="1016"/>
      <c r="D288" s="1017" t="str">
        <f>IF(SUM(D285:D287)=0,"",SUM(D285:D287))</f>
        <v/>
      </c>
      <c r="E288" s="1017" t="str">
        <f t="shared" ref="E288:O288" si="71">IF(SUM(E285:E287)=0,"",SUM(E285:E287))</f>
        <v/>
      </c>
      <c r="F288" s="1017" t="str">
        <f t="shared" si="71"/>
        <v/>
      </c>
      <c r="G288" s="1017" t="str">
        <f t="shared" si="71"/>
        <v/>
      </c>
      <c r="H288" s="1017" t="str">
        <f t="shared" si="71"/>
        <v/>
      </c>
      <c r="I288" s="1017" t="str">
        <f t="shared" si="71"/>
        <v/>
      </c>
      <c r="J288" s="1017">
        <f t="shared" si="71"/>
        <v>81.097744236229403</v>
      </c>
      <c r="K288" s="1017" t="str">
        <f t="shared" si="71"/>
        <v/>
      </c>
      <c r="L288" s="1017" t="str">
        <f t="shared" si="71"/>
        <v/>
      </c>
      <c r="M288" s="1017" t="str">
        <f t="shared" si="71"/>
        <v/>
      </c>
      <c r="N288" s="1017" t="str">
        <f t="shared" si="71"/>
        <v/>
      </c>
      <c r="O288" s="1017" t="str">
        <f t="shared" si="71"/>
        <v/>
      </c>
      <c r="P288" s="1032"/>
      <c r="Q288" s="706"/>
    </row>
    <row r="289" spans="1:17" hidden="1" x14ac:dyDescent="0.25">
      <c r="A289" s="670"/>
      <c r="B289" s="711" t="s">
        <v>210</v>
      </c>
      <c r="C289" s="712"/>
      <c r="D289" s="713">
        <f>IF(OR(REBANHO!E104=0,REBANHO!E104=""),"",SUM(D233,D234,D239,D240,D246)/REBANHO!E104)</f>
        <v>0</v>
      </c>
      <c r="E289" s="713">
        <f>IF(OR(REBANHO!F104=0,REBANHO!F104=""),"",SUM(E233,E234,E239,E240,E246)/REBANHO!F104)</f>
        <v>0</v>
      </c>
      <c r="F289" s="713">
        <f>IF(OR(REBANHO!G104=0,REBANHO!G104=""),"",SUM(F233,F234,F239,F240,F246)/REBANHO!G104)</f>
        <v>0</v>
      </c>
      <c r="G289" s="713">
        <f>IF(OR(REBANHO!H104=0,REBANHO!H104=""),"",SUM(G233,G234,G239,G240,G246)/REBANHO!H104)</f>
        <v>0</v>
      </c>
      <c r="H289" s="713">
        <f>IF(OR(REBANHO!I104=0,REBANHO!I104=""),"",SUM(H233,H234,H239,H240,H246)/REBANHO!I104)</f>
        <v>0</v>
      </c>
      <c r="I289" s="713">
        <f>IF(OR(REBANHO!J104=0,REBANHO!J104=""),"",SUM(I233,I234,I239,I240,I246)/REBANHO!J104)</f>
        <v>0</v>
      </c>
      <c r="J289" s="713">
        <f>IF(OR(REBANHO!K104=0,REBANHO!K104=""),"",SUM(J233,J234,J239,J240,J246)/REBANHO!K104)</f>
        <v>0</v>
      </c>
      <c r="K289" s="713">
        <f>IF(OR(REBANHO!L104=0,REBANHO!L104=""),"",SUM(K233,K234,K239,K240,K246)/REBANHO!L104)</f>
        <v>0</v>
      </c>
      <c r="L289" s="713" t="str">
        <f>IF(OR(REBANHO!M104=0,REBANHO!M104=""),"",SUM(L233,L234,L239,L240,L246)/REBANHO!M104)</f>
        <v/>
      </c>
      <c r="M289" s="713" t="str">
        <f>IF(OR(REBANHO!N104=0,REBANHO!N104=""),"",SUM(M233,M234,M239,M240,M246)/REBANHO!N104)</f>
        <v/>
      </c>
      <c r="N289" s="713" t="str">
        <f>IF(OR(REBANHO!O104=0,REBANHO!O104=""),"",SUM(N233,N234,N239,N240,N246)/REBANHO!O104)</f>
        <v/>
      </c>
      <c r="O289" s="713" t="str">
        <f>IF(OR(REBANHO!P104=0,REBANHO!P104=""),"",SUM(O233,O234,O239,O240,O246)/REBANHO!P104)</f>
        <v/>
      </c>
      <c r="P289" s="714"/>
      <c r="Q289" s="706"/>
    </row>
    <row r="290" spans="1:17" hidden="1" x14ac:dyDescent="0.25">
      <c r="A290" s="670"/>
      <c r="B290" s="1010" t="s">
        <v>214</v>
      </c>
      <c r="C290" s="1014"/>
      <c r="D290" s="1015" t="str">
        <f>IF(D192+D193=0,"",(D233+D234)/(D212+D213))</f>
        <v/>
      </c>
      <c r="E290" s="1015" t="str">
        <f t="shared" ref="E290:O290" si="72">IF(E192+E193=0,"",(E233+E234)/(E212+E213))</f>
        <v/>
      </c>
      <c r="F290" s="1015" t="str">
        <f t="shared" si="72"/>
        <v/>
      </c>
      <c r="G290" s="1015" t="str">
        <f t="shared" si="72"/>
        <v/>
      </c>
      <c r="H290" s="1015" t="str">
        <f t="shared" si="72"/>
        <v/>
      </c>
      <c r="I290" s="1015" t="str">
        <f t="shared" si="72"/>
        <v/>
      </c>
      <c r="J290" s="1015" t="str">
        <f t="shared" si="72"/>
        <v/>
      </c>
      <c r="K290" s="1015" t="str">
        <f t="shared" si="72"/>
        <v/>
      </c>
      <c r="L290" s="1015" t="str">
        <f t="shared" si="72"/>
        <v/>
      </c>
      <c r="M290" s="1015" t="str">
        <f t="shared" si="72"/>
        <v/>
      </c>
      <c r="N290" s="1015" t="str">
        <f t="shared" si="72"/>
        <v/>
      </c>
      <c r="O290" s="1015" t="str">
        <f t="shared" si="72"/>
        <v/>
      </c>
      <c r="P290" s="1033"/>
      <c r="Q290" s="706"/>
    </row>
    <row r="291" spans="1:17" hidden="1" x14ac:dyDescent="0.25">
      <c r="A291" s="670"/>
      <c r="B291" s="1011" t="s">
        <v>215</v>
      </c>
      <c r="C291" s="1016"/>
      <c r="D291" s="1017" t="str">
        <f>IF(D198+D199=0,"",(D239+D240)/(D218+D219))</f>
        <v/>
      </c>
      <c r="E291" s="1017" t="str">
        <f t="shared" ref="E291:O291" si="73">IF(E198+E199=0,"",(E239+E240)/(E218+E219))</f>
        <v/>
      </c>
      <c r="F291" s="1017" t="str">
        <f t="shared" si="73"/>
        <v/>
      </c>
      <c r="G291" s="1017" t="str">
        <f t="shared" si="73"/>
        <v/>
      </c>
      <c r="H291" s="1017" t="str">
        <f t="shared" si="73"/>
        <v/>
      </c>
      <c r="I291" s="1017" t="str">
        <f t="shared" si="73"/>
        <v/>
      </c>
      <c r="J291" s="1017" t="str">
        <f t="shared" si="73"/>
        <v/>
      </c>
      <c r="K291" s="1017" t="str">
        <f t="shared" si="73"/>
        <v/>
      </c>
      <c r="L291" s="1017" t="str">
        <f t="shared" si="73"/>
        <v/>
      </c>
      <c r="M291" s="1017" t="str">
        <f t="shared" si="73"/>
        <v/>
      </c>
      <c r="N291" s="1017" t="str">
        <f t="shared" si="73"/>
        <v/>
      </c>
      <c r="O291" s="1017" t="str">
        <f t="shared" si="73"/>
        <v/>
      </c>
      <c r="P291" s="1032"/>
      <c r="Q291" s="706"/>
    </row>
    <row r="292" spans="1:17" hidden="1" x14ac:dyDescent="0.25">
      <c r="A292" s="670"/>
      <c r="B292" s="1011" t="s">
        <v>216</v>
      </c>
      <c r="C292" s="1016"/>
      <c r="D292" s="1017" t="str">
        <f>IF(D225=0,"",(D246)/(D225))</f>
        <v/>
      </c>
      <c r="E292" s="1017" t="str">
        <f t="shared" ref="E292:O292" si="74">IF(E225=0,"",(E246)/(E225))</f>
        <v/>
      </c>
      <c r="F292" s="1017" t="str">
        <f t="shared" si="74"/>
        <v/>
      </c>
      <c r="G292" s="1017" t="str">
        <f t="shared" si="74"/>
        <v/>
      </c>
      <c r="H292" s="1017" t="str">
        <f t="shared" si="74"/>
        <v/>
      </c>
      <c r="I292" s="1017" t="str">
        <f t="shared" si="74"/>
        <v/>
      </c>
      <c r="J292" s="1017" t="str">
        <f t="shared" si="74"/>
        <v/>
      </c>
      <c r="K292" s="1017" t="str">
        <f t="shared" si="74"/>
        <v/>
      </c>
      <c r="L292" s="1017" t="str">
        <f t="shared" si="74"/>
        <v/>
      </c>
      <c r="M292" s="1017" t="str">
        <f t="shared" si="74"/>
        <v/>
      </c>
      <c r="N292" s="1017" t="str">
        <f t="shared" si="74"/>
        <v/>
      </c>
      <c r="O292" s="1017" t="str">
        <f t="shared" si="74"/>
        <v/>
      </c>
      <c r="P292" s="1032"/>
      <c r="Q292" s="706"/>
    </row>
    <row r="293" spans="1:17" ht="15.75" hidden="1" thickBot="1" x14ac:dyDescent="0.3">
      <c r="A293" s="670"/>
      <c r="B293" s="1011" t="s">
        <v>217</v>
      </c>
      <c r="C293" s="1016"/>
      <c r="D293" s="1017" t="str">
        <f>IF(SUM(D290:D292)=0,"",SUM(D290:D292))</f>
        <v/>
      </c>
      <c r="E293" s="1017" t="str">
        <f t="shared" ref="E293:O293" si="75">IF(SUM(E290:E292)=0,"",SUM(E290:E292))</f>
        <v/>
      </c>
      <c r="F293" s="1017" t="str">
        <f t="shared" si="75"/>
        <v/>
      </c>
      <c r="G293" s="1017" t="str">
        <f t="shared" si="75"/>
        <v/>
      </c>
      <c r="H293" s="1017" t="str">
        <f t="shared" si="75"/>
        <v/>
      </c>
      <c r="I293" s="1017" t="str">
        <f t="shared" si="75"/>
        <v/>
      </c>
      <c r="J293" s="1017" t="str">
        <f t="shared" si="75"/>
        <v/>
      </c>
      <c r="K293" s="1017" t="str">
        <f t="shared" si="75"/>
        <v/>
      </c>
      <c r="L293" s="1017" t="str">
        <f t="shared" si="75"/>
        <v/>
      </c>
      <c r="M293" s="1017" t="str">
        <f t="shared" si="75"/>
        <v/>
      </c>
      <c r="N293" s="1017" t="str">
        <f t="shared" si="75"/>
        <v/>
      </c>
      <c r="O293" s="1017" t="str">
        <f t="shared" si="75"/>
        <v/>
      </c>
      <c r="P293" s="1032"/>
      <c r="Q293" s="706"/>
    </row>
    <row r="294" spans="1:17" hidden="1" x14ac:dyDescent="0.25">
      <c r="A294" s="670"/>
      <c r="B294" s="711" t="s">
        <v>439</v>
      </c>
      <c r="C294" s="712"/>
      <c r="D294" s="713">
        <f>IF(OR(REBANHO!E58=0,REBANHO!E58=""),"",SUM(D230:D246)/REBANHO!E105)</f>
        <v>0</v>
      </c>
      <c r="E294" s="713">
        <f>IF(OR(REBANHO!F58=0,REBANHO!F58=""),"",SUM(E230:E246)/REBANHO!F105)</f>
        <v>0</v>
      </c>
      <c r="F294" s="713">
        <f>IF(OR(REBANHO!G58=0,REBANHO!G58=""),"",SUM(F230:F246)/REBANHO!G105)</f>
        <v>0</v>
      </c>
      <c r="G294" s="713">
        <f>IF(OR(REBANHO!H58=0,REBANHO!H58=""),"",SUM(G230:G246)/REBANHO!H105)</f>
        <v>0.53156174231915176</v>
      </c>
      <c r="H294" s="713">
        <f>IF(OR(REBANHO!I58=0,REBANHO!I58=""),"",SUM(H230:H246)/REBANHO!I105)</f>
        <v>0</v>
      </c>
      <c r="I294" s="713">
        <f>IF(OR(REBANHO!J58=0,REBANHO!J58=""),"",SUM(I230:I246)/REBANHO!J105)</f>
        <v>0</v>
      </c>
      <c r="J294" s="713">
        <f>IF(OR(REBANHO!K58=0,REBANHO!K58=""),"",SUM(J230:J246)/REBANHO!K105)</f>
        <v>96.377436686304193</v>
      </c>
      <c r="K294" s="713">
        <f>IF(OR(REBANHO!L58=0,REBANHO!L58=""),"",SUM(K230:K246)/REBANHO!L105)</f>
        <v>0</v>
      </c>
      <c r="L294" s="713" t="str">
        <f>IF(OR(REBANHO!M58=0,REBANHO!M58=""),"",SUM(L230:L246)/REBANHO!M105)</f>
        <v/>
      </c>
      <c r="M294" s="713" t="str">
        <f>IF(OR(REBANHO!N58=0,REBANHO!N58=""),"",SUM(M230:M246)/REBANHO!N105)</f>
        <v/>
      </c>
      <c r="N294" s="713" t="str">
        <f>IF(OR(REBANHO!O58=0,REBANHO!O58=""),"",SUM(N230:N246)/REBANHO!O105)</f>
        <v/>
      </c>
      <c r="O294" s="713" t="str">
        <f>IF(OR(REBANHO!P58=0,REBANHO!P58=""),"",SUM(O230:O246)/REBANHO!P105)</f>
        <v/>
      </c>
      <c r="P294" s="714"/>
      <c r="Q294" s="706"/>
    </row>
    <row r="295" spans="1:17" hidden="1" x14ac:dyDescent="0.25">
      <c r="A295" s="670"/>
      <c r="B295" s="1010" t="s">
        <v>440</v>
      </c>
      <c r="C295" s="1014"/>
      <c r="D295" s="1015" t="str">
        <f>IF(SUM(D277,D281,D285,D290)=0,"",SUM(D277,D281,D285,D290))</f>
        <v/>
      </c>
      <c r="E295" s="1015" t="str">
        <f t="shared" ref="E295:O295" si="76">IF(SUM(E277,E281,E285,E290)=0,"",SUM(E277,E281,E285,E290))</f>
        <v/>
      </c>
      <c r="F295" s="1015" t="str">
        <f t="shared" si="76"/>
        <v/>
      </c>
      <c r="G295" s="1015">
        <f t="shared" si="76"/>
        <v>96.216157205240179</v>
      </c>
      <c r="H295" s="1015" t="str">
        <f t="shared" si="76"/>
        <v/>
      </c>
      <c r="I295" s="1015" t="str">
        <f t="shared" si="76"/>
        <v/>
      </c>
      <c r="J295" s="1015" t="str">
        <f t="shared" si="76"/>
        <v/>
      </c>
      <c r="K295" s="1015" t="str">
        <f t="shared" si="76"/>
        <v/>
      </c>
      <c r="L295" s="1015" t="str">
        <f t="shared" si="76"/>
        <v/>
      </c>
      <c r="M295" s="1015" t="str">
        <f t="shared" si="76"/>
        <v/>
      </c>
      <c r="N295" s="1015" t="str">
        <f t="shared" si="76"/>
        <v/>
      </c>
      <c r="O295" s="1015" t="str">
        <f t="shared" si="76"/>
        <v/>
      </c>
      <c r="P295" s="1034"/>
      <c r="Q295" s="706"/>
    </row>
    <row r="296" spans="1:17" hidden="1" x14ac:dyDescent="0.25">
      <c r="A296" s="670"/>
      <c r="B296" s="1011" t="s">
        <v>441</v>
      </c>
      <c r="C296" s="1016"/>
      <c r="D296" s="1015" t="str">
        <f>IF(SUM(D286,D291)=0,"",SUM(D286,D291))</f>
        <v/>
      </c>
      <c r="E296" s="1015" t="str">
        <f t="shared" ref="E296:O296" si="77">IF(SUM(E286,E291)=0,"",SUM(E286,E291))</f>
        <v/>
      </c>
      <c r="F296" s="1015" t="str">
        <f t="shared" si="77"/>
        <v/>
      </c>
      <c r="G296" s="1015" t="str">
        <f t="shared" si="77"/>
        <v/>
      </c>
      <c r="H296" s="1015" t="str">
        <f t="shared" si="77"/>
        <v/>
      </c>
      <c r="I296" s="1015" t="str">
        <f t="shared" si="77"/>
        <v/>
      </c>
      <c r="J296" s="1015">
        <f t="shared" si="77"/>
        <v>81.097744236229403</v>
      </c>
      <c r="K296" s="1015" t="str">
        <f t="shared" si="77"/>
        <v/>
      </c>
      <c r="L296" s="1015" t="str">
        <f t="shared" si="77"/>
        <v/>
      </c>
      <c r="M296" s="1015" t="str">
        <f t="shared" si="77"/>
        <v/>
      </c>
      <c r="N296" s="1015" t="str">
        <f t="shared" si="77"/>
        <v/>
      </c>
      <c r="O296" s="1015" t="str">
        <f t="shared" si="77"/>
        <v/>
      </c>
      <c r="P296" s="1034"/>
      <c r="Q296" s="706"/>
    </row>
    <row r="297" spans="1:17" hidden="1" x14ac:dyDescent="0.25">
      <c r="A297" s="670"/>
      <c r="B297" s="1011" t="s">
        <v>442</v>
      </c>
      <c r="C297" s="1016"/>
      <c r="D297" s="1015" t="str">
        <f>IF(SUM(D278,D282,D287,D292)=0,"",SUM(D278,D282,D287,D292))</f>
        <v/>
      </c>
      <c r="E297" s="1015" t="str">
        <f t="shared" ref="E297:O297" si="78">IF(SUM(E278,E282,E287,E292)=0,"",SUM(E278,E282,E287,E292))</f>
        <v/>
      </c>
      <c r="F297" s="1015" t="str">
        <f t="shared" si="78"/>
        <v/>
      </c>
      <c r="G297" s="1015" t="str">
        <f t="shared" si="78"/>
        <v/>
      </c>
      <c r="H297" s="1015" t="str">
        <f t="shared" si="78"/>
        <v/>
      </c>
      <c r="I297" s="1015" t="str">
        <f t="shared" si="78"/>
        <v/>
      </c>
      <c r="J297" s="1015" t="str">
        <f t="shared" si="78"/>
        <v/>
      </c>
      <c r="K297" s="1015" t="str">
        <f t="shared" si="78"/>
        <v/>
      </c>
      <c r="L297" s="1015" t="str">
        <f t="shared" si="78"/>
        <v/>
      </c>
      <c r="M297" s="1015" t="str">
        <f t="shared" si="78"/>
        <v/>
      </c>
      <c r="N297" s="1015" t="str">
        <f t="shared" si="78"/>
        <v/>
      </c>
      <c r="O297" s="1015" t="str">
        <f t="shared" si="78"/>
        <v/>
      </c>
      <c r="P297" s="1063"/>
      <c r="Q297" s="706"/>
    </row>
    <row r="298" spans="1:17" ht="15.75" hidden="1" thickBot="1" x14ac:dyDescent="0.3">
      <c r="A298" s="670"/>
      <c r="B298" s="1021" t="s">
        <v>443</v>
      </c>
      <c r="C298" s="1022"/>
      <c r="D298" s="1023" t="str">
        <f>IF(SUM(D295:D297)=0,"",SUM(D295:D297))</f>
        <v/>
      </c>
      <c r="E298" s="1023" t="str">
        <f t="shared" ref="E298:O298" si="79">IF(SUM(E295:E297)=0,"",SUM(E295:E297))</f>
        <v/>
      </c>
      <c r="F298" s="1023" t="str">
        <f t="shared" si="79"/>
        <v/>
      </c>
      <c r="G298" s="1023">
        <f t="shared" si="79"/>
        <v>96.216157205240179</v>
      </c>
      <c r="H298" s="1023" t="str">
        <f t="shared" si="79"/>
        <v/>
      </c>
      <c r="I298" s="1023" t="str">
        <f t="shared" si="79"/>
        <v/>
      </c>
      <c r="J298" s="1023">
        <f t="shared" si="79"/>
        <v>81.097744236229403</v>
      </c>
      <c r="K298" s="1023" t="str">
        <f t="shared" si="79"/>
        <v/>
      </c>
      <c r="L298" s="1023" t="str">
        <f t="shared" si="79"/>
        <v/>
      </c>
      <c r="M298" s="1023" t="str">
        <f t="shared" si="79"/>
        <v/>
      </c>
      <c r="N298" s="1023" t="str">
        <f t="shared" si="79"/>
        <v/>
      </c>
      <c r="O298" s="1023" t="str">
        <f t="shared" si="79"/>
        <v/>
      </c>
      <c r="P298" s="1035"/>
      <c r="Q298" s="706"/>
    </row>
    <row r="299" spans="1:17" hidden="1" x14ac:dyDescent="0.25">
      <c r="A299" s="670"/>
      <c r="B299" s="724"/>
      <c r="C299" s="300"/>
      <c r="D299" s="1008"/>
      <c r="E299" s="1008"/>
      <c r="F299" s="1008"/>
      <c r="G299" s="1008"/>
      <c r="H299" s="1008"/>
      <c r="I299" s="1008"/>
      <c r="J299" s="1008"/>
      <c r="K299" s="1008"/>
      <c r="L299" s="1008"/>
      <c r="M299" s="1008"/>
      <c r="N299" s="1008"/>
      <c r="O299" s="1008"/>
      <c r="P299" s="1009"/>
      <c r="Q299" s="706"/>
    </row>
    <row r="300" spans="1:17" ht="15.75" hidden="1" thickBot="1" x14ac:dyDescent="0.3">
      <c r="A300" s="701"/>
      <c r="B300" s="702"/>
      <c r="C300" s="702"/>
      <c r="D300" s="702"/>
      <c r="E300" s="702"/>
      <c r="F300" s="702"/>
      <c r="G300" s="702"/>
      <c r="H300" s="702"/>
      <c r="I300" s="702"/>
      <c r="J300" s="702"/>
      <c r="K300" s="702"/>
      <c r="L300" s="702"/>
      <c r="M300" s="702"/>
      <c r="N300" s="702"/>
      <c r="O300" s="702"/>
      <c r="P300" s="702"/>
      <c r="Q300" s="723"/>
    </row>
    <row r="301" spans="1:17" ht="15.75" hidden="1" thickTop="1" x14ac:dyDescent="0.25"/>
    <row r="302" spans="1:17" ht="15.75" hidden="1" thickBot="1" x14ac:dyDescent="0.3"/>
    <row r="303" spans="1:17" ht="15.75" hidden="1" thickTop="1" x14ac:dyDescent="0.25">
      <c r="A303" s="665"/>
      <c r="B303" s="666"/>
      <c r="C303" s="666"/>
      <c r="D303" s="666"/>
      <c r="E303" s="666"/>
      <c r="F303" s="666"/>
      <c r="G303" s="666"/>
      <c r="H303" s="666"/>
      <c r="I303" s="666"/>
      <c r="J303" s="666"/>
      <c r="K303" s="666"/>
      <c r="L303" s="666"/>
      <c r="M303" s="666"/>
      <c r="N303" s="666"/>
      <c r="O303" s="666"/>
      <c r="P303" s="666"/>
      <c r="Q303" s="705"/>
    </row>
    <row r="304" spans="1:17" ht="15.75" hidden="1" thickBot="1" x14ac:dyDescent="0.3">
      <c r="A304" s="670"/>
      <c r="B304" s="224"/>
      <c r="C304" s="224"/>
      <c r="D304" s="224"/>
      <c r="E304" s="224"/>
      <c r="F304" s="224"/>
      <c r="G304" s="224"/>
      <c r="H304" s="224"/>
      <c r="I304" s="224"/>
      <c r="J304" s="224"/>
      <c r="K304" s="224"/>
      <c r="L304" s="224"/>
      <c r="M304" s="224"/>
      <c r="N304" s="224"/>
      <c r="O304" s="224"/>
      <c r="P304" s="224"/>
      <c r="Q304" s="706"/>
    </row>
    <row r="305" spans="1:29" ht="15.75" hidden="1" thickBot="1" x14ac:dyDescent="0.3">
      <c r="A305" s="670"/>
      <c r="B305" s="708" t="s">
        <v>177</v>
      </c>
      <c r="C305" s="709"/>
      <c r="D305" s="709"/>
      <c r="E305" s="709"/>
      <c r="F305" s="709"/>
      <c r="G305" s="709"/>
      <c r="H305" s="709"/>
      <c r="I305" s="709"/>
      <c r="J305" s="709"/>
      <c r="K305" s="709"/>
      <c r="L305" s="709"/>
      <c r="M305" s="709"/>
      <c r="N305" s="709"/>
      <c r="O305" s="709"/>
      <c r="P305" s="710"/>
      <c r="Q305" s="672"/>
      <c r="R305" s="783" t="s">
        <v>250</v>
      </c>
      <c r="S305" s="783" t="s">
        <v>251</v>
      </c>
      <c r="T305" s="783" t="s">
        <v>252</v>
      </c>
      <c r="U305" s="783"/>
      <c r="V305" s="783"/>
      <c r="W305" s="783"/>
      <c r="X305" s="783"/>
      <c r="Y305" s="783"/>
    </row>
    <row r="306" spans="1:29" hidden="1" x14ac:dyDescent="0.25">
      <c r="A306" s="670"/>
      <c r="B306" s="711" t="s">
        <v>12</v>
      </c>
      <c r="C306" s="712"/>
      <c r="D306" s="712">
        <f t="shared" ref="D306:O306" si="80">D478</f>
        <v>0</v>
      </c>
      <c r="E306" s="712">
        <f t="shared" si="80"/>
        <v>0</v>
      </c>
      <c r="F306" s="712">
        <f t="shared" si="80"/>
        <v>0</v>
      </c>
      <c r="G306" s="712">
        <f t="shared" si="80"/>
        <v>0</v>
      </c>
      <c r="H306" s="712">
        <f t="shared" si="80"/>
        <v>0</v>
      </c>
      <c r="I306" s="712">
        <f t="shared" si="80"/>
        <v>0</v>
      </c>
      <c r="J306" s="712">
        <f t="shared" si="80"/>
        <v>0</v>
      </c>
      <c r="K306" s="712">
        <f t="shared" si="80"/>
        <v>0</v>
      </c>
      <c r="L306" s="712">
        <f t="shared" si="80"/>
        <v>0</v>
      </c>
      <c r="M306" s="712">
        <f t="shared" si="80"/>
        <v>0</v>
      </c>
      <c r="N306" s="712">
        <f t="shared" si="80"/>
        <v>0</v>
      </c>
      <c r="O306" s="712">
        <f t="shared" si="80"/>
        <v>0</v>
      </c>
      <c r="P306" s="725" t="s">
        <v>206</v>
      </c>
      <c r="Q306" s="672" t="s">
        <v>222</v>
      </c>
      <c r="R306" s="79"/>
    </row>
    <row r="307" spans="1:29" hidden="1" x14ac:dyDescent="0.25">
      <c r="A307" s="670"/>
      <c r="B307" s="715" t="s">
        <v>12</v>
      </c>
      <c r="C307" s="716" t="s">
        <v>219</v>
      </c>
      <c r="D307" s="716" t="str">
        <f t="shared" ref="D307:O307" si="81">IF(D156="","",D474/D156)</f>
        <v/>
      </c>
      <c r="E307" s="716" t="str">
        <f t="shared" si="81"/>
        <v/>
      </c>
      <c r="F307" s="716" t="str">
        <f t="shared" si="81"/>
        <v/>
      </c>
      <c r="G307" s="716" t="str">
        <f t="shared" si="81"/>
        <v/>
      </c>
      <c r="H307" s="716" t="str">
        <f t="shared" si="81"/>
        <v/>
      </c>
      <c r="I307" s="716" t="str">
        <f t="shared" si="81"/>
        <v/>
      </c>
      <c r="J307" s="716" t="str">
        <f t="shared" si="81"/>
        <v/>
      </c>
      <c r="K307" s="716" t="str">
        <f t="shared" si="81"/>
        <v/>
      </c>
      <c r="L307" s="716" t="str">
        <f t="shared" si="81"/>
        <v/>
      </c>
      <c r="M307" s="716" t="str">
        <f t="shared" si="81"/>
        <v/>
      </c>
      <c r="N307" s="716" t="str">
        <f t="shared" si="81"/>
        <v/>
      </c>
      <c r="O307" s="716" t="str">
        <f t="shared" si="81"/>
        <v/>
      </c>
      <c r="P307" s="726">
        <f t="shared" ref="P307:P313" si="82">SUM(D307:O307)</f>
        <v>0</v>
      </c>
      <c r="Q307" s="727">
        <f>(P307/12)</f>
        <v>0</v>
      </c>
      <c r="R307" s="787">
        <f>SUM(D$474:O$474)</f>
        <v>0</v>
      </c>
      <c r="S307" s="787">
        <f>R307/12</f>
        <v>0</v>
      </c>
      <c r="T307" s="787" t="e">
        <f>S307/Q307</f>
        <v>#DIV/0!</v>
      </c>
      <c r="X307" s="787"/>
      <c r="Y307" s="787"/>
      <c r="Z307" s="787"/>
      <c r="AA307" s="787"/>
      <c r="AB307" s="787"/>
      <c r="AC307" s="787"/>
    </row>
    <row r="308" spans="1:29" hidden="1" x14ac:dyDescent="0.25">
      <c r="A308" s="670"/>
      <c r="B308" s="733" t="s">
        <v>188</v>
      </c>
      <c r="C308" s="728" t="s">
        <v>220</v>
      </c>
      <c r="D308" s="728" t="str">
        <f t="shared" ref="D308:O308" si="83">IF(D156="","",D482/D156)</f>
        <v/>
      </c>
      <c r="E308" s="728" t="str">
        <f t="shared" si="83"/>
        <v/>
      </c>
      <c r="F308" s="728" t="str">
        <f t="shared" si="83"/>
        <v/>
      </c>
      <c r="G308" s="728" t="str">
        <f t="shared" si="83"/>
        <v/>
      </c>
      <c r="H308" s="728" t="str">
        <f t="shared" si="83"/>
        <v/>
      </c>
      <c r="I308" s="728" t="str">
        <f t="shared" si="83"/>
        <v/>
      </c>
      <c r="J308" s="728" t="str">
        <f t="shared" si="83"/>
        <v/>
      </c>
      <c r="K308" s="728" t="str">
        <f t="shared" si="83"/>
        <v/>
      </c>
      <c r="L308" s="728" t="str">
        <f t="shared" si="83"/>
        <v/>
      </c>
      <c r="M308" s="728" t="str">
        <f t="shared" si="83"/>
        <v/>
      </c>
      <c r="N308" s="728" t="str">
        <f t="shared" si="83"/>
        <v/>
      </c>
      <c r="O308" s="728" t="str">
        <f t="shared" si="83"/>
        <v/>
      </c>
      <c r="P308" s="729">
        <f t="shared" si="82"/>
        <v>0</v>
      </c>
      <c r="Q308" s="727">
        <f>(P308/12)</f>
        <v>0</v>
      </c>
      <c r="R308" s="787">
        <f>SUM(D$474:O$474)</f>
        <v>0</v>
      </c>
      <c r="S308" s="787">
        <f>R308/12</f>
        <v>0</v>
      </c>
      <c r="T308" s="787">
        <f>IF(Q308=0,0,ROUNDUP(S308/Q308,0))</f>
        <v>0</v>
      </c>
      <c r="X308" s="787"/>
      <c r="Y308" s="787"/>
      <c r="Z308" s="787"/>
      <c r="AA308" s="787"/>
      <c r="AB308" s="787"/>
      <c r="AC308" s="787"/>
    </row>
    <row r="309" spans="1:29" ht="15.75" hidden="1" thickBot="1" x14ac:dyDescent="0.3">
      <c r="A309" s="670"/>
      <c r="B309" s="730" t="s">
        <v>192</v>
      </c>
      <c r="C309" s="731" t="s">
        <v>218</v>
      </c>
      <c r="D309" s="731" t="e">
        <f>D474/$P$156</f>
        <v>#DIV/0!</v>
      </c>
      <c r="E309" s="731" t="e">
        <f t="shared" ref="E309:O309" si="84">E474/$P$156</f>
        <v>#DIV/0!</v>
      </c>
      <c r="F309" s="731" t="e">
        <f t="shared" si="84"/>
        <v>#DIV/0!</v>
      </c>
      <c r="G309" s="731" t="e">
        <f t="shared" si="84"/>
        <v>#DIV/0!</v>
      </c>
      <c r="H309" s="731" t="e">
        <f t="shared" si="84"/>
        <v>#DIV/0!</v>
      </c>
      <c r="I309" s="731" t="e">
        <f t="shared" si="84"/>
        <v>#DIV/0!</v>
      </c>
      <c r="J309" s="731" t="e">
        <f t="shared" si="84"/>
        <v>#DIV/0!</v>
      </c>
      <c r="K309" s="731" t="e">
        <f t="shared" si="84"/>
        <v>#DIV/0!</v>
      </c>
      <c r="L309" s="731" t="e">
        <f t="shared" si="84"/>
        <v>#DIV/0!</v>
      </c>
      <c r="M309" s="731" t="e">
        <f t="shared" si="84"/>
        <v>#DIV/0!</v>
      </c>
      <c r="N309" s="731" t="e">
        <f t="shared" si="84"/>
        <v>#DIV/0!</v>
      </c>
      <c r="O309" s="731" t="e">
        <f t="shared" si="84"/>
        <v>#DIV/0!</v>
      </c>
      <c r="P309" s="732" t="e">
        <f t="shared" si="82"/>
        <v>#DIV/0!</v>
      </c>
      <c r="Q309" s="727" t="e">
        <f>(P309/12)</f>
        <v>#DIV/0!</v>
      </c>
      <c r="R309" s="787">
        <f>SUM(D$474:O$474)</f>
        <v>0</v>
      </c>
      <c r="S309" s="787">
        <f>R309/12</f>
        <v>0</v>
      </c>
      <c r="T309" s="787" t="e">
        <f>S309/Q309</f>
        <v>#DIV/0!</v>
      </c>
      <c r="X309" s="787"/>
      <c r="Y309" s="787"/>
      <c r="Z309" s="787"/>
      <c r="AA309" s="787"/>
      <c r="AB309" s="787"/>
      <c r="AC309" s="787"/>
    </row>
    <row r="310" spans="1:29" hidden="1" x14ac:dyDescent="0.25">
      <c r="A310" s="670"/>
      <c r="B310" s="1001" t="s">
        <v>233</v>
      </c>
      <c r="C310" s="688"/>
      <c r="D310" s="688">
        <f t="shared" ref="D310:O310" si="85">IF(D$308="",0,D156*D$308)</f>
        <v>0</v>
      </c>
      <c r="E310" s="688">
        <f t="shared" si="85"/>
        <v>0</v>
      </c>
      <c r="F310" s="688">
        <f t="shared" si="85"/>
        <v>0</v>
      </c>
      <c r="G310" s="688">
        <f t="shared" si="85"/>
        <v>0</v>
      </c>
      <c r="H310" s="688">
        <f t="shared" si="85"/>
        <v>0</v>
      </c>
      <c r="I310" s="688">
        <f t="shared" si="85"/>
        <v>0</v>
      </c>
      <c r="J310" s="688">
        <f t="shared" si="85"/>
        <v>0</v>
      </c>
      <c r="K310" s="688">
        <f t="shared" si="85"/>
        <v>0</v>
      </c>
      <c r="L310" s="688">
        <f t="shared" si="85"/>
        <v>0</v>
      </c>
      <c r="M310" s="688">
        <f t="shared" si="85"/>
        <v>0</v>
      </c>
      <c r="N310" s="688">
        <f t="shared" si="85"/>
        <v>0</v>
      </c>
      <c r="O310" s="688">
        <f t="shared" si="85"/>
        <v>0</v>
      </c>
      <c r="P310" s="1002">
        <f t="shared" si="82"/>
        <v>0</v>
      </c>
      <c r="Q310" s="727"/>
      <c r="R310" s="787"/>
      <c r="S310" s="787"/>
      <c r="T310" s="787"/>
      <c r="X310" s="787"/>
      <c r="Y310" s="787"/>
      <c r="Z310" s="787"/>
      <c r="AA310" s="787"/>
      <c r="AB310" s="787"/>
      <c r="AC310" s="787"/>
    </row>
    <row r="311" spans="1:29" hidden="1" x14ac:dyDescent="0.25">
      <c r="A311" s="670"/>
      <c r="B311" s="1001" t="s">
        <v>230</v>
      </c>
      <c r="C311" s="688"/>
      <c r="D311" s="688">
        <f t="shared" ref="D311:O311" si="86">IF(D$308="",0,D189*D$308)</f>
        <v>0</v>
      </c>
      <c r="E311" s="688">
        <f t="shared" si="86"/>
        <v>0</v>
      </c>
      <c r="F311" s="688">
        <f t="shared" si="86"/>
        <v>0</v>
      </c>
      <c r="G311" s="688">
        <f t="shared" si="86"/>
        <v>0</v>
      </c>
      <c r="H311" s="688">
        <f t="shared" si="86"/>
        <v>0</v>
      </c>
      <c r="I311" s="688">
        <f t="shared" si="86"/>
        <v>0</v>
      </c>
      <c r="J311" s="688">
        <f t="shared" si="86"/>
        <v>0</v>
      </c>
      <c r="K311" s="688">
        <f t="shared" si="86"/>
        <v>0</v>
      </c>
      <c r="L311" s="688">
        <f t="shared" si="86"/>
        <v>0</v>
      </c>
      <c r="M311" s="688">
        <f t="shared" si="86"/>
        <v>0</v>
      </c>
      <c r="N311" s="688">
        <f t="shared" si="86"/>
        <v>0</v>
      </c>
      <c r="O311" s="688">
        <f t="shared" si="86"/>
        <v>0</v>
      </c>
      <c r="P311" s="1002">
        <f t="shared" si="82"/>
        <v>0</v>
      </c>
      <c r="Q311" s="727"/>
      <c r="R311" s="787"/>
      <c r="S311" s="787"/>
      <c r="T311" s="787"/>
      <c r="X311" s="787"/>
      <c r="Y311" s="787"/>
      <c r="Z311" s="787"/>
      <c r="AA311" s="787"/>
      <c r="AB311" s="787"/>
      <c r="AC311" s="787"/>
    </row>
    <row r="312" spans="1:29" hidden="1" x14ac:dyDescent="0.25">
      <c r="A312" s="670"/>
      <c r="B312" s="1001" t="s">
        <v>231</v>
      </c>
      <c r="C312" s="688"/>
      <c r="D312" s="688">
        <f t="shared" ref="D312:O312" si="87">IF(D$308="",0,D202*D$308)</f>
        <v>0</v>
      </c>
      <c r="E312" s="688">
        <f t="shared" si="87"/>
        <v>0</v>
      </c>
      <c r="F312" s="688">
        <f t="shared" si="87"/>
        <v>0</v>
      </c>
      <c r="G312" s="688">
        <f t="shared" si="87"/>
        <v>0</v>
      </c>
      <c r="H312" s="688">
        <f t="shared" si="87"/>
        <v>0</v>
      </c>
      <c r="I312" s="688">
        <f t="shared" si="87"/>
        <v>0</v>
      </c>
      <c r="J312" s="688">
        <f t="shared" si="87"/>
        <v>0</v>
      </c>
      <c r="K312" s="688">
        <f t="shared" si="87"/>
        <v>0</v>
      </c>
      <c r="L312" s="688">
        <f t="shared" si="87"/>
        <v>0</v>
      </c>
      <c r="M312" s="688">
        <f t="shared" si="87"/>
        <v>0</v>
      </c>
      <c r="N312" s="688">
        <f t="shared" si="87"/>
        <v>0</v>
      </c>
      <c r="O312" s="688">
        <f t="shared" si="87"/>
        <v>0</v>
      </c>
      <c r="P312" s="1002">
        <f t="shared" si="82"/>
        <v>0</v>
      </c>
      <c r="Q312" s="727"/>
      <c r="R312" s="787"/>
      <c r="S312" s="787"/>
      <c r="T312" s="787"/>
      <c r="X312" s="787"/>
      <c r="Y312" s="787"/>
      <c r="Z312" s="787"/>
      <c r="AA312" s="787"/>
      <c r="AB312" s="787"/>
      <c r="AC312" s="787"/>
    </row>
    <row r="313" spans="1:29" ht="15.75" hidden="1" thickBot="1" x14ac:dyDescent="0.3">
      <c r="A313" s="670"/>
      <c r="B313" s="1001" t="s">
        <v>232</v>
      </c>
      <c r="C313" s="688"/>
      <c r="D313" s="688">
        <f>SUM(D311:D312)</f>
        <v>0</v>
      </c>
      <c r="E313" s="688">
        <f t="shared" ref="E313:O313" si="88">SUM(E311:E312)</f>
        <v>0</v>
      </c>
      <c r="F313" s="688">
        <f t="shared" si="88"/>
        <v>0</v>
      </c>
      <c r="G313" s="688">
        <f t="shared" si="88"/>
        <v>0</v>
      </c>
      <c r="H313" s="688">
        <f t="shared" si="88"/>
        <v>0</v>
      </c>
      <c r="I313" s="688">
        <f t="shared" si="88"/>
        <v>0</v>
      </c>
      <c r="J313" s="688">
        <f t="shared" si="88"/>
        <v>0</v>
      </c>
      <c r="K313" s="688">
        <f t="shared" si="88"/>
        <v>0</v>
      </c>
      <c r="L313" s="688">
        <f t="shared" si="88"/>
        <v>0</v>
      </c>
      <c r="M313" s="688">
        <f t="shared" si="88"/>
        <v>0</v>
      </c>
      <c r="N313" s="688">
        <f t="shared" si="88"/>
        <v>0</v>
      </c>
      <c r="O313" s="688">
        <f t="shared" si="88"/>
        <v>0</v>
      </c>
      <c r="P313" s="1002">
        <f t="shared" si="82"/>
        <v>0</v>
      </c>
      <c r="Q313" s="727"/>
      <c r="R313" s="787"/>
      <c r="S313" s="787"/>
      <c r="T313" s="787"/>
      <c r="X313" s="787"/>
      <c r="Y313" s="787"/>
      <c r="Z313" s="787"/>
      <c r="AA313" s="787"/>
      <c r="AB313" s="787"/>
      <c r="AC313" s="787"/>
    </row>
    <row r="314" spans="1:29" hidden="1" x14ac:dyDescent="0.25">
      <c r="A314" s="670"/>
      <c r="B314" s="711" t="s">
        <v>13</v>
      </c>
      <c r="C314" s="712"/>
      <c r="D314" s="712">
        <f t="shared" ref="D314:O314" si="89">D553</f>
        <v>1</v>
      </c>
      <c r="E314" s="712">
        <f t="shared" si="89"/>
        <v>2</v>
      </c>
      <c r="F314" s="712">
        <f t="shared" si="89"/>
        <v>3</v>
      </c>
      <c r="G314" s="712">
        <f t="shared" si="89"/>
        <v>4</v>
      </c>
      <c r="H314" s="712">
        <f t="shared" si="89"/>
        <v>5</v>
      </c>
      <c r="I314" s="712">
        <f t="shared" si="89"/>
        <v>6</v>
      </c>
      <c r="J314" s="712">
        <f t="shared" si="89"/>
        <v>7</v>
      </c>
      <c r="K314" s="712">
        <f t="shared" si="89"/>
        <v>8</v>
      </c>
      <c r="L314" s="712">
        <f t="shared" si="89"/>
        <v>0</v>
      </c>
      <c r="M314" s="712">
        <f t="shared" si="89"/>
        <v>0</v>
      </c>
      <c r="N314" s="712">
        <f t="shared" si="89"/>
        <v>0</v>
      </c>
      <c r="O314" s="712">
        <f t="shared" si="89"/>
        <v>0</v>
      </c>
      <c r="P314" s="725" t="s">
        <v>206</v>
      </c>
      <c r="Q314" s="672"/>
      <c r="R314" s="783"/>
      <c r="S314" s="783"/>
      <c r="T314" s="783"/>
      <c r="X314" s="783"/>
      <c r="Y314" s="783"/>
    </row>
    <row r="315" spans="1:29" hidden="1" x14ac:dyDescent="0.25">
      <c r="A315" s="670"/>
      <c r="B315" s="715" t="s">
        <v>13</v>
      </c>
      <c r="C315" s="716"/>
      <c r="D315" s="716">
        <f t="shared" ref="D315:O315" si="90">IF(D159="","",D549/D159)</f>
        <v>0</v>
      </c>
      <c r="E315" s="716">
        <f t="shared" si="90"/>
        <v>0</v>
      </c>
      <c r="F315" s="716">
        <f t="shared" si="90"/>
        <v>762.71186440677968</v>
      </c>
      <c r="G315" s="716">
        <f t="shared" si="90"/>
        <v>0</v>
      </c>
      <c r="H315" s="716">
        <f t="shared" si="90"/>
        <v>0</v>
      </c>
      <c r="I315" s="716">
        <f t="shared" si="90"/>
        <v>0</v>
      </c>
      <c r="J315" s="716">
        <f t="shared" si="90"/>
        <v>648.18965517241384</v>
      </c>
      <c r="K315" s="716">
        <f t="shared" si="90"/>
        <v>204.14634146341464</v>
      </c>
      <c r="L315" s="716" t="str">
        <f t="shared" si="90"/>
        <v/>
      </c>
      <c r="M315" s="716" t="str">
        <f t="shared" si="90"/>
        <v/>
      </c>
      <c r="N315" s="716" t="str">
        <f t="shared" si="90"/>
        <v/>
      </c>
      <c r="O315" s="716" t="str">
        <f t="shared" si="90"/>
        <v/>
      </c>
      <c r="P315" s="726">
        <f t="shared" ref="P315:P321" si="91">SUM(D315:O315)</f>
        <v>1615.0478610426082</v>
      </c>
      <c r="Q315" s="672"/>
      <c r="R315" s="783"/>
      <c r="S315" s="783"/>
      <c r="T315" s="783"/>
      <c r="X315" s="783"/>
      <c r="Y315" s="783"/>
    </row>
    <row r="316" spans="1:29" hidden="1" x14ac:dyDescent="0.25">
      <c r="A316" s="670"/>
      <c r="B316" s="733" t="s">
        <v>188</v>
      </c>
      <c r="C316" s="728"/>
      <c r="D316" s="728">
        <f t="shared" ref="D316:O316" si="92">IF(D159="","",D557/D159)</f>
        <v>0</v>
      </c>
      <c r="E316" s="728">
        <f t="shared" si="92"/>
        <v>0</v>
      </c>
      <c r="F316" s="728">
        <f t="shared" si="92"/>
        <v>762.71186440677968</v>
      </c>
      <c r="G316" s="728">
        <f t="shared" si="92"/>
        <v>0</v>
      </c>
      <c r="H316" s="728">
        <f t="shared" si="92"/>
        <v>0</v>
      </c>
      <c r="I316" s="728">
        <f t="shared" si="92"/>
        <v>0</v>
      </c>
      <c r="J316" s="728">
        <f t="shared" si="92"/>
        <v>648.18965517241384</v>
      </c>
      <c r="K316" s="728">
        <f t="shared" si="92"/>
        <v>204.14634146341464</v>
      </c>
      <c r="L316" s="728" t="str">
        <f t="shared" si="92"/>
        <v/>
      </c>
      <c r="M316" s="728" t="str">
        <f t="shared" si="92"/>
        <v/>
      </c>
      <c r="N316" s="728" t="str">
        <f t="shared" si="92"/>
        <v/>
      </c>
      <c r="O316" s="728" t="str">
        <f t="shared" si="92"/>
        <v/>
      </c>
      <c r="P316" s="729">
        <f t="shared" si="91"/>
        <v>1615.0478610426082</v>
      </c>
      <c r="Q316" s="727">
        <f>(P316/12)</f>
        <v>134.5873217535507</v>
      </c>
      <c r="R316" s="787">
        <f>SUM(D$549:O$549)</f>
        <v>334635</v>
      </c>
      <c r="S316" s="787">
        <f>R316/12</f>
        <v>27886.25</v>
      </c>
      <c r="T316" s="787">
        <f>IF(Q316=0,0,ROUNDUP(S316/Q316,0))</f>
        <v>208</v>
      </c>
      <c r="X316" s="783"/>
      <c r="Y316" s="783"/>
    </row>
    <row r="317" spans="1:29" ht="15.75" hidden="1" thickBot="1" x14ac:dyDescent="0.3">
      <c r="A317" s="670"/>
      <c r="B317" s="730" t="s">
        <v>192</v>
      </c>
      <c r="C317" s="731"/>
      <c r="D317" s="731">
        <f t="shared" ref="D317:O317" si="93">D549/$P$159</f>
        <v>0</v>
      </c>
      <c r="E317" s="731">
        <f t="shared" si="93"/>
        <v>0</v>
      </c>
      <c r="F317" s="731">
        <f t="shared" si="93"/>
        <v>1185.1851851851852</v>
      </c>
      <c r="G317" s="731">
        <f t="shared" si="93"/>
        <v>0</v>
      </c>
      <c r="H317" s="731">
        <f t="shared" si="93"/>
        <v>0</v>
      </c>
      <c r="I317" s="731">
        <f t="shared" si="93"/>
        <v>0</v>
      </c>
      <c r="J317" s="731">
        <f t="shared" si="93"/>
        <v>742.61728395061732</v>
      </c>
      <c r="K317" s="731">
        <f t="shared" si="93"/>
        <v>275.55555555555554</v>
      </c>
      <c r="L317" s="731">
        <f t="shared" si="93"/>
        <v>0</v>
      </c>
      <c r="M317" s="731">
        <f t="shared" si="93"/>
        <v>0</v>
      </c>
      <c r="N317" s="731">
        <f t="shared" si="93"/>
        <v>0</v>
      </c>
      <c r="O317" s="731">
        <f t="shared" si="93"/>
        <v>0</v>
      </c>
      <c r="P317" s="732">
        <f t="shared" si="91"/>
        <v>2203.358024691358</v>
      </c>
      <c r="Q317" s="672"/>
      <c r="R317" s="787"/>
      <c r="S317" s="787"/>
      <c r="T317" s="787"/>
      <c r="X317" s="787"/>
      <c r="Y317" s="787"/>
      <c r="Z317" s="787"/>
      <c r="AA317" s="787"/>
      <c r="AB317" s="787"/>
      <c r="AC317" s="787"/>
    </row>
    <row r="318" spans="1:29" hidden="1" x14ac:dyDescent="0.25">
      <c r="A318" s="670"/>
      <c r="B318" s="1001" t="s">
        <v>233</v>
      </c>
      <c r="C318" s="688"/>
      <c r="D318" s="688">
        <f t="shared" ref="D318:O318" si="94">IF(D$316="",0,D159*D$316)</f>
        <v>0</v>
      </c>
      <c r="E318" s="688">
        <f t="shared" si="94"/>
        <v>0</v>
      </c>
      <c r="F318" s="688">
        <f t="shared" si="94"/>
        <v>180000</v>
      </c>
      <c r="G318" s="688">
        <f t="shared" si="94"/>
        <v>0</v>
      </c>
      <c r="H318" s="688">
        <f t="shared" si="94"/>
        <v>0</v>
      </c>
      <c r="I318" s="688">
        <f t="shared" si="94"/>
        <v>0</v>
      </c>
      <c r="J318" s="688">
        <f t="shared" si="94"/>
        <v>112785.00000000001</v>
      </c>
      <c r="K318" s="688">
        <f t="shared" si="94"/>
        <v>41850</v>
      </c>
      <c r="L318" s="688">
        <f t="shared" si="94"/>
        <v>0</v>
      </c>
      <c r="M318" s="688">
        <f t="shared" si="94"/>
        <v>0</v>
      </c>
      <c r="N318" s="688">
        <f t="shared" si="94"/>
        <v>0</v>
      </c>
      <c r="O318" s="688">
        <f t="shared" si="94"/>
        <v>0</v>
      </c>
      <c r="P318" s="1002">
        <f t="shared" si="91"/>
        <v>334635</v>
      </c>
      <c r="Q318" s="727"/>
      <c r="R318" s="787"/>
      <c r="S318" s="787"/>
      <c r="T318" s="787"/>
      <c r="X318" s="787"/>
      <c r="Y318" s="787"/>
      <c r="Z318" s="787"/>
      <c r="AA318" s="787"/>
      <c r="AB318" s="787"/>
      <c r="AC318" s="787"/>
    </row>
    <row r="319" spans="1:29" hidden="1" x14ac:dyDescent="0.25">
      <c r="A319" s="670"/>
      <c r="B319" s="1001" t="s">
        <v>230</v>
      </c>
      <c r="C319" s="688"/>
      <c r="D319" s="688">
        <f t="shared" ref="D319:O319" si="95">IF(D$316="",0,D190*D$316)</f>
        <v>0</v>
      </c>
      <c r="E319" s="688">
        <f t="shared" si="95"/>
        <v>0</v>
      </c>
      <c r="F319" s="688">
        <f t="shared" si="95"/>
        <v>0</v>
      </c>
      <c r="G319" s="688">
        <f t="shared" si="95"/>
        <v>0</v>
      </c>
      <c r="H319" s="688">
        <f t="shared" si="95"/>
        <v>0</v>
      </c>
      <c r="I319" s="688">
        <f t="shared" si="95"/>
        <v>0</v>
      </c>
      <c r="J319" s="688">
        <f t="shared" si="95"/>
        <v>0</v>
      </c>
      <c r="K319" s="688">
        <f t="shared" si="95"/>
        <v>0</v>
      </c>
      <c r="L319" s="688">
        <f t="shared" si="95"/>
        <v>0</v>
      </c>
      <c r="M319" s="688">
        <f t="shared" si="95"/>
        <v>0</v>
      </c>
      <c r="N319" s="688">
        <f t="shared" si="95"/>
        <v>0</v>
      </c>
      <c r="O319" s="688">
        <f t="shared" si="95"/>
        <v>0</v>
      </c>
      <c r="P319" s="1002">
        <f t="shared" si="91"/>
        <v>0</v>
      </c>
      <c r="Q319" s="727"/>
      <c r="R319" s="787"/>
      <c r="S319" s="787"/>
      <c r="T319" s="787"/>
      <c r="X319" s="787"/>
      <c r="Y319" s="787"/>
      <c r="Z319" s="787"/>
      <c r="AA319" s="787"/>
      <c r="AB319" s="787"/>
      <c r="AC319" s="787"/>
    </row>
    <row r="320" spans="1:29" hidden="1" x14ac:dyDescent="0.25">
      <c r="A320" s="670"/>
      <c r="B320" s="1001" t="s">
        <v>231</v>
      </c>
      <c r="C320" s="688"/>
      <c r="D320" s="688">
        <f t="shared" ref="D320:O320" si="96">IF(D$316="",0,D203*D$316)</f>
        <v>0</v>
      </c>
      <c r="E320" s="688">
        <f t="shared" si="96"/>
        <v>0</v>
      </c>
      <c r="F320" s="688">
        <f t="shared" si="96"/>
        <v>0</v>
      </c>
      <c r="G320" s="688">
        <f t="shared" si="96"/>
        <v>0</v>
      </c>
      <c r="H320" s="688">
        <f t="shared" si="96"/>
        <v>0</v>
      </c>
      <c r="I320" s="688">
        <f t="shared" si="96"/>
        <v>0</v>
      </c>
      <c r="J320" s="688">
        <f t="shared" si="96"/>
        <v>0</v>
      </c>
      <c r="K320" s="688">
        <f t="shared" si="96"/>
        <v>0</v>
      </c>
      <c r="L320" s="688">
        <f t="shared" si="96"/>
        <v>0</v>
      </c>
      <c r="M320" s="688">
        <f t="shared" si="96"/>
        <v>0</v>
      </c>
      <c r="N320" s="688">
        <f t="shared" si="96"/>
        <v>0</v>
      </c>
      <c r="O320" s="688">
        <f t="shared" si="96"/>
        <v>0</v>
      </c>
      <c r="P320" s="1002">
        <f t="shared" si="91"/>
        <v>0</v>
      </c>
      <c r="Q320" s="727"/>
      <c r="R320" s="787"/>
      <c r="S320" s="787"/>
      <c r="T320" s="787"/>
      <c r="X320" s="787"/>
      <c r="Y320" s="787"/>
      <c r="Z320" s="787"/>
      <c r="AA320" s="787"/>
      <c r="AB320" s="787"/>
      <c r="AC320" s="787"/>
    </row>
    <row r="321" spans="1:29" ht="15.75" hidden="1" thickBot="1" x14ac:dyDescent="0.3">
      <c r="A321" s="670"/>
      <c r="B321" s="1001" t="s">
        <v>232</v>
      </c>
      <c r="C321" s="688"/>
      <c r="D321" s="688">
        <f>SUM(D319:D320)</f>
        <v>0</v>
      </c>
      <c r="E321" s="688">
        <f t="shared" ref="E321:O321" si="97">SUM(E319:E320)</f>
        <v>0</v>
      </c>
      <c r="F321" s="688">
        <f t="shared" si="97"/>
        <v>0</v>
      </c>
      <c r="G321" s="688">
        <f t="shared" si="97"/>
        <v>0</v>
      </c>
      <c r="H321" s="688">
        <f t="shared" si="97"/>
        <v>0</v>
      </c>
      <c r="I321" s="688">
        <f t="shared" si="97"/>
        <v>0</v>
      </c>
      <c r="J321" s="688">
        <f t="shared" si="97"/>
        <v>0</v>
      </c>
      <c r="K321" s="688">
        <f t="shared" si="97"/>
        <v>0</v>
      </c>
      <c r="L321" s="688">
        <f t="shared" si="97"/>
        <v>0</v>
      </c>
      <c r="M321" s="688">
        <f t="shared" si="97"/>
        <v>0</v>
      </c>
      <c r="N321" s="688">
        <f t="shared" si="97"/>
        <v>0</v>
      </c>
      <c r="O321" s="688">
        <f t="shared" si="97"/>
        <v>0</v>
      </c>
      <c r="P321" s="1002">
        <f t="shared" si="91"/>
        <v>0</v>
      </c>
      <c r="Q321" s="727"/>
      <c r="R321" s="787"/>
      <c r="S321" s="787"/>
      <c r="T321" s="787"/>
      <c r="X321" s="787"/>
      <c r="Y321" s="787"/>
      <c r="Z321" s="787"/>
      <c r="AA321" s="787"/>
      <c r="AB321" s="787"/>
      <c r="AC321" s="787"/>
    </row>
    <row r="322" spans="1:29" hidden="1" x14ac:dyDescent="0.25">
      <c r="A322" s="670"/>
      <c r="B322" s="711" t="s">
        <v>14</v>
      </c>
      <c r="C322" s="712"/>
      <c r="D322" s="712">
        <f>D628</f>
        <v>0</v>
      </c>
      <c r="E322" s="712">
        <f t="shared" ref="E322:O322" si="98">E628</f>
        <v>0</v>
      </c>
      <c r="F322" s="712">
        <f t="shared" si="98"/>
        <v>0</v>
      </c>
      <c r="G322" s="712">
        <f t="shared" si="98"/>
        <v>4</v>
      </c>
      <c r="H322" s="712">
        <f t="shared" si="98"/>
        <v>5</v>
      </c>
      <c r="I322" s="712">
        <f t="shared" si="98"/>
        <v>6</v>
      </c>
      <c r="J322" s="712">
        <f t="shared" si="98"/>
        <v>7</v>
      </c>
      <c r="K322" s="712">
        <f t="shared" si="98"/>
        <v>8</v>
      </c>
      <c r="L322" s="712">
        <f t="shared" si="98"/>
        <v>0</v>
      </c>
      <c r="M322" s="712">
        <f t="shared" si="98"/>
        <v>0</v>
      </c>
      <c r="N322" s="712">
        <f t="shared" si="98"/>
        <v>0</v>
      </c>
      <c r="O322" s="712">
        <f t="shared" si="98"/>
        <v>0</v>
      </c>
      <c r="P322" s="725" t="s">
        <v>206</v>
      </c>
      <c r="Q322" s="672"/>
      <c r="R322" s="783"/>
      <c r="S322" s="783"/>
      <c r="T322" s="783"/>
      <c r="X322" s="783"/>
      <c r="Y322" s="783"/>
    </row>
    <row r="323" spans="1:29" hidden="1" x14ac:dyDescent="0.25">
      <c r="A323" s="670"/>
      <c r="B323" s="715" t="s">
        <v>14</v>
      </c>
      <c r="C323" s="716"/>
      <c r="D323" s="716" t="str">
        <f t="shared" ref="D323:O323" si="99">IF(D162="","",D624/D162)</f>
        <v/>
      </c>
      <c r="E323" s="716" t="str">
        <f>IF(E162="","",E624/E162)</f>
        <v/>
      </c>
      <c r="F323" s="716" t="str">
        <f t="shared" si="99"/>
        <v/>
      </c>
      <c r="G323" s="716">
        <f t="shared" si="99"/>
        <v>0</v>
      </c>
      <c r="H323" s="716">
        <f t="shared" si="99"/>
        <v>0</v>
      </c>
      <c r="I323" s="716">
        <f t="shared" si="99"/>
        <v>0</v>
      </c>
      <c r="J323" s="716">
        <f t="shared" si="99"/>
        <v>0</v>
      </c>
      <c r="K323" s="716">
        <f t="shared" si="99"/>
        <v>0</v>
      </c>
      <c r="L323" s="716" t="str">
        <f t="shared" si="99"/>
        <v/>
      </c>
      <c r="M323" s="716" t="str">
        <f t="shared" si="99"/>
        <v/>
      </c>
      <c r="N323" s="716" t="str">
        <f t="shared" si="99"/>
        <v/>
      </c>
      <c r="O323" s="716" t="str">
        <f t="shared" si="99"/>
        <v/>
      </c>
      <c r="P323" s="726">
        <f t="shared" ref="P323:P330" si="100">SUM(D323:O323)</f>
        <v>0</v>
      </c>
      <c r="Q323" s="672"/>
      <c r="R323" s="783"/>
      <c r="S323" s="783"/>
      <c r="T323" s="783"/>
      <c r="X323" s="783"/>
      <c r="Y323" s="783"/>
    </row>
    <row r="324" spans="1:29" hidden="1" x14ac:dyDescent="0.25">
      <c r="A324" s="670"/>
      <c r="B324" s="733" t="s">
        <v>188</v>
      </c>
      <c r="C324" s="728"/>
      <c r="D324" s="728" t="str">
        <f t="shared" ref="D324:O324" si="101">IF(D162="","",D632/D162)</f>
        <v/>
      </c>
      <c r="E324" s="728" t="str">
        <f t="shared" si="101"/>
        <v/>
      </c>
      <c r="F324" s="728" t="str">
        <f t="shared" si="101"/>
        <v/>
      </c>
      <c r="G324" s="728">
        <f t="shared" si="101"/>
        <v>0</v>
      </c>
      <c r="H324" s="728">
        <f t="shared" si="101"/>
        <v>0</v>
      </c>
      <c r="I324" s="728">
        <f t="shared" si="101"/>
        <v>0</v>
      </c>
      <c r="J324" s="728">
        <f t="shared" si="101"/>
        <v>0</v>
      </c>
      <c r="K324" s="728">
        <f t="shared" si="101"/>
        <v>0</v>
      </c>
      <c r="L324" s="728" t="str">
        <f t="shared" si="101"/>
        <v/>
      </c>
      <c r="M324" s="728" t="str">
        <f t="shared" si="101"/>
        <v/>
      </c>
      <c r="N324" s="728" t="str">
        <f t="shared" si="101"/>
        <v/>
      </c>
      <c r="O324" s="728" t="str">
        <f t="shared" si="101"/>
        <v/>
      </c>
      <c r="P324" s="729">
        <f t="shared" si="100"/>
        <v>0</v>
      </c>
      <c r="Q324" s="727">
        <f>(P324/12)</f>
        <v>0</v>
      </c>
      <c r="R324" s="787">
        <f>SUM(D$624:O$624)</f>
        <v>0</v>
      </c>
      <c r="S324" s="787">
        <f>R324/12</f>
        <v>0</v>
      </c>
      <c r="T324" s="787">
        <f>IF(Q324=0,0,ROUNDUP(S324/Q324,0))</f>
        <v>0</v>
      </c>
      <c r="X324" s="783"/>
      <c r="Y324" s="783"/>
    </row>
    <row r="325" spans="1:29" ht="15.75" hidden="1" thickBot="1" x14ac:dyDescent="0.3">
      <c r="A325" s="670"/>
      <c r="B325" s="730" t="s">
        <v>192</v>
      </c>
      <c r="C325" s="731"/>
      <c r="D325" s="731">
        <f t="shared" ref="D325:O325" si="102">D624/$P$162</f>
        <v>0</v>
      </c>
      <c r="E325" s="731">
        <f t="shared" si="102"/>
        <v>0</v>
      </c>
      <c r="F325" s="731">
        <f t="shared" si="102"/>
        <v>0</v>
      </c>
      <c r="G325" s="731">
        <f t="shared" si="102"/>
        <v>0</v>
      </c>
      <c r="H325" s="731">
        <f t="shared" si="102"/>
        <v>0</v>
      </c>
      <c r="I325" s="731">
        <f t="shared" si="102"/>
        <v>0</v>
      </c>
      <c r="J325" s="731">
        <f t="shared" si="102"/>
        <v>0</v>
      </c>
      <c r="K325" s="731">
        <f t="shared" si="102"/>
        <v>0</v>
      </c>
      <c r="L325" s="731">
        <f t="shared" si="102"/>
        <v>0</v>
      </c>
      <c r="M325" s="731">
        <f t="shared" si="102"/>
        <v>0</v>
      </c>
      <c r="N325" s="731">
        <f t="shared" si="102"/>
        <v>0</v>
      </c>
      <c r="O325" s="731">
        <f t="shared" si="102"/>
        <v>0</v>
      </c>
      <c r="P325" s="732">
        <f t="shared" si="100"/>
        <v>0</v>
      </c>
      <c r="Q325" s="672"/>
      <c r="R325" s="787"/>
      <c r="S325" s="787"/>
      <c r="T325" s="787"/>
      <c r="X325" s="787"/>
      <c r="Y325" s="787"/>
      <c r="Z325" s="787"/>
      <c r="AA325" s="787"/>
      <c r="AB325" s="787"/>
      <c r="AC325" s="787"/>
    </row>
    <row r="326" spans="1:29" hidden="1" x14ac:dyDescent="0.25">
      <c r="A326" s="670"/>
      <c r="B326" s="1001" t="s">
        <v>233</v>
      </c>
      <c r="C326" s="688"/>
      <c r="D326" s="688">
        <f t="shared" ref="D326:O326" si="103">IF(D$324="",0,D162*D$324)</f>
        <v>0</v>
      </c>
      <c r="E326" s="688">
        <f t="shared" si="103"/>
        <v>0</v>
      </c>
      <c r="F326" s="688">
        <f t="shared" si="103"/>
        <v>0</v>
      </c>
      <c r="G326" s="688">
        <f t="shared" si="103"/>
        <v>0</v>
      </c>
      <c r="H326" s="688">
        <f t="shared" si="103"/>
        <v>0</v>
      </c>
      <c r="I326" s="688">
        <f t="shared" si="103"/>
        <v>0</v>
      </c>
      <c r="J326" s="688">
        <f t="shared" si="103"/>
        <v>0</v>
      </c>
      <c r="K326" s="688">
        <f t="shared" si="103"/>
        <v>0</v>
      </c>
      <c r="L326" s="688">
        <f t="shared" si="103"/>
        <v>0</v>
      </c>
      <c r="M326" s="688">
        <f t="shared" si="103"/>
        <v>0</v>
      </c>
      <c r="N326" s="688">
        <f t="shared" si="103"/>
        <v>0</v>
      </c>
      <c r="O326" s="688">
        <f t="shared" si="103"/>
        <v>0</v>
      </c>
      <c r="P326" s="1002">
        <f t="shared" si="100"/>
        <v>0</v>
      </c>
      <c r="Q326" s="727"/>
      <c r="R326" s="787"/>
      <c r="S326" s="787"/>
      <c r="T326" s="787"/>
      <c r="X326" s="787"/>
      <c r="Y326" s="787"/>
      <c r="Z326" s="787"/>
      <c r="AA326" s="787"/>
      <c r="AB326" s="787"/>
      <c r="AC326" s="787"/>
    </row>
    <row r="327" spans="1:29" hidden="1" x14ac:dyDescent="0.25">
      <c r="A327" s="670"/>
      <c r="B327" s="1001" t="s">
        <v>230</v>
      </c>
      <c r="C327" s="688"/>
      <c r="D327" s="688">
        <f t="shared" ref="D327:O327" si="104">IF(D$324="",0,D191*D$324)</f>
        <v>0</v>
      </c>
      <c r="E327" s="688">
        <f t="shared" si="104"/>
        <v>0</v>
      </c>
      <c r="F327" s="688">
        <f t="shared" si="104"/>
        <v>0</v>
      </c>
      <c r="G327" s="688">
        <f t="shared" si="104"/>
        <v>0</v>
      </c>
      <c r="H327" s="688">
        <f t="shared" si="104"/>
        <v>0</v>
      </c>
      <c r="I327" s="688">
        <f t="shared" si="104"/>
        <v>0</v>
      </c>
      <c r="J327" s="688">
        <f t="shared" si="104"/>
        <v>0</v>
      </c>
      <c r="K327" s="688">
        <f t="shared" si="104"/>
        <v>0</v>
      </c>
      <c r="L327" s="688">
        <f t="shared" si="104"/>
        <v>0</v>
      </c>
      <c r="M327" s="688">
        <f t="shared" si="104"/>
        <v>0</v>
      </c>
      <c r="N327" s="688">
        <f t="shared" si="104"/>
        <v>0</v>
      </c>
      <c r="O327" s="688">
        <f t="shared" si="104"/>
        <v>0</v>
      </c>
      <c r="P327" s="1002">
        <f t="shared" si="100"/>
        <v>0</v>
      </c>
      <c r="Q327" s="727"/>
      <c r="R327" s="787"/>
      <c r="S327" s="787"/>
      <c r="T327" s="787"/>
      <c r="X327" s="787"/>
      <c r="Y327" s="787"/>
      <c r="Z327" s="787"/>
      <c r="AA327" s="787"/>
      <c r="AB327" s="787"/>
      <c r="AC327" s="787"/>
    </row>
    <row r="328" spans="1:29" hidden="1" x14ac:dyDescent="0.25">
      <c r="A328" s="670"/>
      <c r="B328" s="1001" t="s">
        <v>234</v>
      </c>
      <c r="C328" s="688"/>
      <c r="D328" s="688">
        <f t="shared" ref="D328:O328" si="105">IF(D$324="",0,D197*D$324)</f>
        <v>0</v>
      </c>
      <c r="E328" s="688">
        <f t="shared" si="105"/>
        <v>0</v>
      </c>
      <c r="F328" s="688">
        <f t="shared" si="105"/>
        <v>0</v>
      </c>
      <c r="G328" s="688">
        <f t="shared" si="105"/>
        <v>0</v>
      </c>
      <c r="H328" s="688">
        <f t="shared" si="105"/>
        <v>0</v>
      </c>
      <c r="I328" s="688">
        <f t="shared" si="105"/>
        <v>0</v>
      </c>
      <c r="J328" s="688">
        <f t="shared" si="105"/>
        <v>0</v>
      </c>
      <c r="K328" s="688">
        <f t="shared" si="105"/>
        <v>0</v>
      </c>
      <c r="L328" s="688">
        <f t="shared" si="105"/>
        <v>0</v>
      </c>
      <c r="M328" s="688">
        <f t="shared" si="105"/>
        <v>0</v>
      </c>
      <c r="N328" s="688">
        <f t="shared" si="105"/>
        <v>0</v>
      </c>
      <c r="O328" s="688">
        <f t="shared" si="105"/>
        <v>0</v>
      </c>
      <c r="P328" s="1002">
        <f t="shared" si="100"/>
        <v>0</v>
      </c>
      <c r="Q328" s="727"/>
      <c r="R328" s="787"/>
      <c r="S328" s="787"/>
      <c r="T328" s="787"/>
      <c r="X328" s="787"/>
      <c r="Y328" s="787"/>
      <c r="Z328" s="787"/>
      <c r="AA328" s="787"/>
      <c r="AB328" s="787"/>
      <c r="AC328" s="787"/>
    </row>
    <row r="329" spans="1:29" hidden="1" x14ac:dyDescent="0.25">
      <c r="A329" s="670"/>
      <c r="B329" s="1001" t="s">
        <v>231</v>
      </c>
      <c r="C329" s="688"/>
      <c r="D329" s="688">
        <f t="shared" ref="D329:O329" si="106">IF(D$324="",0,D204*D$324)</f>
        <v>0</v>
      </c>
      <c r="E329" s="688">
        <f t="shared" si="106"/>
        <v>0</v>
      </c>
      <c r="F329" s="688">
        <f t="shared" si="106"/>
        <v>0</v>
      </c>
      <c r="G329" s="688">
        <f t="shared" si="106"/>
        <v>0</v>
      </c>
      <c r="H329" s="688">
        <f t="shared" si="106"/>
        <v>0</v>
      </c>
      <c r="I329" s="688">
        <f t="shared" si="106"/>
        <v>0</v>
      </c>
      <c r="J329" s="688">
        <f t="shared" si="106"/>
        <v>0</v>
      </c>
      <c r="K329" s="688">
        <f t="shared" si="106"/>
        <v>0</v>
      </c>
      <c r="L329" s="688">
        <f t="shared" si="106"/>
        <v>0</v>
      </c>
      <c r="M329" s="688">
        <f t="shared" si="106"/>
        <v>0</v>
      </c>
      <c r="N329" s="688">
        <f t="shared" si="106"/>
        <v>0</v>
      </c>
      <c r="O329" s="688">
        <f t="shared" si="106"/>
        <v>0</v>
      </c>
      <c r="P329" s="1002">
        <f t="shared" si="100"/>
        <v>0</v>
      </c>
      <c r="Q329" s="727"/>
      <c r="R329" s="787"/>
      <c r="S329" s="787"/>
      <c r="T329" s="787"/>
      <c r="X329" s="787"/>
      <c r="Y329" s="787"/>
      <c r="Z329" s="787"/>
      <c r="AA329" s="787"/>
      <c r="AB329" s="787"/>
      <c r="AC329" s="787"/>
    </row>
    <row r="330" spans="1:29" ht="15.75" hidden="1" thickBot="1" x14ac:dyDescent="0.3">
      <c r="A330" s="670"/>
      <c r="B330" s="1001" t="s">
        <v>232</v>
      </c>
      <c r="C330" s="688"/>
      <c r="D330" s="688">
        <f>SUM(D327:D329)</f>
        <v>0</v>
      </c>
      <c r="E330" s="688">
        <f t="shared" ref="E330:O330" si="107">SUM(E327:E329)</f>
        <v>0</v>
      </c>
      <c r="F330" s="688">
        <f t="shared" si="107"/>
        <v>0</v>
      </c>
      <c r="G330" s="688">
        <f t="shared" si="107"/>
        <v>0</v>
      </c>
      <c r="H330" s="688">
        <f t="shared" si="107"/>
        <v>0</v>
      </c>
      <c r="I330" s="688">
        <f t="shared" si="107"/>
        <v>0</v>
      </c>
      <c r="J330" s="688">
        <f t="shared" si="107"/>
        <v>0</v>
      </c>
      <c r="K330" s="688">
        <f t="shared" si="107"/>
        <v>0</v>
      </c>
      <c r="L330" s="688">
        <f t="shared" si="107"/>
        <v>0</v>
      </c>
      <c r="M330" s="688">
        <f t="shared" si="107"/>
        <v>0</v>
      </c>
      <c r="N330" s="688">
        <f t="shared" si="107"/>
        <v>0</v>
      </c>
      <c r="O330" s="688">
        <f t="shared" si="107"/>
        <v>0</v>
      </c>
      <c r="P330" s="1002">
        <f t="shared" si="100"/>
        <v>0</v>
      </c>
      <c r="Q330" s="727"/>
      <c r="R330" s="787"/>
      <c r="S330" s="787"/>
      <c r="T330" s="787"/>
      <c r="X330" s="787"/>
      <c r="Y330" s="787"/>
      <c r="Z330" s="787"/>
      <c r="AA330" s="787"/>
      <c r="AB330" s="787"/>
      <c r="AC330" s="787"/>
    </row>
    <row r="331" spans="1:29" hidden="1" x14ac:dyDescent="0.25">
      <c r="A331" s="670"/>
      <c r="B331" s="711" t="s">
        <v>174</v>
      </c>
      <c r="C331" s="712"/>
      <c r="D331" s="712">
        <f t="shared" ref="D331:O331" si="108">D703</f>
        <v>1</v>
      </c>
      <c r="E331" s="712">
        <f t="shared" si="108"/>
        <v>2</v>
      </c>
      <c r="F331" s="712">
        <f t="shared" si="108"/>
        <v>3</v>
      </c>
      <c r="G331" s="712">
        <f t="shared" si="108"/>
        <v>4</v>
      </c>
      <c r="H331" s="712">
        <f t="shared" si="108"/>
        <v>5</v>
      </c>
      <c r="I331" s="712">
        <f t="shared" si="108"/>
        <v>6</v>
      </c>
      <c r="J331" s="712">
        <f t="shared" si="108"/>
        <v>7</v>
      </c>
      <c r="K331" s="712">
        <f t="shared" si="108"/>
        <v>8</v>
      </c>
      <c r="L331" s="712">
        <f t="shared" si="108"/>
        <v>0</v>
      </c>
      <c r="M331" s="712">
        <f t="shared" si="108"/>
        <v>0</v>
      </c>
      <c r="N331" s="712">
        <f t="shared" si="108"/>
        <v>0</v>
      </c>
      <c r="O331" s="712">
        <f t="shared" si="108"/>
        <v>0</v>
      </c>
      <c r="P331" s="725" t="s">
        <v>206</v>
      </c>
      <c r="Q331" s="672"/>
      <c r="R331" s="783"/>
      <c r="S331" s="783"/>
      <c r="T331" s="783"/>
      <c r="X331" s="783"/>
      <c r="Y331" s="783"/>
    </row>
    <row r="332" spans="1:29" hidden="1" x14ac:dyDescent="0.25">
      <c r="A332" s="670"/>
      <c r="B332" s="715" t="s">
        <v>174</v>
      </c>
      <c r="C332" s="716"/>
      <c r="D332" s="716">
        <f t="shared" ref="D332:O332" si="109">IF(D165="","",D699/D165)</f>
        <v>0</v>
      </c>
      <c r="E332" s="716">
        <f t="shared" si="109"/>
        <v>0</v>
      </c>
      <c r="F332" s="716">
        <f t="shared" si="109"/>
        <v>0</v>
      </c>
      <c r="G332" s="716">
        <f t="shared" si="109"/>
        <v>0</v>
      </c>
      <c r="H332" s="716">
        <f t="shared" si="109"/>
        <v>0</v>
      </c>
      <c r="I332" s="716">
        <f t="shared" si="109"/>
        <v>0</v>
      </c>
      <c r="J332" s="716">
        <f t="shared" si="109"/>
        <v>0</v>
      </c>
      <c r="K332" s="716">
        <f t="shared" si="109"/>
        <v>0</v>
      </c>
      <c r="L332" s="716" t="str">
        <f t="shared" si="109"/>
        <v/>
      </c>
      <c r="M332" s="716" t="str">
        <f t="shared" si="109"/>
        <v/>
      </c>
      <c r="N332" s="716" t="str">
        <f t="shared" si="109"/>
        <v/>
      </c>
      <c r="O332" s="716" t="str">
        <f t="shared" si="109"/>
        <v/>
      </c>
      <c r="P332" s="726">
        <f t="shared" ref="P332:P339" si="110">SUM(D332:O332)</f>
        <v>0</v>
      </c>
      <c r="Q332" s="672"/>
      <c r="R332" s="783"/>
      <c r="S332" s="783"/>
      <c r="T332" s="783"/>
      <c r="X332" s="783"/>
      <c r="Y332" s="783"/>
    </row>
    <row r="333" spans="1:29" hidden="1" x14ac:dyDescent="0.25">
      <c r="A333" s="670"/>
      <c r="B333" s="733" t="s">
        <v>188</v>
      </c>
      <c r="C333" s="728"/>
      <c r="D333" s="728">
        <f t="shared" ref="D333:O333" si="111">IF(D165="","",D707/D165)</f>
        <v>0</v>
      </c>
      <c r="E333" s="728">
        <f t="shared" si="111"/>
        <v>0</v>
      </c>
      <c r="F333" s="728">
        <f t="shared" si="111"/>
        <v>0</v>
      </c>
      <c r="G333" s="728">
        <f t="shared" si="111"/>
        <v>0</v>
      </c>
      <c r="H333" s="728">
        <f t="shared" si="111"/>
        <v>0</v>
      </c>
      <c r="I333" s="728">
        <f t="shared" si="111"/>
        <v>0</v>
      </c>
      <c r="J333" s="728">
        <f t="shared" si="111"/>
        <v>0</v>
      </c>
      <c r="K333" s="728">
        <f t="shared" si="111"/>
        <v>0</v>
      </c>
      <c r="L333" s="728" t="str">
        <f t="shared" si="111"/>
        <v/>
      </c>
      <c r="M333" s="728" t="str">
        <f t="shared" si="111"/>
        <v/>
      </c>
      <c r="N333" s="728" t="str">
        <f t="shared" si="111"/>
        <v/>
      </c>
      <c r="O333" s="728" t="str">
        <f t="shared" si="111"/>
        <v/>
      </c>
      <c r="P333" s="729">
        <f t="shared" si="110"/>
        <v>0</v>
      </c>
      <c r="Q333" s="727">
        <f>(P333/12)</f>
        <v>0</v>
      </c>
      <c r="R333" s="787">
        <f>SUM(D$699:O$699)</f>
        <v>0</v>
      </c>
      <c r="S333" s="787">
        <f>R333/12</f>
        <v>0</v>
      </c>
      <c r="T333" s="787">
        <f>IF(Q333=0,0,ROUNDUP(S333/Q333,0))</f>
        <v>0</v>
      </c>
      <c r="X333" s="783"/>
      <c r="Y333" s="783"/>
    </row>
    <row r="334" spans="1:29" ht="15.75" hidden="1" thickBot="1" x14ac:dyDescent="0.3">
      <c r="A334" s="670"/>
      <c r="B334" s="730" t="s">
        <v>192</v>
      </c>
      <c r="C334" s="731"/>
      <c r="D334" s="731">
        <f t="shared" ref="D334:O334" si="112">D699/$P$165</f>
        <v>0</v>
      </c>
      <c r="E334" s="731">
        <f t="shared" si="112"/>
        <v>0</v>
      </c>
      <c r="F334" s="731">
        <f t="shared" si="112"/>
        <v>0</v>
      </c>
      <c r="G334" s="731">
        <f t="shared" si="112"/>
        <v>0</v>
      </c>
      <c r="H334" s="731">
        <f t="shared" si="112"/>
        <v>0</v>
      </c>
      <c r="I334" s="731">
        <f t="shared" si="112"/>
        <v>0</v>
      </c>
      <c r="J334" s="731">
        <f t="shared" si="112"/>
        <v>0</v>
      </c>
      <c r="K334" s="731">
        <f t="shared" si="112"/>
        <v>0</v>
      </c>
      <c r="L334" s="731">
        <f t="shared" si="112"/>
        <v>0</v>
      </c>
      <c r="M334" s="731">
        <f t="shared" si="112"/>
        <v>0</v>
      </c>
      <c r="N334" s="731">
        <f t="shared" si="112"/>
        <v>0</v>
      </c>
      <c r="O334" s="731">
        <f t="shared" si="112"/>
        <v>0</v>
      </c>
      <c r="P334" s="732">
        <f t="shared" si="110"/>
        <v>0</v>
      </c>
      <c r="Q334" s="672"/>
      <c r="R334" s="787"/>
      <c r="S334" s="787"/>
      <c r="T334" s="787"/>
      <c r="U334" s="787"/>
      <c r="V334" s="787"/>
      <c r="W334" s="787"/>
      <c r="X334" s="787"/>
      <c r="Y334" s="787"/>
      <c r="Z334" s="787"/>
      <c r="AA334" s="787"/>
      <c r="AB334" s="787"/>
      <c r="AC334" s="787"/>
    </row>
    <row r="335" spans="1:29" hidden="1" x14ac:dyDescent="0.25">
      <c r="A335" s="670"/>
      <c r="B335" s="1003" t="s">
        <v>233</v>
      </c>
      <c r="C335" s="693"/>
      <c r="D335" s="693">
        <f t="shared" ref="D335:O335" si="113">IF(D$333="",0,D165*D$333)</f>
        <v>0</v>
      </c>
      <c r="E335" s="693">
        <f t="shared" si="113"/>
        <v>0</v>
      </c>
      <c r="F335" s="693">
        <f t="shared" si="113"/>
        <v>0</v>
      </c>
      <c r="G335" s="693">
        <f t="shared" si="113"/>
        <v>0</v>
      </c>
      <c r="H335" s="693">
        <f t="shared" si="113"/>
        <v>0</v>
      </c>
      <c r="I335" s="693">
        <f t="shared" si="113"/>
        <v>0</v>
      </c>
      <c r="J335" s="693">
        <f t="shared" si="113"/>
        <v>0</v>
      </c>
      <c r="K335" s="693">
        <f t="shared" si="113"/>
        <v>0</v>
      </c>
      <c r="L335" s="693">
        <f t="shared" si="113"/>
        <v>0</v>
      </c>
      <c r="M335" s="693">
        <f t="shared" si="113"/>
        <v>0</v>
      </c>
      <c r="N335" s="693">
        <f t="shared" si="113"/>
        <v>0</v>
      </c>
      <c r="O335" s="693">
        <f t="shared" si="113"/>
        <v>0</v>
      </c>
      <c r="P335" s="1004">
        <f t="shared" si="110"/>
        <v>0</v>
      </c>
      <c r="Q335" s="727"/>
      <c r="R335" s="788"/>
      <c r="S335" s="787"/>
      <c r="T335" s="787"/>
      <c r="U335" s="787"/>
      <c r="V335" s="787"/>
      <c r="W335" s="787"/>
      <c r="X335" s="787"/>
      <c r="Y335" s="787"/>
      <c r="Z335" s="787"/>
      <c r="AA335" s="787"/>
      <c r="AB335" s="787"/>
      <c r="AC335" s="787"/>
    </row>
    <row r="336" spans="1:29" hidden="1" x14ac:dyDescent="0.25">
      <c r="A336" s="670"/>
      <c r="B336" s="1001" t="s">
        <v>230</v>
      </c>
      <c r="C336" s="688"/>
      <c r="D336" s="688">
        <f t="shared" ref="D336:O336" si="114">IF(D$333="",0,(D192+D193)*D$333)</f>
        <v>0</v>
      </c>
      <c r="E336" s="688">
        <f t="shared" si="114"/>
        <v>0</v>
      </c>
      <c r="F336" s="688">
        <f t="shared" si="114"/>
        <v>0</v>
      </c>
      <c r="G336" s="688">
        <f t="shared" si="114"/>
        <v>0</v>
      </c>
      <c r="H336" s="688">
        <f t="shared" si="114"/>
        <v>0</v>
      </c>
      <c r="I336" s="688">
        <f t="shared" si="114"/>
        <v>0</v>
      </c>
      <c r="J336" s="688">
        <f t="shared" si="114"/>
        <v>0</v>
      </c>
      <c r="K336" s="688">
        <f t="shared" si="114"/>
        <v>0</v>
      </c>
      <c r="L336" s="688">
        <f t="shared" si="114"/>
        <v>0</v>
      </c>
      <c r="M336" s="688">
        <f t="shared" si="114"/>
        <v>0</v>
      </c>
      <c r="N336" s="688">
        <f t="shared" si="114"/>
        <v>0</v>
      </c>
      <c r="O336" s="688">
        <f t="shared" si="114"/>
        <v>0</v>
      </c>
      <c r="P336" s="1002">
        <f t="shared" si="110"/>
        <v>0</v>
      </c>
      <c r="Q336" s="727"/>
      <c r="R336" s="788"/>
      <c r="S336" s="787"/>
      <c r="T336" s="787"/>
      <c r="U336" s="787"/>
      <c r="V336" s="787"/>
      <c r="W336" s="787"/>
      <c r="X336" s="787"/>
      <c r="Y336" s="787"/>
      <c r="Z336" s="787"/>
      <c r="AA336" s="787"/>
      <c r="AB336" s="787"/>
      <c r="AC336" s="787"/>
    </row>
    <row r="337" spans="1:29" hidden="1" x14ac:dyDescent="0.25">
      <c r="A337" s="670"/>
      <c r="B337" s="1001" t="s">
        <v>234</v>
      </c>
      <c r="C337" s="688"/>
      <c r="D337" s="688">
        <f t="shared" ref="D337:O337" si="115">IF(D$333="",0,(D199)*D$333)</f>
        <v>0</v>
      </c>
      <c r="E337" s="688">
        <f t="shared" si="115"/>
        <v>0</v>
      </c>
      <c r="F337" s="688">
        <f t="shared" si="115"/>
        <v>0</v>
      </c>
      <c r="G337" s="688">
        <f t="shared" si="115"/>
        <v>0</v>
      </c>
      <c r="H337" s="688">
        <f t="shared" si="115"/>
        <v>0</v>
      </c>
      <c r="I337" s="688">
        <f t="shared" si="115"/>
        <v>0</v>
      </c>
      <c r="J337" s="688">
        <f t="shared" si="115"/>
        <v>0</v>
      </c>
      <c r="K337" s="688">
        <f t="shared" si="115"/>
        <v>0</v>
      </c>
      <c r="L337" s="688">
        <f t="shared" si="115"/>
        <v>0</v>
      </c>
      <c r="M337" s="688">
        <f t="shared" si="115"/>
        <v>0</v>
      </c>
      <c r="N337" s="688">
        <f t="shared" si="115"/>
        <v>0</v>
      </c>
      <c r="O337" s="688">
        <f t="shared" si="115"/>
        <v>0</v>
      </c>
      <c r="P337" s="1002">
        <f t="shared" si="110"/>
        <v>0</v>
      </c>
      <c r="Q337" s="727"/>
      <c r="R337" s="788"/>
      <c r="S337" s="787"/>
      <c r="T337" s="787"/>
      <c r="U337" s="787"/>
      <c r="V337" s="787"/>
      <c r="W337" s="787"/>
      <c r="X337" s="787"/>
      <c r="Y337" s="787"/>
      <c r="Z337" s="787"/>
      <c r="AA337" s="787"/>
      <c r="AB337" s="787"/>
      <c r="AC337" s="787"/>
    </row>
    <row r="338" spans="1:29" hidden="1" x14ac:dyDescent="0.25">
      <c r="A338" s="670"/>
      <c r="B338" s="1001" t="s">
        <v>231</v>
      </c>
      <c r="C338" s="688"/>
      <c r="D338" s="688">
        <f t="shared" ref="D338:O338" si="116">IF(D$333="",0,(D205)*D$333)</f>
        <v>0</v>
      </c>
      <c r="E338" s="688">
        <f t="shared" si="116"/>
        <v>0</v>
      </c>
      <c r="F338" s="688">
        <f t="shared" si="116"/>
        <v>0</v>
      </c>
      <c r="G338" s="688">
        <f t="shared" si="116"/>
        <v>0</v>
      </c>
      <c r="H338" s="688">
        <f t="shared" si="116"/>
        <v>0</v>
      </c>
      <c r="I338" s="688">
        <f t="shared" si="116"/>
        <v>0</v>
      </c>
      <c r="J338" s="688">
        <f t="shared" si="116"/>
        <v>0</v>
      </c>
      <c r="K338" s="688">
        <f t="shared" si="116"/>
        <v>0</v>
      </c>
      <c r="L338" s="688">
        <f t="shared" si="116"/>
        <v>0</v>
      </c>
      <c r="M338" s="688">
        <f t="shared" si="116"/>
        <v>0</v>
      </c>
      <c r="N338" s="688">
        <f t="shared" si="116"/>
        <v>0</v>
      </c>
      <c r="O338" s="688">
        <f t="shared" si="116"/>
        <v>0</v>
      </c>
      <c r="P338" s="1002">
        <f t="shared" si="110"/>
        <v>0</v>
      </c>
      <c r="Q338" s="727"/>
      <c r="R338" s="788"/>
      <c r="S338" s="787"/>
      <c r="T338" s="787"/>
      <c r="U338" s="787"/>
      <c r="V338" s="787"/>
      <c r="W338" s="787"/>
      <c r="X338" s="787"/>
      <c r="Y338" s="787"/>
      <c r="Z338" s="787"/>
      <c r="AA338" s="787"/>
      <c r="AB338" s="787"/>
      <c r="AC338" s="787"/>
    </row>
    <row r="339" spans="1:29" ht="15.75" hidden="1" thickBot="1" x14ac:dyDescent="0.3">
      <c r="A339" s="670"/>
      <c r="B339" s="1005" t="s">
        <v>232</v>
      </c>
      <c r="C339" s="1006"/>
      <c r="D339" s="1006">
        <f>SUM(D336:D338)</f>
        <v>0</v>
      </c>
      <c r="E339" s="1006">
        <f t="shared" ref="E339:O339" si="117">SUM(E336:E338)</f>
        <v>0</v>
      </c>
      <c r="F339" s="1006">
        <f t="shared" si="117"/>
        <v>0</v>
      </c>
      <c r="G339" s="1006">
        <f t="shared" si="117"/>
        <v>0</v>
      </c>
      <c r="H339" s="1006">
        <f t="shared" si="117"/>
        <v>0</v>
      </c>
      <c r="I339" s="1006">
        <f t="shared" si="117"/>
        <v>0</v>
      </c>
      <c r="J339" s="1006">
        <f t="shared" si="117"/>
        <v>0</v>
      </c>
      <c r="K339" s="1006">
        <f t="shared" si="117"/>
        <v>0</v>
      </c>
      <c r="L339" s="1006">
        <f t="shared" si="117"/>
        <v>0</v>
      </c>
      <c r="M339" s="1006">
        <f t="shared" si="117"/>
        <v>0</v>
      </c>
      <c r="N339" s="1006">
        <f t="shared" si="117"/>
        <v>0</v>
      </c>
      <c r="O339" s="1006">
        <f t="shared" si="117"/>
        <v>0</v>
      </c>
      <c r="P339" s="1007">
        <f t="shared" si="110"/>
        <v>0</v>
      </c>
      <c r="Q339" s="727"/>
      <c r="R339" s="788"/>
      <c r="S339" s="787"/>
      <c r="T339" s="787"/>
      <c r="U339" s="787"/>
      <c r="V339" s="787"/>
      <c r="W339" s="787"/>
      <c r="X339" s="787"/>
      <c r="Y339" s="787"/>
      <c r="Z339" s="787"/>
      <c r="AA339" s="787"/>
      <c r="AB339" s="787"/>
      <c r="AC339" s="787"/>
    </row>
    <row r="340" spans="1:29" hidden="1" x14ac:dyDescent="0.25">
      <c r="A340" s="670"/>
      <c r="B340" s="711" t="s">
        <v>438</v>
      </c>
      <c r="C340" s="712"/>
      <c r="D340" s="712">
        <f>D780</f>
        <v>1</v>
      </c>
      <c r="E340" s="712">
        <f t="shared" ref="E340:O340" si="118">E780</f>
        <v>2</v>
      </c>
      <c r="F340" s="712">
        <f t="shared" si="118"/>
        <v>3</v>
      </c>
      <c r="G340" s="712">
        <f t="shared" si="118"/>
        <v>4</v>
      </c>
      <c r="H340" s="712">
        <f t="shared" si="118"/>
        <v>5</v>
      </c>
      <c r="I340" s="712">
        <f t="shared" si="118"/>
        <v>6</v>
      </c>
      <c r="J340" s="712">
        <f t="shared" si="118"/>
        <v>7</v>
      </c>
      <c r="K340" s="712">
        <f t="shared" si="118"/>
        <v>8</v>
      </c>
      <c r="L340" s="712">
        <f t="shared" si="118"/>
        <v>9</v>
      </c>
      <c r="M340" s="712">
        <f t="shared" si="118"/>
        <v>10</v>
      </c>
      <c r="N340" s="712">
        <f t="shared" si="118"/>
        <v>11</v>
      </c>
      <c r="O340" s="712">
        <f t="shared" si="118"/>
        <v>12</v>
      </c>
      <c r="P340" s="725" t="s">
        <v>206</v>
      </c>
      <c r="Q340" s="672"/>
      <c r="R340" s="783"/>
      <c r="S340" s="783"/>
      <c r="T340" s="783"/>
      <c r="V340" s="787"/>
      <c r="W340" s="787"/>
      <c r="X340" s="787"/>
      <c r="Y340" s="787"/>
      <c r="Z340" s="787"/>
      <c r="AA340" s="787"/>
      <c r="AB340" s="787"/>
      <c r="AC340" s="787"/>
    </row>
    <row r="341" spans="1:29" hidden="1" x14ac:dyDescent="0.25">
      <c r="A341" s="670"/>
      <c r="B341" s="715" t="s">
        <v>438</v>
      </c>
      <c r="C341" s="716"/>
      <c r="D341" s="716">
        <f t="shared" ref="D341:O341" si="119">IF(D166="","",D776/D166)</f>
        <v>88.653623188405803</v>
      </c>
      <c r="E341" s="716">
        <f t="shared" si="119"/>
        <v>58.951956521739135</v>
      </c>
      <c r="F341" s="716">
        <f t="shared" si="119"/>
        <v>818.95164556962027</v>
      </c>
      <c r="G341" s="716">
        <f t="shared" si="119"/>
        <v>63.69220338983051</v>
      </c>
      <c r="H341" s="716">
        <f t="shared" si="119"/>
        <v>43.982203389830502</v>
      </c>
      <c r="I341" s="716">
        <f t="shared" si="119"/>
        <v>46.089703389830504</v>
      </c>
      <c r="J341" s="716">
        <f t="shared" si="119"/>
        <v>1200.6023737373739</v>
      </c>
      <c r="K341" s="716">
        <f t="shared" si="119"/>
        <v>219.56807860262006</v>
      </c>
      <c r="L341" s="716" t="e">
        <f t="shared" si="119"/>
        <v>#DIV/0!</v>
      </c>
      <c r="M341" s="716" t="e">
        <f t="shared" si="119"/>
        <v>#DIV/0!</v>
      </c>
      <c r="N341" s="716" t="e">
        <f t="shared" si="119"/>
        <v>#DIV/0!</v>
      </c>
      <c r="O341" s="716" t="e">
        <f t="shared" si="119"/>
        <v>#DIV/0!</v>
      </c>
      <c r="P341" s="726" t="e">
        <f t="shared" ref="P341:P348" si="120">SUM(D341:O341)</f>
        <v>#DIV/0!</v>
      </c>
      <c r="Q341" s="727" t="e">
        <f>(P341/12)</f>
        <v>#DIV/0!</v>
      </c>
      <c r="R341" s="787">
        <f>SUM(D$776:O$776)</f>
        <v>538749.80000000005</v>
      </c>
      <c r="S341" s="787">
        <f>R341/12</f>
        <v>44895.816666666673</v>
      </c>
      <c r="T341" s="787" t="e">
        <f>S341/Q341</f>
        <v>#DIV/0!</v>
      </c>
      <c r="V341" s="787"/>
      <c r="W341" s="787"/>
      <c r="X341" s="787"/>
      <c r="Y341" s="787"/>
      <c r="Z341" s="787"/>
      <c r="AA341" s="787"/>
      <c r="AB341" s="787"/>
      <c r="AC341" s="787"/>
    </row>
    <row r="342" spans="1:29" hidden="1" x14ac:dyDescent="0.25">
      <c r="A342" s="670"/>
      <c r="B342" s="733" t="s">
        <v>188</v>
      </c>
      <c r="C342" s="728"/>
      <c r="D342" s="728">
        <f t="shared" ref="D342:O342" si="121">IF(D166="","",D784/D166)</f>
        <v>88.653623188405803</v>
      </c>
      <c r="E342" s="728">
        <f t="shared" si="121"/>
        <v>58.951956521739135</v>
      </c>
      <c r="F342" s="728">
        <f t="shared" si="121"/>
        <v>818.95164556962027</v>
      </c>
      <c r="G342" s="728">
        <f t="shared" si="121"/>
        <v>63.69220338983051</v>
      </c>
      <c r="H342" s="728">
        <f t="shared" si="121"/>
        <v>43.982203389830502</v>
      </c>
      <c r="I342" s="728">
        <f t="shared" si="121"/>
        <v>46.089703389830504</v>
      </c>
      <c r="J342" s="728">
        <f t="shared" si="121"/>
        <v>1200.6023737373739</v>
      </c>
      <c r="K342" s="728">
        <f t="shared" si="121"/>
        <v>219.56807860262006</v>
      </c>
      <c r="L342" s="728" t="e">
        <f t="shared" si="121"/>
        <v>#DIV/0!</v>
      </c>
      <c r="M342" s="728" t="e">
        <f t="shared" si="121"/>
        <v>#DIV/0!</v>
      </c>
      <c r="N342" s="728" t="e">
        <f t="shared" si="121"/>
        <v>#DIV/0!</v>
      </c>
      <c r="O342" s="728" t="e">
        <f t="shared" si="121"/>
        <v>#DIV/0!</v>
      </c>
      <c r="P342" s="729" t="e">
        <f>SUM(D342:O342)</f>
        <v>#DIV/0!</v>
      </c>
      <c r="Q342" s="727" t="e">
        <f>(P342/12)</f>
        <v>#DIV/0!</v>
      </c>
      <c r="R342" s="787">
        <f>SUM(D$776:O$776)</f>
        <v>538749.80000000005</v>
      </c>
      <c r="S342" s="787">
        <f>R342/12</f>
        <v>44895.816666666673</v>
      </c>
      <c r="T342" s="787" t="e">
        <f>IF(Q342=0,0,ROUNDUP(S342/Q342,0))</f>
        <v>#DIV/0!</v>
      </c>
      <c r="V342" s="787"/>
      <c r="W342" s="787"/>
      <c r="X342" s="787"/>
      <c r="Y342" s="787"/>
      <c r="Z342" s="787"/>
      <c r="AA342" s="787"/>
      <c r="AB342" s="787"/>
      <c r="AC342" s="787"/>
    </row>
    <row r="343" spans="1:29" ht="15.75" hidden="1" thickBot="1" x14ac:dyDescent="0.3">
      <c r="A343" s="670"/>
      <c r="B343" s="730" t="s">
        <v>192</v>
      </c>
      <c r="C343" s="731"/>
      <c r="D343" s="731">
        <f t="shared" ref="D343:O343" si="122">D776/$P$166</f>
        <v>89.083980582524276</v>
      </c>
      <c r="E343" s="731">
        <f t="shared" si="122"/>
        <v>59.23813106796117</v>
      </c>
      <c r="F343" s="731">
        <f t="shared" si="122"/>
        <v>1413.2879126213593</v>
      </c>
      <c r="G343" s="731">
        <f t="shared" si="122"/>
        <v>109.45165048543689</v>
      </c>
      <c r="H343" s="731">
        <f t="shared" si="122"/>
        <v>75.581067961165033</v>
      </c>
      <c r="I343" s="731">
        <f t="shared" si="122"/>
        <v>79.202694174757269</v>
      </c>
      <c r="J343" s="731">
        <f t="shared" si="122"/>
        <v>1730.9655582524272</v>
      </c>
      <c r="K343" s="731">
        <f t="shared" si="122"/>
        <v>366.12444174757275</v>
      </c>
      <c r="L343" s="731">
        <f t="shared" si="122"/>
        <v>0</v>
      </c>
      <c r="M343" s="731">
        <f t="shared" si="122"/>
        <v>0</v>
      </c>
      <c r="N343" s="731">
        <f t="shared" si="122"/>
        <v>0</v>
      </c>
      <c r="O343" s="731">
        <f t="shared" si="122"/>
        <v>0</v>
      </c>
      <c r="P343" s="732">
        <f t="shared" si="120"/>
        <v>3922.9354368932036</v>
      </c>
      <c r="Q343" s="727">
        <f>(P343/12)</f>
        <v>326.91128640776697</v>
      </c>
      <c r="R343" s="787">
        <f t="shared" ref="R343" si="123">SUM(D$776:O$776)</f>
        <v>538749.80000000005</v>
      </c>
      <c r="S343" s="787">
        <f>R343/12</f>
        <v>44895.816666666673</v>
      </c>
      <c r="T343" s="787">
        <f>S343/Q343</f>
        <v>137.33333333333337</v>
      </c>
      <c r="V343" s="787"/>
      <c r="W343" s="787"/>
      <c r="X343" s="787"/>
      <c r="Y343" s="787"/>
      <c r="Z343" s="787"/>
      <c r="AA343" s="787"/>
      <c r="AB343" s="787"/>
      <c r="AC343" s="787"/>
    </row>
    <row r="344" spans="1:29" hidden="1" x14ac:dyDescent="0.25">
      <c r="A344" s="670"/>
      <c r="B344" s="1003" t="s">
        <v>233</v>
      </c>
      <c r="C344" s="693"/>
      <c r="D344" s="693">
        <f t="shared" ref="D344:O344" si="124">IF(D$342="",0,D166*D$342)</f>
        <v>12234.2</v>
      </c>
      <c r="E344" s="693">
        <f t="shared" si="124"/>
        <v>8135.3700000000008</v>
      </c>
      <c r="F344" s="693">
        <f t="shared" si="124"/>
        <v>194091.54</v>
      </c>
      <c r="G344" s="693">
        <f t="shared" si="124"/>
        <v>15031.36</v>
      </c>
      <c r="H344" s="693">
        <f t="shared" si="124"/>
        <v>10379.799999999999</v>
      </c>
      <c r="I344" s="693">
        <f t="shared" si="124"/>
        <v>10877.169999999998</v>
      </c>
      <c r="J344" s="693">
        <f t="shared" si="124"/>
        <v>237719.27000000005</v>
      </c>
      <c r="K344" s="693">
        <f t="shared" si="124"/>
        <v>50281.09</v>
      </c>
      <c r="L344" s="693" t="e">
        <f t="shared" si="124"/>
        <v>#DIV/0!</v>
      </c>
      <c r="M344" s="693" t="e">
        <f t="shared" si="124"/>
        <v>#DIV/0!</v>
      </c>
      <c r="N344" s="693" t="e">
        <f t="shared" si="124"/>
        <v>#DIV/0!</v>
      </c>
      <c r="O344" s="693" t="e">
        <f t="shared" si="124"/>
        <v>#DIV/0!</v>
      </c>
      <c r="P344" s="1004" t="e">
        <f t="shared" si="120"/>
        <v>#DIV/0!</v>
      </c>
      <c r="Q344" s="727"/>
      <c r="R344" s="787"/>
      <c r="S344" s="787"/>
      <c r="T344" s="787"/>
      <c r="V344" s="787"/>
      <c r="W344" s="787"/>
      <c r="X344" s="787"/>
      <c r="Y344" s="787"/>
      <c r="Z344" s="787"/>
      <c r="AA344" s="787"/>
      <c r="AB344" s="787"/>
      <c r="AC344" s="787"/>
    </row>
    <row r="345" spans="1:29" hidden="1" x14ac:dyDescent="0.25">
      <c r="A345" s="670"/>
      <c r="B345" s="1001" t="s">
        <v>230</v>
      </c>
      <c r="C345" s="688"/>
      <c r="D345" s="688">
        <f t="shared" ref="D345:O345" si="125">IF(D$342="",0,SUM(D189:D193)*D$342)</f>
        <v>0</v>
      </c>
      <c r="E345" s="688">
        <f t="shared" si="125"/>
        <v>0</v>
      </c>
      <c r="F345" s="688">
        <f t="shared" si="125"/>
        <v>0</v>
      </c>
      <c r="G345" s="688">
        <f t="shared" si="125"/>
        <v>63.69220338983051</v>
      </c>
      <c r="H345" s="688">
        <f t="shared" si="125"/>
        <v>0</v>
      </c>
      <c r="I345" s="688">
        <f t="shared" si="125"/>
        <v>0</v>
      </c>
      <c r="J345" s="688">
        <f t="shared" si="125"/>
        <v>0</v>
      </c>
      <c r="K345" s="688">
        <f t="shared" si="125"/>
        <v>0</v>
      </c>
      <c r="L345" s="688" t="e">
        <f t="shared" si="125"/>
        <v>#DIV/0!</v>
      </c>
      <c r="M345" s="688" t="e">
        <f t="shared" si="125"/>
        <v>#DIV/0!</v>
      </c>
      <c r="N345" s="688" t="e">
        <f t="shared" si="125"/>
        <v>#DIV/0!</v>
      </c>
      <c r="O345" s="688" t="e">
        <f t="shared" si="125"/>
        <v>#DIV/0!</v>
      </c>
      <c r="P345" s="1002" t="e">
        <f t="shared" si="120"/>
        <v>#DIV/0!</v>
      </c>
      <c r="Q345" s="727"/>
      <c r="R345" s="787"/>
      <c r="S345" s="787"/>
      <c r="T345" s="787"/>
      <c r="V345" s="787"/>
      <c r="W345" s="787"/>
      <c r="X345" s="787"/>
      <c r="Y345" s="787"/>
      <c r="Z345" s="787"/>
      <c r="AA345" s="787"/>
      <c r="AB345" s="787"/>
      <c r="AC345" s="787"/>
    </row>
    <row r="346" spans="1:29" hidden="1" x14ac:dyDescent="0.25">
      <c r="A346" s="670"/>
      <c r="B346" s="1001" t="s">
        <v>234</v>
      </c>
      <c r="C346" s="688"/>
      <c r="D346" s="688">
        <f t="shared" ref="D346:O346" si="126">IF(D$342="",0,SUM(D197,D199)*D$342)</f>
        <v>0</v>
      </c>
      <c r="E346" s="688">
        <f t="shared" si="126"/>
        <v>0</v>
      </c>
      <c r="F346" s="688">
        <f t="shared" si="126"/>
        <v>0</v>
      </c>
      <c r="G346" s="688">
        <f t="shared" si="126"/>
        <v>0</v>
      </c>
      <c r="H346" s="688">
        <f t="shared" si="126"/>
        <v>0</v>
      </c>
      <c r="I346" s="688">
        <f t="shared" si="126"/>
        <v>0</v>
      </c>
      <c r="J346" s="688">
        <f t="shared" si="126"/>
        <v>133266.86348484849</v>
      </c>
      <c r="K346" s="688">
        <f t="shared" si="126"/>
        <v>0</v>
      </c>
      <c r="L346" s="688" t="e">
        <f t="shared" si="126"/>
        <v>#DIV/0!</v>
      </c>
      <c r="M346" s="688" t="e">
        <f t="shared" si="126"/>
        <v>#DIV/0!</v>
      </c>
      <c r="N346" s="688" t="e">
        <f t="shared" si="126"/>
        <v>#DIV/0!</v>
      </c>
      <c r="O346" s="688" t="e">
        <f t="shared" si="126"/>
        <v>#DIV/0!</v>
      </c>
      <c r="P346" s="1002" t="e">
        <f t="shared" si="120"/>
        <v>#DIV/0!</v>
      </c>
      <c r="Q346" s="727"/>
      <c r="R346" s="787"/>
      <c r="S346" s="787"/>
      <c r="T346" s="787"/>
      <c r="V346" s="787"/>
      <c r="W346" s="787"/>
      <c r="X346" s="787"/>
      <c r="Y346" s="787"/>
      <c r="Z346" s="787"/>
      <c r="AA346" s="787"/>
      <c r="AB346" s="787"/>
      <c r="AC346" s="787"/>
    </row>
    <row r="347" spans="1:29" hidden="1" x14ac:dyDescent="0.25">
      <c r="A347" s="670"/>
      <c r="B347" s="1001" t="s">
        <v>231</v>
      </c>
      <c r="C347" s="688"/>
      <c r="D347" s="688">
        <f t="shared" ref="D347:O347" si="127">IF(D$342="",0,SUM(D202:D205)*D$342)</f>
        <v>0</v>
      </c>
      <c r="E347" s="688">
        <f t="shared" si="127"/>
        <v>0</v>
      </c>
      <c r="F347" s="688">
        <f t="shared" si="127"/>
        <v>0</v>
      </c>
      <c r="G347" s="688">
        <f t="shared" si="127"/>
        <v>0</v>
      </c>
      <c r="H347" s="688">
        <f t="shared" si="127"/>
        <v>0</v>
      </c>
      <c r="I347" s="688">
        <f t="shared" si="127"/>
        <v>0</v>
      </c>
      <c r="J347" s="688">
        <f t="shared" si="127"/>
        <v>0</v>
      </c>
      <c r="K347" s="688">
        <f t="shared" si="127"/>
        <v>0</v>
      </c>
      <c r="L347" s="688" t="e">
        <f t="shared" si="127"/>
        <v>#DIV/0!</v>
      </c>
      <c r="M347" s="688" t="e">
        <f t="shared" si="127"/>
        <v>#DIV/0!</v>
      </c>
      <c r="N347" s="688" t="e">
        <f t="shared" si="127"/>
        <v>#DIV/0!</v>
      </c>
      <c r="O347" s="688" t="e">
        <f t="shared" si="127"/>
        <v>#DIV/0!</v>
      </c>
      <c r="P347" s="1002" t="e">
        <f t="shared" si="120"/>
        <v>#DIV/0!</v>
      </c>
      <c r="Q347" s="727"/>
      <c r="R347" s="788"/>
      <c r="S347" s="787"/>
      <c r="T347" s="787"/>
      <c r="U347" s="787"/>
      <c r="V347" s="787"/>
      <c r="W347" s="787"/>
      <c r="X347" s="787"/>
      <c r="Y347" s="787"/>
      <c r="Z347" s="787"/>
      <c r="AA347" s="787"/>
      <c r="AB347" s="787"/>
      <c r="AC347" s="787"/>
    </row>
    <row r="348" spans="1:29" ht="15.75" hidden="1" thickBot="1" x14ac:dyDescent="0.3">
      <c r="A348" s="670"/>
      <c r="B348" s="1005" t="s">
        <v>232</v>
      </c>
      <c r="C348" s="1006"/>
      <c r="D348" s="1006">
        <f>SUM(D345:D347)</f>
        <v>0</v>
      </c>
      <c r="E348" s="1006">
        <f t="shared" ref="E348:O348" si="128">SUM(E345:E347)</f>
        <v>0</v>
      </c>
      <c r="F348" s="1006">
        <f t="shared" si="128"/>
        <v>0</v>
      </c>
      <c r="G348" s="1006">
        <f t="shared" si="128"/>
        <v>63.69220338983051</v>
      </c>
      <c r="H348" s="1006">
        <f t="shared" si="128"/>
        <v>0</v>
      </c>
      <c r="I348" s="1006">
        <f t="shared" si="128"/>
        <v>0</v>
      </c>
      <c r="J348" s="1006">
        <f t="shared" si="128"/>
        <v>133266.86348484849</v>
      </c>
      <c r="K348" s="1006">
        <f t="shared" si="128"/>
        <v>0</v>
      </c>
      <c r="L348" s="1006" t="e">
        <f t="shared" si="128"/>
        <v>#DIV/0!</v>
      </c>
      <c r="M348" s="1006" t="e">
        <f t="shared" si="128"/>
        <v>#DIV/0!</v>
      </c>
      <c r="N348" s="1006" t="e">
        <f t="shared" si="128"/>
        <v>#DIV/0!</v>
      </c>
      <c r="O348" s="1006" t="e">
        <f t="shared" si="128"/>
        <v>#DIV/0!</v>
      </c>
      <c r="P348" s="1007" t="e">
        <f t="shared" si="120"/>
        <v>#DIV/0!</v>
      </c>
      <c r="Q348" s="727"/>
      <c r="R348" s="788"/>
      <c r="S348" s="787"/>
      <c r="T348" s="787"/>
      <c r="U348" s="787"/>
      <c r="V348" s="787"/>
      <c r="W348" s="787"/>
      <c r="X348" s="787"/>
      <c r="Y348" s="787"/>
      <c r="Z348" s="787"/>
      <c r="AA348" s="787"/>
      <c r="AB348" s="787"/>
      <c r="AC348" s="787"/>
    </row>
    <row r="349" spans="1:29" hidden="1" x14ac:dyDescent="0.25">
      <c r="A349" s="670"/>
      <c r="B349" s="793"/>
      <c r="C349" s="794"/>
      <c r="D349" s="794"/>
      <c r="E349" s="794"/>
      <c r="F349" s="794"/>
      <c r="G349" s="794"/>
      <c r="H349" s="794"/>
      <c r="I349" s="794"/>
      <c r="J349" s="794"/>
      <c r="K349" s="794"/>
      <c r="L349" s="794"/>
      <c r="M349" s="794"/>
      <c r="N349" s="794"/>
      <c r="O349" s="794"/>
      <c r="P349" s="795"/>
      <c r="Q349" s="727"/>
      <c r="R349" s="788"/>
      <c r="S349" s="787"/>
      <c r="T349" s="787"/>
      <c r="U349" s="787"/>
      <c r="V349" s="787"/>
      <c r="W349" s="787"/>
      <c r="X349" s="787"/>
      <c r="Y349" s="787"/>
      <c r="Z349" s="787"/>
      <c r="AA349" s="787"/>
      <c r="AB349" s="787"/>
      <c r="AC349" s="787"/>
    </row>
    <row r="350" spans="1:29" hidden="1" x14ac:dyDescent="0.25">
      <c r="A350" s="670"/>
      <c r="B350" s="724"/>
      <c r="C350" s="300" t="s">
        <v>303</v>
      </c>
      <c r="D350" s="653" t="str">
        <f t="shared" ref="D350:O350" si="129">D156</f>
        <v/>
      </c>
      <c r="E350" s="653" t="str">
        <f t="shared" si="129"/>
        <v/>
      </c>
      <c r="F350" s="653" t="str">
        <f t="shared" si="129"/>
        <v/>
      </c>
      <c r="G350" s="653" t="str">
        <f t="shared" si="129"/>
        <v/>
      </c>
      <c r="H350" s="653" t="str">
        <f t="shared" si="129"/>
        <v/>
      </c>
      <c r="I350" s="653" t="str">
        <f t="shared" si="129"/>
        <v/>
      </c>
      <c r="J350" s="653" t="str">
        <f t="shared" si="129"/>
        <v/>
      </c>
      <c r="K350" s="653" t="str">
        <f t="shared" si="129"/>
        <v/>
      </c>
      <c r="L350" s="653" t="str">
        <f t="shared" si="129"/>
        <v/>
      </c>
      <c r="M350" s="653" t="str">
        <f t="shared" si="129"/>
        <v/>
      </c>
      <c r="N350" s="653" t="str">
        <f t="shared" si="129"/>
        <v/>
      </c>
      <c r="O350" s="653" t="str">
        <f t="shared" si="129"/>
        <v/>
      </c>
      <c r="P350" s="798">
        <f>IF(SUM(D350:O350)=0,0,AVERAGE(D350:O350))</f>
        <v>0</v>
      </c>
      <c r="Q350" s="727"/>
      <c r="R350" s="788"/>
      <c r="S350" s="787"/>
      <c r="T350" s="787"/>
      <c r="U350" s="787"/>
      <c r="V350" s="787"/>
      <c r="W350" s="787"/>
      <c r="X350" s="787"/>
      <c r="Y350" s="787"/>
      <c r="Z350" s="787"/>
      <c r="AA350" s="787"/>
      <c r="AB350" s="787"/>
      <c r="AC350" s="787"/>
    </row>
    <row r="351" spans="1:29" hidden="1" x14ac:dyDescent="0.25">
      <c r="A351" s="670"/>
      <c r="B351" s="724"/>
      <c r="C351" s="300" t="s">
        <v>304</v>
      </c>
      <c r="D351" s="653">
        <f t="shared" ref="D351:O351" si="130">D159</f>
        <v>137</v>
      </c>
      <c r="E351" s="653">
        <f t="shared" si="130"/>
        <v>137</v>
      </c>
      <c r="F351" s="653">
        <f t="shared" si="130"/>
        <v>236</v>
      </c>
      <c r="G351" s="653">
        <f t="shared" si="130"/>
        <v>124</v>
      </c>
      <c r="H351" s="653">
        <f t="shared" si="130"/>
        <v>101</v>
      </c>
      <c r="I351" s="653">
        <f t="shared" si="130"/>
        <v>101</v>
      </c>
      <c r="J351" s="653">
        <f t="shared" si="130"/>
        <v>174</v>
      </c>
      <c r="K351" s="653">
        <f t="shared" si="130"/>
        <v>205</v>
      </c>
      <c r="L351" s="653" t="str">
        <f t="shared" si="130"/>
        <v/>
      </c>
      <c r="M351" s="653" t="str">
        <f t="shared" si="130"/>
        <v/>
      </c>
      <c r="N351" s="653" t="str">
        <f t="shared" si="130"/>
        <v/>
      </c>
      <c r="O351" s="653" t="str">
        <f t="shared" si="130"/>
        <v/>
      </c>
      <c r="P351" s="798">
        <f t="shared" ref="P351:P353" si="131">IF(SUM(D351:O351)=0,0,AVERAGE(D351:O351))</f>
        <v>151.875</v>
      </c>
      <c r="Q351" s="727"/>
      <c r="R351" s="788"/>
      <c r="S351" s="787"/>
      <c r="T351" s="787"/>
      <c r="U351" s="787"/>
      <c r="V351" s="787"/>
      <c r="W351" s="787"/>
      <c r="X351" s="787"/>
      <c r="Y351" s="787"/>
      <c r="Z351" s="787"/>
      <c r="AA351" s="787"/>
      <c r="AB351" s="787"/>
      <c r="AC351" s="787"/>
    </row>
    <row r="352" spans="1:29" hidden="1" x14ac:dyDescent="0.25">
      <c r="A352" s="670"/>
      <c r="B352" s="724"/>
      <c r="C352" s="300" t="s">
        <v>446</v>
      </c>
      <c r="D352" s="653" t="str">
        <f t="shared" ref="D352:O352" si="132">D162</f>
        <v/>
      </c>
      <c r="E352" s="653" t="str">
        <f t="shared" si="132"/>
        <v/>
      </c>
      <c r="F352" s="653" t="str">
        <f t="shared" si="132"/>
        <v/>
      </c>
      <c r="G352" s="653">
        <f t="shared" si="132"/>
        <v>111</v>
      </c>
      <c r="H352" s="653">
        <f t="shared" si="132"/>
        <v>134</v>
      </c>
      <c r="I352" s="653">
        <f t="shared" si="132"/>
        <v>134</v>
      </c>
      <c r="J352" s="653">
        <f t="shared" si="132"/>
        <v>23</v>
      </c>
      <c r="K352" s="653">
        <f t="shared" si="132"/>
        <v>23</v>
      </c>
      <c r="L352" s="653" t="str">
        <f t="shared" si="132"/>
        <v/>
      </c>
      <c r="M352" s="653" t="str">
        <f t="shared" si="132"/>
        <v/>
      </c>
      <c r="N352" s="653" t="str">
        <f t="shared" si="132"/>
        <v/>
      </c>
      <c r="O352" s="653" t="str">
        <f t="shared" si="132"/>
        <v/>
      </c>
      <c r="P352" s="798">
        <f t="shared" si="131"/>
        <v>85</v>
      </c>
      <c r="Q352" s="727"/>
      <c r="R352" s="788"/>
      <c r="S352" s="787"/>
      <c r="T352" s="787"/>
      <c r="U352" s="787"/>
      <c r="V352" s="787"/>
      <c r="W352" s="787"/>
      <c r="X352" s="787"/>
      <c r="Y352" s="787"/>
      <c r="Z352" s="787"/>
      <c r="AA352" s="787"/>
      <c r="AB352" s="787"/>
      <c r="AC352" s="787"/>
    </row>
    <row r="353" spans="1:29" hidden="1" x14ac:dyDescent="0.25">
      <c r="A353" s="670"/>
      <c r="B353" s="724"/>
      <c r="C353" s="300" t="s">
        <v>308</v>
      </c>
      <c r="D353" s="653">
        <f t="shared" ref="D353:O353" si="133">D165</f>
        <v>1</v>
      </c>
      <c r="E353" s="653">
        <f t="shared" si="133"/>
        <v>1</v>
      </c>
      <c r="F353" s="653">
        <f t="shared" si="133"/>
        <v>1</v>
      </c>
      <c r="G353" s="653">
        <f t="shared" si="133"/>
        <v>1</v>
      </c>
      <c r="H353" s="653">
        <f t="shared" si="133"/>
        <v>1</v>
      </c>
      <c r="I353" s="653">
        <f t="shared" si="133"/>
        <v>1</v>
      </c>
      <c r="J353" s="653">
        <f t="shared" si="133"/>
        <v>1</v>
      </c>
      <c r="K353" s="653">
        <f t="shared" si="133"/>
        <v>1</v>
      </c>
      <c r="L353" s="653" t="str">
        <f t="shared" si="133"/>
        <v/>
      </c>
      <c r="M353" s="653" t="str">
        <f t="shared" si="133"/>
        <v/>
      </c>
      <c r="N353" s="653" t="str">
        <f t="shared" si="133"/>
        <v/>
      </c>
      <c r="O353" s="653" t="str">
        <f t="shared" si="133"/>
        <v/>
      </c>
      <c r="P353" s="798">
        <f t="shared" si="131"/>
        <v>1</v>
      </c>
      <c r="Q353" s="727"/>
      <c r="R353" s="788"/>
      <c r="S353" s="787"/>
      <c r="T353" s="787"/>
      <c r="U353" s="787"/>
      <c r="V353" s="787"/>
      <c r="W353" s="787"/>
      <c r="X353" s="787"/>
      <c r="Y353" s="787"/>
      <c r="Z353" s="787"/>
      <c r="AA353" s="787"/>
      <c r="AB353" s="787"/>
      <c r="AC353" s="787"/>
    </row>
    <row r="354" spans="1:29" hidden="1" x14ac:dyDescent="0.25">
      <c r="A354" s="670"/>
      <c r="B354" s="724"/>
      <c r="C354" s="300"/>
      <c r="D354" s="653">
        <f>SUM(D350:D353)</f>
        <v>138</v>
      </c>
      <c r="E354" s="653">
        <f t="shared" ref="E354:N354" si="134">SUM(E350:E353)</f>
        <v>138</v>
      </c>
      <c r="F354" s="653">
        <f t="shared" si="134"/>
        <v>237</v>
      </c>
      <c r="G354" s="653">
        <f t="shared" si="134"/>
        <v>236</v>
      </c>
      <c r="H354" s="653">
        <f t="shared" si="134"/>
        <v>236</v>
      </c>
      <c r="I354" s="653">
        <f t="shared" si="134"/>
        <v>236</v>
      </c>
      <c r="J354" s="653">
        <f t="shared" si="134"/>
        <v>198</v>
      </c>
      <c r="K354" s="653">
        <f t="shared" si="134"/>
        <v>229</v>
      </c>
      <c r="L354" s="653">
        <f t="shared" si="134"/>
        <v>0</v>
      </c>
      <c r="M354" s="653">
        <f t="shared" si="134"/>
        <v>0</v>
      </c>
      <c r="N354" s="653">
        <f t="shared" si="134"/>
        <v>0</v>
      </c>
      <c r="O354" s="653">
        <f>SUM(O350:O353)</f>
        <v>0</v>
      </c>
      <c r="P354" s="798">
        <f t="shared" ref="P354" si="135">AVERAGE(D354:O354)</f>
        <v>137.33333333333334</v>
      </c>
      <c r="Q354" s="727"/>
      <c r="R354" s="788"/>
      <c r="S354" s="787"/>
      <c r="T354" s="787"/>
      <c r="U354" s="787"/>
      <c r="V354" s="787"/>
      <c r="W354" s="787"/>
      <c r="X354" s="787"/>
      <c r="Y354" s="787"/>
      <c r="Z354" s="787"/>
      <c r="AA354" s="787"/>
      <c r="AB354" s="787"/>
      <c r="AC354" s="787"/>
    </row>
    <row r="355" spans="1:29" ht="15.75" hidden="1" thickBot="1" x14ac:dyDescent="0.3">
      <c r="A355" s="670"/>
      <c r="B355" s="724"/>
      <c r="C355" s="300"/>
      <c r="D355" s="653"/>
      <c r="E355" s="653"/>
      <c r="F355" s="653"/>
      <c r="G355" s="653"/>
      <c r="H355" s="653"/>
      <c r="I355" s="653"/>
      <c r="J355" s="653"/>
      <c r="K355" s="653"/>
      <c r="L355" s="653"/>
      <c r="M355" s="653"/>
      <c r="N355" s="653"/>
      <c r="O355" s="653"/>
      <c r="P355" s="798"/>
      <c r="Q355" s="727"/>
      <c r="R355" s="788"/>
      <c r="S355" s="787"/>
      <c r="T355" s="787"/>
      <c r="U355" s="787"/>
      <c r="V355" s="787"/>
      <c r="W355" s="787"/>
      <c r="X355" s="787"/>
      <c r="Y355" s="787"/>
      <c r="Z355" s="787"/>
      <c r="AA355" s="787"/>
      <c r="AB355" s="787"/>
      <c r="AC355" s="787"/>
    </row>
    <row r="356" spans="1:29" ht="15.75" hidden="1" thickBot="1" x14ac:dyDescent="0.3">
      <c r="A356" s="670"/>
      <c r="B356" s="1027" t="s">
        <v>481</v>
      </c>
      <c r="C356" s="1042"/>
      <c r="D356" s="1043"/>
      <c r="E356" s="1043"/>
      <c r="F356" s="1043"/>
      <c r="G356" s="1043"/>
      <c r="H356" s="1043"/>
      <c r="I356" s="1043"/>
      <c r="J356" s="1043"/>
      <c r="K356" s="1043"/>
      <c r="L356" s="1043"/>
      <c r="M356" s="1043"/>
      <c r="N356" s="1043"/>
      <c r="O356" s="1043"/>
      <c r="P356" s="1044"/>
      <c r="Q356" s="672"/>
      <c r="R356" s="783" t="s">
        <v>250</v>
      </c>
      <c r="S356" s="783" t="s">
        <v>251</v>
      </c>
      <c r="T356" s="783" t="s">
        <v>482</v>
      </c>
      <c r="U356" s="787"/>
      <c r="V356" s="787"/>
      <c r="W356" s="787"/>
      <c r="X356" s="787"/>
      <c r="Y356" s="787"/>
      <c r="Z356" s="787"/>
      <c r="AA356" s="787"/>
      <c r="AB356" s="787"/>
      <c r="AC356" s="787"/>
    </row>
    <row r="357" spans="1:29" hidden="1" x14ac:dyDescent="0.25">
      <c r="A357" s="670"/>
      <c r="B357" s="711" t="s">
        <v>12</v>
      </c>
      <c r="C357" s="711"/>
      <c r="D357" s="712">
        <f>D478</f>
        <v>0</v>
      </c>
      <c r="E357" s="712">
        <f t="shared" ref="E357:O357" si="136">E478</f>
        <v>0</v>
      </c>
      <c r="F357" s="712">
        <f t="shared" si="136"/>
        <v>0</v>
      </c>
      <c r="G357" s="712">
        <f t="shared" si="136"/>
        <v>0</v>
      </c>
      <c r="H357" s="712">
        <f t="shared" si="136"/>
        <v>0</v>
      </c>
      <c r="I357" s="712">
        <f t="shared" si="136"/>
        <v>0</v>
      </c>
      <c r="J357" s="712">
        <f t="shared" si="136"/>
        <v>0</v>
      </c>
      <c r="K357" s="712">
        <f t="shared" si="136"/>
        <v>0</v>
      </c>
      <c r="L357" s="712">
        <f t="shared" si="136"/>
        <v>0</v>
      </c>
      <c r="M357" s="712">
        <f t="shared" si="136"/>
        <v>0</v>
      </c>
      <c r="N357" s="712">
        <f t="shared" si="136"/>
        <v>0</v>
      </c>
      <c r="O357" s="712">
        <f t="shared" si="136"/>
        <v>0</v>
      </c>
      <c r="P357" s="712" t="s">
        <v>206</v>
      </c>
      <c r="Q357" s="672" t="s">
        <v>222</v>
      </c>
      <c r="R357" s="79"/>
      <c r="U357" s="787"/>
      <c r="V357" s="787"/>
      <c r="W357" s="787"/>
      <c r="X357" s="787"/>
      <c r="Y357" s="787"/>
      <c r="Z357" s="787"/>
      <c r="AA357" s="787"/>
      <c r="AB357" s="787"/>
      <c r="AC357" s="787"/>
    </row>
    <row r="358" spans="1:29" hidden="1" x14ac:dyDescent="0.25">
      <c r="A358" s="670"/>
      <c r="B358" s="1010" t="s">
        <v>12</v>
      </c>
      <c r="C358" s="1010"/>
      <c r="D358" s="1029"/>
      <c r="E358" s="1029"/>
      <c r="F358" s="1029"/>
      <c r="G358" s="1029"/>
      <c r="H358" s="1029"/>
      <c r="I358" s="1029"/>
      <c r="J358" s="1029"/>
      <c r="K358" s="1029"/>
      <c r="L358" s="1029"/>
      <c r="M358" s="1029"/>
      <c r="N358" s="1029"/>
      <c r="O358" s="1029"/>
      <c r="P358" s="1037"/>
      <c r="Q358" s="727"/>
      <c r="R358" s="787"/>
      <c r="S358" s="787"/>
      <c r="T358" s="787"/>
      <c r="U358" s="787"/>
      <c r="V358" s="787"/>
      <c r="W358" s="787"/>
      <c r="X358" s="787"/>
      <c r="Y358" s="787"/>
      <c r="Z358" s="787"/>
      <c r="AA358" s="787"/>
      <c r="AB358" s="787"/>
      <c r="AC358" s="787"/>
    </row>
    <row r="359" spans="1:29" hidden="1" x14ac:dyDescent="0.25">
      <c r="A359" s="670"/>
      <c r="B359" s="733" t="s">
        <v>188</v>
      </c>
      <c r="C359" s="733"/>
      <c r="D359" s="728" t="str">
        <f>IF(D172="","",D482/D172)</f>
        <v/>
      </c>
      <c r="E359" s="728" t="str">
        <f t="shared" ref="E359:O359" si="137">IF(E172="","",E482/E172)</f>
        <v/>
      </c>
      <c r="F359" s="728" t="str">
        <f t="shared" si="137"/>
        <v/>
      </c>
      <c r="G359" s="728" t="str">
        <f t="shared" si="137"/>
        <v/>
      </c>
      <c r="H359" s="728" t="str">
        <f t="shared" si="137"/>
        <v/>
      </c>
      <c r="I359" s="728" t="str">
        <f t="shared" si="137"/>
        <v/>
      </c>
      <c r="J359" s="728" t="str">
        <f t="shared" si="137"/>
        <v/>
      </c>
      <c r="K359" s="728" t="str">
        <f t="shared" si="137"/>
        <v/>
      </c>
      <c r="L359" s="728" t="str">
        <f t="shared" si="137"/>
        <v/>
      </c>
      <c r="M359" s="728" t="str">
        <f t="shared" si="137"/>
        <v/>
      </c>
      <c r="N359" s="728" t="str">
        <f t="shared" si="137"/>
        <v/>
      </c>
      <c r="O359" s="728" t="str">
        <f t="shared" si="137"/>
        <v/>
      </c>
      <c r="P359" s="729">
        <f t="shared" ref="P359" si="138">SUM(D359:O359)</f>
        <v>0</v>
      </c>
      <c r="Q359" s="727">
        <f>(P359/12)</f>
        <v>0</v>
      </c>
      <c r="R359" s="787">
        <f>SUM(D$474:O$474)</f>
        <v>0</v>
      </c>
      <c r="S359" s="787">
        <f>R359/12</f>
        <v>0</v>
      </c>
      <c r="T359" s="787">
        <f>IF(Q359=0,0,S359/Q359)</f>
        <v>0</v>
      </c>
      <c r="U359" s="787"/>
      <c r="V359" s="787"/>
      <c r="W359" s="787"/>
      <c r="X359" s="787"/>
      <c r="Y359" s="787"/>
      <c r="Z359" s="787"/>
      <c r="AA359" s="787"/>
      <c r="AB359" s="787"/>
      <c r="AC359" s="787"/>
    </row>
    <row r="360" spans="1:29" ht="15.75" hidden="1" thickBot="1" x14ac:dyDescent="0.3">
      <c r="A360" s="670"/>
      <c r="B360" s="730" t="s">
        <v>192</v>
      </c>
      <c r="C360" s="730"/>
      <c r="D360" s="1030"/>
      <c r="E360" s="1030"/>
      <c r="F360" s="1030"/>
      <c r="G360" s="1030"/>
      <c r="H360" s="1030"/>
      <c r="I360" s="1030"/>
      <c r="J360" s="1030"/>
      <c r="K360" s="1030"/>
      <c r="L360" s="1030"/>
      <c r="M360" s="1030"/>
      <c r="N360" s="1030"/>
      <c r="O360" s="1030"/>
      <c r="P360" s="1038"/>
      <c r="Q360" s="727"/>
      <c r="R360" s="787"/>
      <c r="S360" s="787"/>
      <c r="T360" s="787"/>
      <c r="U360" s="787"/>
      <c r="V360" s="787"/>
      <c r="W360" s="787"/>
      <c r="X360" s="787"/>
      <c r="Y360" s="787"/>
      <c r="Z360" s="787"/>
      <c r="AA360" s="787"/>
      <c r="AB360" s="787"/>
      <c r="AC360" s="787"/>
    </row>
    <row r="361" spans="1:29" hidden="1" x14ac:dyDescent="0.25">
      <c r="A361" s="670"/>
      <c r="B361" s="1026" t="s">
        <v>233</v>
      </c>
      <c r="C361" s="1026"/>
      <c r="D361" s="1031"/>
      <c r="E361" s="1031"/>
      <c r="F361" s="1031"/>
      <c r="G361" s="1031"/>
      <c r="H361" s="1031"/>
      <c r="I361" s="1031"/>
      <c r="J361" s="1031"/>
      <c r="K361" s="1031"/>
      <c r="L361" s="1031"/>
      <c r="M361" s="1031"/>
      <c r="N361" s="1031"/>
      <c r="O361" s="1031"/>
      <c r="P361" s="1039"/>
      <c r="Q361" s="727"/>
      <c r="R361" s="787"/>
      <c r="S361" s="787"/>
      <c r="T361" s="787"/>
      <c r="U361" s="787"/>
      <c r="V361" s="787"/>
      <c r="W361" s="787"/>
      <c r="X361" s="787"/>
      <c r="Y361" s="787"/>
      <c r="Z361" s="787"/>
      <c r="AA361" s="787"/>
      <c r="AB361" s="787"/>
      <c r="AC361" s="787"/>
    </row>
    <row r="362" spans="1:29" hidden="1" x14ac:dyDescent="0.25">
      <c r="A362" s="670"/>
      <c r="B362" s="1026" t="s">
        <v>230</v>
      </c>
      <c r="C362" s="1026"/>
      <c r="D362" s="1031"/>
      <c r="E362" s="1031"/>
      <c r="F362" s="1031"/>
      <c r="G362" s="1031"/>
      <c r="H362" s="1031"/>
      <c r="I362" s="1031"/>
      <c r="J362" s="1031"/>
      <c r="K362" s="1031"/>
      <c r="L362" s="1031"/>
      <c r="M362" s="1031"/>
      <c r="N362" s="1031"/>
      <c r="O362" s="1031"/>
      <c r="P362" s="1039"/>
      <c r="Q362" s="727"/>
      <c r="R362" s="787"/>
      <c r="S362" s="787"/>
      <c r="T362" s="787"/>
      <c r="U362" s="787"/>
      <c r="V362" s="787"/>
      <c r="W362" s="787"/>
      <c r="X362" s="787"/>
      <c r="Y362" s="787"/>
      <c r="Z362" s="787"/>
      <c r="AA362" s="787"/>
      <c r="AB362" s="787"/>
      <c r="AC362" s="787"/>
    </row>
    <row r="363" spans="1:29" hidden="1" x14ac:dyDescent="0.25">
      <c r="A363" s="670"/>
      <c r="B363" s="1026" t="s">
        <v>231</v>
      </c>
      <c r="C363" s="1026"/>
      <c r="D363" s="1031"/>
      <c r="E363" s="1031"/>
      <c r="F363" s="1031"/>
      <c r="G363" s="1031"/>
      <c r="H363" s="1031"/>
      <c r="I363" s="1031"/>
      <c r="J363" s="1031"/>
      <c r="K363" s="1031"/>
      <c r="L363" s="1031"/>
      <c r="M363" s="1031"/>
      <c r="N363" s="1031"/>
      <c r="O363" s="1031"/>
      <c r="P363" s="1039"/>
      <c r="Q363" s="727"/>
      <c r="R363" s="787"/>
      <c r="S363" s="787"/>
      <c r="T363" s="787"/>
      <c r="U363" s="787"/>
      <c r="V363" s="787"/>
      <c r="W363" s="787"/>
      <c r="X363" s="787"/>
      <c r="Y363" s="787"/>
      <c r="Z363" s="787"/>
      <c r="AA363" s="787"/>
      <c r="AB363" s="787"/>
      <c r="AC363" s="787"/>
    </row>
    <row r="364" spans="1:29" ht="15.75" hidden="1" thickBot="1" x14ac:dyDescent="0.3">
      <c r="A364" s="670"/>
      <c r="B364" s="1026" t="s">
        <v>232</v>
      </c>
      <c r="C364" s="1026"/>
      <c r="D364" s="1031"/>
      <c r="E364" s="1031"/>
      <c r="F364" s="1031"/>
      <c r="G364" s="1031"/>
      <c r="H364" s="1031"/>
      <c r="I364" s="1031"/>
      <c r="J364" s="1031"/>
      <c r="K364" s="1031"/>
      <c r="L364" s="1031"/>
      <c r="M364" s="1031"/>
      <c r="N364" s="1031"/>
      <c r="O364" s="1031"/>
      <c r="P364" s="1039"/>
      <c r="Q364" s="727"/>
      <c r="R364" s="787"/>
      <c r="S364" s="787"/>
      <c r="T364" s="787"/>
      <c r="U364" s="787"/>
      <c r="V364" s="787"/>
      <c r="W364" s="787"/>
      <c r="X364" s="787"/>
      <c r="Y364" s="787"/>
      <c r="Z364" s="787"/>
      <c r="AA364" s="787"/>
      <c r="AB364" s="787"/>
      <c r="AC364" s="787"/>
    </row>
    <row r="365" spans="1:29" hidden="1" x14ac:dyDescent="0.25">
      <c r="A365" s="670"/>
      <c r="B365" s="711" t="s">
        <v>13</v>
      </c>
      <c r="C365" s="711"/>
      <c r="D365" s="1028"/>
      <c r="E365" s="1028"/>
      <c r="F365" s="1028"/>
      <c r="G365" s="1028"/>
      <c r="H365" s="1028"/>
      <c r="I365" s="1028"/>
      <c r="J365" s="1028"/>
      <c r="K365" s="1028"/>
      <c r="L365" s="1028"/>
      <c r="M365" s="1028"/>
      <c r="N365" s="1028"/>
      <c r="O365" s="1028"/>
      <c r="P365" s="1036"/>
      <c r="Q365" s="672"/>
      <c r="R365" s="783"/>
      <c r="S365" s="783"/>
      <c r="T365" s="783"/>
      <c r="U365" s="787"/>
      <c r="V365" s="787"/>
      <c r="W365" s="787"/>
      <c r="X365" s="787"/>
      <c r="Y365" s="787"/>
      <c r="Z365" s="787"/>
      <c r="AA365" s="787"/>
      <c r="AB365" s="787"/>
      <c r="AC365" s="787"/>
    </row>
    <row r="366" spans="1:29" hidden="1" x14ac:dyDescent="0.25">
      <c r="A366" s="670"/>
      <c r="B366" s="1010" t="s">
        <v>13</v>
      </c>
      <c r="C366" s="1010"/>
      <c r="D366" s="1029"/>
      <c r="E366" s="1029"/>
      <c r="F366" s="1029"/>
      <c r="G366" s="1029"/>
      <c r="H366" s="1029"/>
      <c r="I366" s="1029"/>
      <c r="J366" s="1029"/>
      <c r="K366" s="1029"/>
      <c r="L366" s="1029"/>
      <c r="M366" s="1029"/>
      <c r="N366" s="1029"/>
      <c r="O366" s="1029"/>
      <c r="P366" s="1037"/>
      <c r="Q366" s="672"/>
      <c r="R366" s="783"/>
      <c r="S366" s="783"/>
      <c r="T366" s="783"/>
      <c r="U366" s="787"/>
      <c r="V366" s="787"/>
      <c r="W366" s="787"/>
      <c r="X366" s="787"/>
      <c r="Y366" s="787"/>
      <c r="Z366" s="787"/>
      <c r="AA366" s="787"/>
      <c r="AB366" s="787"/>
      <c r="AC366" s="787"/>
    </row>
    <row r="367" spans="1:29" hidden="1" x14ac:dyDescent="0.25">
      <c r="A367" s="670"/>
      <c r="B367" s="733" t="s">
        <v>188</v>
      </c>
      <c r="C367" s="733"/>
      <c r="D367" s="728">
        <f>IF(D175="","",D557/D175)</f>
        <v>0</v>
      </c>
      <c r="E367" s="728">
        <f t="shared" ref="E367:O367" si="139">IF(E175="","",E557/E175)</f>
        <v>0</v>
      </c>
      <c r="F367" s="728">
        <f t="shared" si="139"/>
        <v>47.47234989945418</v>
      </c>
      <c r="G367" s="728">
        <f t="shared" si="139"/>
        <v>0</v>
      </c>
      <c r="H367" s="728">
        <f t="shared" si="139"/>
        <v>0</v>
      </c>
      <c r="I367" s="728">
        <f t="shared" si="139"/>
        <v>0</v>
      </c>
      <c r="J367" s="728">
        <f t="shared" si="139"/>
        <v>54.719872671422912</v>
      </c>
      <c r="K367" s="728">
        <f t="shared" si="139"/>
        <v>14.627832242712671</v>
      </c>
      <c r="L367" s="728" t="str">
        <f t="shared" si="139"/>
        <v/>
      </c>
      <c r="M367" s="728" t="str">
        <f t="shared" si="139"/>
        <v/>
      </c>
      <c r="N367" s="728" t="str">
        <f t="shared" si="139"/>
        <v/>
      </c>
      <c r="O367" s="728" t="str">
        <f t="shared" si="139"/>
        <v/>
      </c>
      <c r="P367" s="729">
        <f t="shared" ref="P367" si="140">SUM(D367:O367)</f>
        <v>116.82005481358976</v>
      </c>
      <c r="Q367" s="727">
        <f>(P367/12)</f>
        <v>9.7350045677991464</v>
      </c>
      <c r="R367" s="787">
        <f>SUM(D$549:O$549)</f>
        <v>334635</v>
      </c>
      <c r="S367" s="787">
        <f>R367/12</f>
        <v>27886.25</v>
      </c>
      <c r="T367" s="787">
        <f>IF(Q367=0,0,S367/Q367)</f>
        <v>2864.53383825216</v>
      </c>
      <c r="U367" s="787"/>
      <c r="V367" s="787"/>
      <c r="W367" s="787"/>
      <c r="X367" s="787"/>
      <c r="Y367" s="787"/>
      <c r="Z367" s="787"/>
      <c r="AA367" s="787"/>
      <c r="AB367" s="787"/>
      <c r="AC367" s="787"/>
    </row>
    <row r="368" spans="1:29" ht="15.75" hidden="1" thickBot="1" x14ac:dyDescent="0.3">
      <c r="A368" s="670"/>
      <c r="B368" s="730" t="s">
        <v>192</v>
      </c>
      <c r="C368" s="730"/>
      <c r="D368" s="1030"/>
      <c r="E368" s="1030"/>
      <c r="F368" s="1030"/>
      <c r="G368" s="1030"/>
      <c r="H368" s="1030"/>
      <c r="I368" s="1030"/>
      <c r="J368" s="1030"/>
      <c r="K368" s="1030"/>
      <c r="L368" s="1030"/>
      <c r="M368" s="1030"/>
      <c r="N368" s="1030"/>
      <c r="O368" s="1030"/>
      <c r="P368" s="1038"/>
      <c r="Q368" s="672"/>
      <c r="R368" s="787"/>
      <c r="S368" s="787"/>
      <c r="T368" s="787"/>
      <c r="U368" s="787"/>
      <c r="V368" s="787"/>
      <c r="W368" s="787"/>
      <c r="X368" s="787"/>
      <c r="Y368" s="787"/>
      <c r="Z368" s="787"/>
      <c r="AA368" s="787"/>
      <c r="AB368" s="787"/>
      <c r="AC368" s="787"/>
    </row>
    <row r="369" spans="1:29" hidden="1" x14ac:dyDescent="0.25">
      <c r="A369" s="670"/>
      <c r="B369" s="1026" t="s">
        <v>233</v>
      </c>
      <c r="C369" s="1026"/>
      <c r="D369" s="1031"/>
      <c r="E369" s="1031"/>
      <c r="F369" s="1031"/>
      <c r="G369" s="1031"/>
      <c r="H369" s="1031"/>
      <c r="I369" s="1031"/>
      <c r="J369" s="1031"/>
      <c r="K369" s="1031"/>
      <c r="L369" s="1031"/>
      <c r="M369" s="1031"/>
      <c r="N369" s="1031"/>
      <c r="O369" s="1031"/>
      <c r="P369" s="1039"/>
      <c r="Q369" s="727"/>
      <c r="R369" s="787"/>
      <c r="S369" s="787"/>
      <c r="T369" s="787"/>
      <c r="U369" s="787"/>
      <c r="V369" s="787"/>
      <c r="W369" s="787"/>
      <c r="X369" s="787"/>
      <c r="Y369" s="787"/>
      <c r="Z369" s="787"/>
      <c r="AA369" s="787"/>
      <c r="AB369" s="787"/>
      <c r="AC369" s="787"/>
    </row>
    <row r="370" spans="1:29" hidden="1" x14ac:dyDescent="0.25">
      <c r="A370" s="670"/>
      <c r="B370" s="1026" t="s">
        <v>230</v>
      </c>
      <c r="C370" s="1026"/>
      <c r="D370" s="1031"/>
      <c r="E370" s="1031"/>
      <c r="F370" s="1031"/>
      <c r="G370" s="1031"/>
      <c r="H370" s="1031"/>
      <c r="I370" s="1031"/>
      <c r="J370" s="1031"/>
      <c r="K370" s="1031"/>
      <c r="L370" s="1031"/>
      <c r="M370" s="1031"/>
      <c r="N370" s="1031"/>
      <c r="O370" s="1031"/>
      <c r="P370" s="1039"/>
      <c r="Q370" s="727"/>
      <c r="R370" s="787"/>
      <c r="S370" s="787"/>
      <c r="T370" s="787"/>
      <c r="U370" s="787"/>
      <c r="V370" s="787"/>
      <c r="W370" s="787"/>
      <c r="X370" s="787"/>
      <c r="Y370" s="787"/>
      <c r="Z370" s="787"/>
      <c r="AA370" s="787"/>
      <c r="AB370" s="787"/>
      <c r="AC370" s="787"/>
    </row>
    <row r="371" spans="1:29" hidden="1" x14ac:dyDescent="0.25">
      <c r="A371" s="670"/>
      <c r="B371" s="1026" t="s">
        <v>231</v>
      </c>
      <c r="C371" s="1026"/>
      <c r="D371" s="1031"/>
      <c r="E371" s="1031"/>
      <c r="F371" s="1031"/>
      <c r="G371" s="1031"/>
      <c r="H371" s="1031"/>
      <c r="I371" s="1031"/>
      <c r="J371" s="1031"/>
      <c r="K371" s="1031"/>
      <c r="L371" s="1031"/>
      <c r="M371" s="1031"/>
      <c r="N371" s="1031"/>
      <c r="O371" s="1031"/>
      <c r="P371" s="1039"/>
      <c r="Q371" s="727"/>
      <c r="R371" s="787"/>
      <c r="S371" s="787"/>
      <c r="T371" s="787"/>
      <c r="U371" s="787"/>
      <c r="V371" s="787"/>
      <c r="W371" s="787"/>
      <c r="X371" s="787"/>
      <c r="Y371" s="787"/>
      <c r="Z371" s="787"/>
      <c r="AA371" s="787"/>
      <c r="AB371" s="787"/>
      <c r="AC371" s="787"/>
    </row>
    <row r="372" spans="1:29" ht="15.75" hidden="1" thickBot="1" x14ac:dyDescent="0.3">
      <c r="A372" s="670"/>
      <c r="B372" s="1026" t="s">
        <v>232</v>
      </c>
      <c r="C372" s="1026"/>
      <c r="D372" s="1031"/>
      <c r="E372" s="1031"/>
      <c r="F372" s="1031"/>
      <c r="G372" s="1031"/>
      <c r="H372" s="1031"/>
      <c r="I372" s="1031"/>
      <c r="J372" s="1031"/>
      <c r="K372" s="1031"/>
      <c r="L372" s="1031"/>
      <c r="M372" s="1031"/>
      <c r="N372" s="1031"/>
      <c r="O372" s="1031"/>
      <c r="P372" s="1039"/>
      <c r="Q372" s="727"/>
      <c r="R372" s="787"/>
      <c r="S372" s="787"/>
      <c r="T372" s="787"/>
      <c r="U372" s="787"/>
      <c r="V372" s="787"/>
      <c r="W372" s="787"/>
      <c r="X372" s="787"/>
      <c r="Y372" s="787"/>
      <c r="Z372" s="787"/>
      <c r="AA372" s="787"/>
      <c r="AB372" s="787"/>
      <c r="AC372" s="787"/>
    </row>
    <row r="373" spans="1:29" hidden="1" x14ac:dyDescent="0.25">
      <c r="A373" s="670"/>
      <c r="B373" s="711" t="s">
        <v>14</v>
      </c>
      <c r="C373" s="711"/>
      <c r="D373" s="1028"/>
      <c r="E373" s="1028"/>
      <c r="F373" s="1028"/>
      <c r="G373" s="1028"/>
      <c r="H373" s="1028"/>
      <c r="I373" s="1028"/>
      <c r="J373" s="1028"/>
      <c r="K373" s="1028"/>
      <c r="L373" s="1028"/>
      <c r="M373" s="1028"/>
      <c r="N373" s="1028"/>
      <c r="O373" s="1028"/>
      <c r="P373" s="1036"/>
      <c r="Q373" s="672"/>
      <c r="R373" s="783"/>
      <c r="S373" s="783"/>
      <c r="T373" s="783"/>
      <c r="U373" s="787"/>
      <c r="V373" s="787"/>
      <c r="W373" s="787"/>
      <c r="X373" s="787"/>
      <c r="Y373" s="787"/>
      <c r="Z373" s="787"/>
      <c r="AA373" s="787"/>
      <c r="AB373" s="787"/>
      <c r="AC373" s="787"/>
    </row>
    <row r="374" spans="1:29" hidden="1" x14ac:dyDescent="0.25">
      <c r="A374" s="670"/>
      <c r="B374" s="1010" t="s">
        <v>14</v>
      </c>
      <c r="C374" s="1010"/>
      <c r="D374" s="1029"/>
      <c r="E374" s="1029"/>
      <c r="F374" s="1029"/>
      <c r="G374" s="1029"/>
      <c r="H374" s="1029"/>
      <c r="I374" s="1029"/>
      <c r="J374" s="1029"/>
      <c r="K374" s="1029"/>
      <c r="L374" s="1029"/>
      <c r="M374" s="1029"/>
      <c r="N374" s="1029"/>
      <c r="O374" s="1029"/>
      <c r="P374" s="1037"/>
      <c r="Q374" s="672"/>
      <c r="R374" s="783"/>
      <c r="S374" s="783"/>
      <c r="T374" s="783"/>
      <c r="U374" s="787"/>
      <c r="V374" s="787"/>
      <c r="W374" s="787"/>
      <c r="X374" s="787"/>
      <c r="Y374" s="787"/>
      <c r="Z374" s="787"/>
      <c r="AA374" s="787"/>
      <c r="AB374" s="787"/>
      <c r="AC374" s="787"/>
    </row>
    <row r="375" spans="1:29" hidden="1" x14ac:dyDescent="0.25">
      <c r="A375" s="670"/>
      <c r="B375" s="733" t="s">
        <v>188</v>
      </c>
      <c r="C375" s="733"/>
      <c r="D375" s="728" t="str">
        <f>IF(D178="","",D632/D178)</f>
        <v/>
      </c>
      <c r="E375" s="728" t="str">
        <f t="shared" ref="E375:O375" si="141">IF(E178="","",E632/E178)</f>
        <v/>
      </c>
      <c r="F375" s="728" t="str">
        <f t="shared" si="141"/>
        <v/>
      </c>
      <c r="G375" s="728">
        <f t="shared" si="141"/>
        <v>0</v>
      </c>
      <c r="H375" s="728">
        <f t="shared" si="141"/>
        <v>0</v>
      </c>
      <c r="I375" s="728">
        <f t="shared" si="141"/>
        <v>0</v>
      </c>
      <c r="J375" s="728">
        <f t="shared" si="141"/>
        <v>0</v>
      </c>
      <c r="K375" s="728">
        <f t="shared" si="141"/>
        <v>0</v>
      </c>
      <c r="L375" s="728" t="str">
        <f t="shared" si="141"/>
        <v/>
      </c>
      <c r="M375" s="728" t="str">
        <f t="shared" si="141"/>
        <v/>
      </c>
      <c r="N375" s="728" t="str">
        <f t="shared" si="141"/>
        <v/>
      </c>
      <c r="O375" s="728" t="str">
        <f t="shared" si="141"/>
        <v/>
      </c>
      <c r="P375" s="729">
        <f t="shared" ref="P375" si="142">SUM(D375:O375)</f>
        <v>0</v>
      </c>
      <c r="Q375" s="727">
        <f>(P375/12)</f>
        <v>0</v>
      </c>
      <c r="R375" s="787">
        <f>SUM(D$624:O$624)</f>
        <v>0</v>
      </c>
      <c r="S375" s="787">
        <f>R375/12</f>
        <v>0</v>
      </c>
      <c r="T375" s="787">
        <f>IF(Q375=0,0,S375/Q375)</f>
        <v>0</v>
      </c>
      <c r="U375" s="787"/>
      <c r="V375" s="787"/>
      <c r="W375" s="787"/>
      <c r="X375" s="787"/>
      <c r="Y375" s="787"/>
      <c r="Z375" s="787"/>
      <c r="AA375" s="787"/>
      <c r="AB375" s="787"/>
      <c r="AC375" s="787"/>
    </row>
    <row r="376" spans="1:29" ht="15.75" hidden="1" thickBot="1" x14ac:dyDescent="0.3">
      <c r="A376" s="670"/>
      <c r="B376" s="730" t="s">
        <v>192</v>
      </c>
      <c r="C376" s="730"/>
      <c r="D376" s="1030"/>
      <c r="E376" s="1030"/>
      <c r="F376" s="1030"/>
      <c r="G376" s="1030"/>
      <c r="H376" s="1030"/>
      <c r="I376" s="1030"/>
      <c r="J376" s="1030"/>
      <c r="K376" s="1030"/>
      <c r="L376" s="1030"/>
      <c r="M376" s="1030"/>
      <c r="N376" s="1030"/>
      <c r="O376" s="1030"/>
      <c r="P376" s="1038"/>
      <c r="Q376" s="672"/>
      <c r="R376" s="787"/>
      <c r="S376" s="787"/>
      <c r="T376" s="787"/>
      <c r="U376" s="787"/>
      <c r="V376" s="787"/>
      <c r="W376" s="787"/>
      <c r="X376" s="787"/>
      <c r="Y376" s="787"/>
      <c r="Z376" s="787"/>
      <c r="AA376" s="787"/>
      <c r="AB376" s="787"/>
      <c r="AC376" s="787"/>
    </row>
    <row r="377" spans="1:29" hidden="1" x14ac:dyDescent="0.25">
      <c r="A377" s="670"/>
      <c r="B377" s="1026" t="s">
        <v>233</v>
      </c>
      <c r="C377" s="1026"/>
      <c r="D377" s="1031"/>
      <c r="E377" s="1031"/>
      <c r="F377" s="1031"/>
      <c r="G377" s="1031"/>
      <c r="H377" s="1031"/>
      <c r="I377" s="1031"/>
      <c r="J377" s="1031"/>
      <c r="K377" s="1031"/>
      <c r="L377" s="1031"/>
      <c r="M377" s="1031"/>
      <c r="N377" s="1031"/>
      <c r="O377" s="1031"/>
      <c r="P377" s="1039"/>
      <c r="Q377" s="727"/>
      <c r="R377" s="787"/>
      <c r="S377" s="787"/>
      <c r="T377" s="787"/>
      <c r="U377" s="787"/>
      <c r="V377" s="787"/>
      <c r="W377" s="787"/>
      <c r="X377" s="787"/>
      <c r="Y377" s="787"/>
      <c r="Z377" s="787"/>
      <c r="AA377" s="787"/>
      <c r="AB377" s="787"/>
      <c r="AC377" s="787"/>
    </row>
    <row r="378" spans="1:29" hidden="1" x14ac:dyDescent="0.25">
      <c r="A378" s="670"/>
      <c r="B378" s="1026" t="s">
        <v>230</v>
      </c>
      <c r="C378" s="1026"/>
      <c r="D378" s="1031"/>
      <c r="E378" s="1031"/>
      <c r="F378" s="1031"/>
      <c r="G378" s="1031"/>
      <c r="H378" s="1031"/>
      <c r="I378" s="1031"/>
      <c r="J378" s="1031"/>
      <c r="K378" s="1031"/>
      <c r="L378" s="1031"/>
      <c r="M378" s="1031"/>
      <c r="N378" s="1031"/>
      <c r="O378" s="1031"/>
      <c r="P378" s="1039"/>
      <c r="Q378" s="727"/>
      <c r="R378" s="787"/>
      <c r="S378" s="787"/>
      <c r="T378" s="787"/>
      <c r="U378" s="787"/>
      <c r="V378" s="787"/>
      <c r="W378" s="787"/>
      <c r="X378" s="787"/>
      <c r="Y378" s="787"/>
      <c r="Z378" s="787"/>
      <c r="AA378" s="787"/>
      <c r="AB378" s="787"/>
      <c r="AC378" s="787"/>
    </row>
    <row r="379" spans="1:29" hidden="1" x14ac:dyDescent="0.25">
      <c r="A379" s="670"/>
      <c r="B379" s="1026" t="s">
        <v>234</v>
      </c>
      <c r="C379" s="1026"/>
      <c r="D379" s="1031"/>
      <c r="E379" s="1031"/>
      <c r="F379" s="1031"/>
      <c r="G379" s="1031"/>
      <c r="H379" s="1031"/>
      <c r="I379" s="1031"/>
      <c r="J379" s="1031"/>
      <c r="K379" s="1031"/>
      <c r="L379" s="1031"/>
      <c r="M379" s="1031"/>
      <c r="N379" s="1031"/>
      <c r="O379" s="1031"/>
      <c r="P379" s="1039"/>
      <c r="Q379" s="727"/>
      <c r="R379" s="787"/>
      <c r="S379" s="787"/>
      <c r="T379" s="787"/>
      <c r="U379" s="787"/>
      <c r="V379" s="787"/>
      <c r="W379" s="787"/>
      <c r="X379" s="787"/>
      <c r="Y379" s="787"/>
      <c r="Z379" s="787"/>
      <c r="AA379" s="787"/>
      <c r="AB379" s="787"/>
      <c r="AC379" s="787"/>
    </row>
    <row r="380" spans="1:29" hidden="1" x14ac:dyDescent="0.25">
      <c r="A380" s="670"/>
      <c r="B380" s="1026" t="s">
        <v>231</v>
      </c>
      <c r="C380" s="1026"/>
      <c r="D380" s="1031"/>
      <c r="E380" s="1031"/>
      <c r="F380" s="1031"/>
      <c r="G380" s="1031"/>
      <c r="H380" s="1031"/>
      <c r="I380" s="1031"/>
      <c r="J380" s="1031"/>
      <c r="K380" s="1031"/>
      <c r="L380" s="1031"/>
      <c r="M380" s="1031"/>
      <c r="N380" s="1031"/>
      <c r="O380" s="1031"/>
      <c r="P380" s="1039"/>
      <c r="Q380" s="727"/>
      <c r="R380" s="787"/>
      <c r="S380" s="787"/>
      <c r="T380" s="787"/>
      <c r="U380" s="787"/>
      <c r="V380" s="787"/>
      <c r="W380" s="787"/>
      <c r="X380" s="787"/>
      <c r="Y380" s="787"/>
      <c r="Z380" s="787"/>
      <c r="AA380" s="787"/>
      <c r="AB380" s="787"/>
      <c r="AC380" s="787"/>
    </row>
    <row r="381" spans="1:29" ht="15.75" hidden="1" thickBot="1" x14ac:dyDescent="0.3">
      <c r="A381" s="670"/>
      <c r="B381" s="1026" t="s">
        <v>232</v>
      </c>
      <c r="C381" s="1026"/>
      <c r="D381" s="1031"/>
      <c r="E381" s="1031"/>
      <c r="F381" s="1031"/>
      <c r="G381" s="1031"/>
      <c r="H381" s="1031"/>
      <c r="I381" s="1031"/>
      <c r="J381" s="1031"/>
      <c r="K381" s="1031"/>
      <c r="L381" s="1031"/>
      <c r="M381" s="1031"/>
      <c r="N381" s="1031"/>
      <c r="O381" s="1031"/>
      <c r="P381" s="1039"/>
      <c r="Q381" s="727"/>
      <c r="R381" s="787"/>
      <c r="S381" s="787"/>
      <c r="T381" s="787"/>
      <c r="U381" s="787"/>
      <c r="V381" s="787"/>
      <c r="W381" s="787"/>
      <c r="X381" s="787"/>
      <c r="Y381" s="787"/>
      <c r="Z381" s="787"/>
      <c r="AA381" s="787"/>
      <c r="AB381" s="787"/>
      <c r="AC381" s="787"/>
    </row>
    <row r="382" spans="1:29" hidden="1" x14ac:dyDescent="0.25">
      <c r="A382" s="670"/>
      <c r="B382" s="711" t="s">
        <v>174</v>
      </c>
      <c r="C382" s="711"/>
      <c r="D382" s="1028"/>
      <c r="E382" s="1028"/>
      <c r="F382" s="1028"/>
      <c r="G382" s="1028"/>
      <c r="H382" s="1028"/>
      <c r="I382" s="1028"/>
      <c r="J382" s="1028"/>
      <c r="K382" s="1028"/>
      <c r="L382" s="1028"/>
      <c r="M382" s="1028"/>
      <c r="N382" s="1028"/>
      <c r="O382" s="1028"/>
      <c r="P382" s="1036"/>
      <c r="Q382" s="672"/>
      <c r="R382" s="783"/>
      <c r="S382" s="783"/>
      <c r="T382" s="783"/>
      <c r="U382" s="787"/>
      <c r="V382" s="787"/>
      <c r="W382" s="787"/>
      <c r="X382" s="787"/>
      <c r="Y382" s="787"/>
      <c r="Z382" s="787"/>
      <c r="AA382" s="787"/>
      <c r="AB382" s="787"/>
      <c r="AC382" s="787"/>
    </row>
    <row r="383" spans="1:29" hidden="1" x14ac:dyDescent="0.25">
      <c r="A383" s="670"/>
      <c r="B383" s="1010" t="s">
        <v>174</v>
      </c>
      <c r="C383" s="1010"/>
      <c r="D383" s="1029"/>
      <c r="E383" s="1029"/>
      <c r="F383" s="1029"/>
      <c r="G383" s="1029"/>
      <c r="H383" s="1029"/>
      <c r="I383" s="1029"/>
      <c r="J383" s="1029"/>
      <c r="K383" s="1029"/>
      <c r="L383" s="1029"/>
      <c r="M383" s="1029"/>
      <c r="N383" s="1029"/>
      <c r="O383" s="1029"/>
      <c r="P383" s="1037"/>
      <c r="Q383" s="672"/>
      <c r="R383" s="783"/>
      <c r="S383" s="783"/>
      <c r="T383" s="783"/>
      <c r="U383" s="787"/>
      <c r="V383" s="787"/>
      <c r="W383" s="787"/>
      <c r="X383" s="787"/>
      <c r="Y383" s="787"/>
      <c r="Z383" s="787"/>
      <c r="AA383" s="787"/>
      <c r="AB383" s="787"/>
      <c r="AC383" s="787"/>
    </row>
    <row r="384" spans="1:29" hidden="1" x14ac:dyDescent="0.25">
      <c r="A384" s="670"/>
      <c r="B384" s="733" t="s">
        <v>188</v>
      </c>
      <c r="C384" s="733"/>
      <c r="D384" s="728">
        <f>IF(D181="","",D707/D181)</f>
        <v>0</v>
      </c>
      <c r="E384" s="728">
        <f t="shared" ref="E384:O384" si="143">IF(E181="","",E707/E181)</f>
        <v>0</v>
      </c>
      <c r="F384" s="728">
        <f t="shared" si="143"/>
        <v>0</v>
      </c>
      <c r="G384" s="728">
        <f t="shared" si="143"/>
        <v>0</v>
      </c>
      <c r="H384" s="728">
        <f t="shared" si="143"/>
        <v>0</v>
      </c>
      <c r="I384" s="728">
        <f t="shared" si="143"/>
        <v>0</v>
      </c>
      <c r="J384" s="728">
        <f t="shared" si="143"/>
        <v>0</v>
      </c>
      <c r="K384" s="728">
        <f t="shared" si="143"/>
        <v>0</v>
      </c>
      <c r="L384" s="728" t="str">
        <f t="shared" si="143"/>
        <v/>
      </c>
      <c r="M384" s="728" t="str">
        <f t="shared" si="143"/>
        <v/>
      </c>
      <c r="N384" s="728" t="str">
        <f t="shared" si="143"/>
        <v/>
      </c>
      <c r="O384" s="728" t="str">
        <f t="shared" si="143"/>
        <v/>
      </c>
      <c r="P384" s="729">
        <f t="shared" ref="P384" si="144">SUM(D384:O384)</f>
        <v>0</v>
      </c>
      <c r="Q384" s="727">
        <f>(P384/12)</f>
        <v>0</v>
      </c>
      <c r="R384" s="787">
        <f>SUM(D$699:O$699)</f>
        <v>0</v>
      </c>
      <c r="S384" s="787">
        <f>R384/12</f>
        <v>0</v>
      </c>
      <c r="T384" s="787">
        <f>IF(Q384=0,0,S384/Q384)</f>
        <v>0</v>
      </c>
      <c r="U384" s="787"/>
      <c r="V384" s="787"/>
      <c r="W384" s="787"/>
      <c r="X384" s="787"/>
      <c r="Y384" s="787"/>
      <c r="Z384" s="787"/>
      <c r="AA384" s="787"/>
      <c r="AB384" s="787"/>
      <c r="AC384" s="787"/>
    </row>
    <row r="385" spans="1:29" ht="15.75" hidden="1" thickBot="1" x14ac:dyDescent="0.3">
      <c r="A385" s="670"/>
      <c r="B385" s="730" t="s">
        <v>192</v>
      </c>
      <c r="C385" s="730"/>
      <c r="D385" s="1030"/>
      <c r="E385" s="1030"/>
      <c r="F385" s="1030"/>
      <c r="G385" s="1030"/>
      <c r="H385" s="1030"/>
      <c r="I385" s="1030"/>
      <c r="J385" s="1030"/>
      <c r="K385" s="1030"/>
      <c r="L385" s="1030"/>
      <c r="M385" s="1030"/>
      <c r="N385" s="1030"/>
      <c r="O385" s="1030"/>
      <c r="P385" s="1038"/>
      <c r="Q385" s="672"/>
      <c r="R385" s="787"/>
      <c r="S385" s="787"/>
      <c r="T385" s="787"/>
      <c r="U385" s="787"/>
      <c r="V385" s="787"/>
      <c r="W385" s="787"/>
      <c r="X385" s="787"/>
      <c r="Y385" s="787"/>
      <c r="Z385" s="787"/>
      <c r="AA385" s="787"/>
      <c r="AB385" s="787"/>
      <c r="AC385" s="787"/>
    </row>
    <row r="386" spans="1:29" hidden="1" x14ac:dyDescent="0.25">
      <c r="A386" s="670"/>
      <c r="B386" s="1026" t="s">
        <v>233</v>
      </c>
      <c r="C386" s="1026"/>
      <c r="D386" s="1031"/>
      <c r="E386" s="1031"/>
      <c r="F386" s="1031"/>
      <c r="G386" s="1031"/>
      <c r="H386" s="1031"/>
      <c r="I386" s="1031"/>
      <c r="J386" s="1031"/>
      <c r="K386" s="1031"/>
      <c r="L386" s="1031"/>
      <c r="M386" s="1031"/>
      <c r="N386" s="1031"/>
      <c r="O386" s="1031"/>
      <c r="P386" s="1039"/>
      <c r="Q386" s="727"/>
      <c r="R386" s="788"/>
      <c r="S386" s="787"/>
      <c r="T386" s="787"/>
      <c r="U386" s="787"/>
      <c r="V386" s="787"/>
      <c r="W386" s="787"/>
      <c r="X386" s="787"/>
      <c r="Y386" s="787"/>
      <c r="Z386" s="787"/>
      <c r="AA386" s="787"/>
      <c r="AB386" s="787"/>
      <c r="AC386" s="787"/>
    </row>
    <row r="387" spans="1:29" hidden="1" x14ac:dyDescent="0.25">
      <c r="A387" s="670"/>
      <c r="B387" s="1026" t="s">
        <v>230</v>
      </c>
      <c r="C387" s="1026"/>
      <c r="D387" s="1031"/>
      <c r="E387" s="1031"/>
      <c r="F387" s="1031"/>
      <c r="G387" s="1031"/>
      <c r="H387" s="1031"/>
      <c r="I387" s="1031"/>
      <c r="J387" s="1031"/>
      <c r="K387" s="1031"/>
      <c r="L387" s="1031"/>
      <c r="M387" s="1031"/>
      <c r="N387" s="1031"/>
      <c r="O387" s="1031"/>
      <c r="P387" s="1039"/>
      <c r="Q387" s="727"/>
      <c r="R387" s="788"/>
      <c r="S387" s="787"/>
      <c r="T387" s="787"/>
      <c r="U387" s="787"/>
      <c r="V387" s="787"/>
      <c r="W387" s="787"/>
      <c r="X387" s="787"/>
      <c r="Y387" s="787"/>
      <c r="Z387" s="787"/>
      <c r="AA387" s="787"/>
      <c r="AB387" s="787"/>
      <c r="AC387" s="787"/>
    </row>
    <row r="388" spans="1:29" hidden="1" x14ac:dyDescent="0.25">
      <c r="A388" s="670"/>
      <c r="B388" s="1026" t="s">
        <v>234</v>
      </c>
      <c r="C388" s="1026"/>
      <c r="D388" s="1031"/>
      <c r="E388" s="1031"/>
      <c r="F388" s="1031"/>
      <c r="G388" s="1031"/>
      <c r="H388" s="1031"/>
      <c r="I388" s="1031"/>
      <c r="J388" s="1031"/>
      <c r="K388" s="1031"/>
      <c r="L388" s="1031"/>
      <c r="M388" s="1031"/>
      <c r="N388" s="1031"/>
      <c r="O388" s="1031"/>
      <c r="P388" s="1039"/>
      <c r="Q388" s="727"/>
      <c r="R388" s="788"/>
      <c r="S388" s="787"/>
      <c r="T388" s="787"/>
      <c r="U388" s="787"/>
      <c r="V388" s="787"/>
      <c r="W388" s="787"/>
      <c r="X388" s="787"/>
      <c r="Y388" s="787"/>
      <c r="Z388" s="787"/>
      <c r="AA388" s="787"/>
      <c r="AB388" s="787"/>
      <c r="AC388" s="787"/>
    </row>
    <row r="389" spans="1:29" hidden="1" x14ac:dyDescent="0.25">
      <c r="A389" s="670"/>
      <c r="B389" s="1026" t="s">
        <v>231</v>
      </c>
      <c r="C389" s="1026"/>
      <c r="D389" s="1031"/>
      <c r="E389" s="1031"/>
      <c r="F389" s="1031"/>
      <c r="G389" s="1031"/>
      <c r="H389" s="1031"/>
      <c r="I389" s="1031"/>
      <c r="J389" s="1031"/>
      <c r="K389" s="1031"/>
      <c r="L389" s="1031"/>
      <c r="M389" s="1031"/>
      <c r="N389" s="1031"/>
      <c r="O389" s="1031"/>
      <c r="P389" s="1039"/>
      <c r="Q389" s="727"/>
      <c r="R389" s="788"/>
      <c r="S389" s="787"/>
      <c r="T389" s="787"/>
      <c r="U389" s="787"/>
      <c r="V389" s="787"/>
      <c r="W389" s="787"/>
      <c r="X389" s="787"/>
      <c r="Y389" s="787"/>
      <c r="Z389" s="787"/>
      <c r="AA389" s="787"/>
      <c r="AB389" s="787"/>
      <c r="AC389" s="787"/>
    </row>
    <row r="390" spans="1:29" ht="15.75" hidden="1" thickBot="1" x14ac:dyDescent="0.3">
      <c r="A390" s="670"/>
      <c r="B390" s="1026" t="s">
        <v>232</v>
      </c>
      <c r="C390" s="1026"/>
      <c r="D390" s="1031"/>
      <c r="E390" s="1031"/>
      <c r="F390" s="1031"/>
      <c r="G390" s="1031"/>
      <c r="H390" s="1031"/>
      <c r="I390" s="1031"/>
      <c r="J390" s="1031"/>
      <c r="K390" s="1031"/>
      <c r="L390" s="1031"/>
      <c r="M390" s="1031"/>
      <c r="N390" s="1031"/>
      <c r="O390" s="1031"/>
      <c r="P390" s="1039"/>
      <c r="Q390" s="727"/>
      <c r="R390" s="788"/>
      <c r="S390" s="787"/>
      <c r="T390" s="787"/>
      <c r="U390" s="787"/>
      <c r="V390" s="787"/>
      <c r="W390" s="787"/>
      <c r="X390" s="787"/>
      <c r="Y390" s="787"/>
      <c r="Z390" s="787"/>
      <c r="AA390" s="787"/>
      <c r="AB390" s="787"/>
      <c r="AC390" s="787"/>
    </row>
    <row r="391" spans="1:29" hidden="1" x14ac:dyDescent="0.25">
      <c r="A391" s="670"/>
      <c r="B391" s="711" t="s">
        <v>438</v>
      </c>
      <c r="C391" s="711"/>
      <c r="D391" s="1028"/>
      <c r="E391" s="1028"/>
      <c r="F391" s="1028"/>
      <c r="G391" s="1028"/>
      <c r="H391" s="1028"/>
      <c r="I391" s="1028"/>
      <c r="J391" s="1028"/>
      <c r="K391" s="1028"/>
      <c r="L391" s="1028"/>
      <c r="M391" s="1028"/>
      <c r="N391" s="1028"/>
      <c r="O391" s="1028"/>
      <c r="P391" s="1036"/>
      <c r="Q391" s="672"/>
      <c r="R391" s="783"/>
      <c r="S391" s="783"/>
      <c r="T391" s="783"/>
      <c r="U391" s="787"/>
      <c r="V391" s="787"/>
      <c r="W391" s="787"/>
      <c r="X391" s="787"/>
      <c r="Y391" s="787"/>
      <c r="Z391" s="787"/>
      <c r="AA391" s="787"/>
      <c r="AB391" s="787"/>
      <c r="AC391" s="787"/>
    </row>
    <row r="392" spans="1:29" hidden="1" x14ac:dyDescent="0.25">
      <c r="A392" s="670"/>
      <c r="B392" s="1010" t="s">
        <v>438</v>
      </c>
      <c r="C392" s="1010"/>
      <c r="D392" s="1029"/>
      <c r="E392" s="1029"/>
      <c r="F392" s="1029"/>
      <c r="G392" s="1029"/>
      <c r="H392" s="1029"/>
      <c r="I392" s="1029"/>
      <c r="J392" s="1029"/>
      <c r="K392" s="1029"/>
      <c r="L392" s="1029"/>
      <c r="M392" s="1029"/>
      <c r="N392" s="1029"/>
      <c r="O392" s="1029"/>
      <c r="P392" s="1037"/>
      <c r="Q392" s="727"/>
      <c r="R392" s="787"/>
      <c r="S392" s="787"/>
      <c r="T392" s="787"/>
      <c r="U392" s="787"/>
      <c r="V392" s="787"/>
      <c r="W392" s="787"/>
      <c r="X392" s="787"/>
      <c r="Y392" s="787"/>
      <c r="Z392" s="787"/>
      <c r="AA392" s="787"/>
      <c r="AB392" s="787"/>
      <c r="AC392" s="787"/>
    </row>
    <row r="393" spans="1:29" hidden="1" x14ac:dyDescent="0.25">
      <c r="A393" s="670"/>
      <c r="B393" s="733" t="s">
        <v>188</v>
      </c>
      <c r="C393" s="733"/>
      <c r="D393" s="728">
        <f>IF(D182="","",D784/D182)</f>
        <v>9.2781332954721467</v>
      </c>
      <c r="E393" s="728">
        <f t="shared" ref="E393:O393" si="145">IF(E182="","",E784/E182)</f>
        <v>6.1696757669471847</v>
      </c>
      <c r="F393" s="728">
        <f t="shared" si="145"/>
        <v>50.64321854234759</v>
      </c>
      <c r="G393" s="728">
        <f t="shared" si="145"/>
        <v>3.3435141971924831</v>
      </c>
      <c r="H393" s="728">
        <f t="shared" si="145"/>
        <v>2.1403647392433496</v>
      </c>
      <c r="I393" s="728">
        <f t="shared" si="145"/>
        <v>2.242924828104162</v>
      </c>
      <c r="J393" s="728">
        <f t="shared" si="145"/>
        <v>84.640852188340816</v>
      </c>
      <c r="K393" s="728">
        <f t="shared" si="145"/>
        <v>13.93439987566976</v>
      </c>
      <c r="L393" s="728" t="e">
        <f t="shared" si="145"/>
        <v>#DIV/0!</v>
      </c>
      <c r="M393" s="728" t="e">
        <f t="shared" si="145"/>
        <v>#DIV/0!</v>
      </c>
      <c r="N393" s="728" t="e">
        <f t="shared" si="145"/>
        <v>#DIV/0!</v>
      </c>
      <c r="O393" s="728" t="e">
        <f t="shared" si="145"/>
        <v>#DIV/0!</v>
      </c>
      <c r="P393" s="729" t="e">
        <f t="shared" ref="P393" si="146">SUM(D393:O393)</f>
        <v>#DIV/0!</v>
      </c>
      <c r="Q393" s="727" t="e">
        <f>(P393/12)</f>
        <v>#DIV/0!</v>
      </c>
      <c r="R393" s="787">
        <f>SUM(D$776:O$776)</f>
        <v>538749.80000000005</v>
      </c>
      <c r="S393" s="787">
        <f>R393/12</f>
        <v>44895.816666666673</v>
      </c>
      <c r="T393" s="787" t="e">
        <f>IF(Q393=0,0,S393/Q393)</f>
        <v>#DIV/0!</v>
      </c>
      <c r="U393" s="787"/>
      <c r="V393" s="787"/>
      <c r="W393" s="787"/>
      <c r="X393" s="787"/>
      <c r="Y393" s="787"/>
      <c r="Z393" s="787"/>
      <c r="AA393" s="787"/>
      <c r="AB393" s="787"/>
      <c r="AC393" s="787"/>
    </row>
    <row r="394" spans="1:29" ht="15.75" hidden="1" thickBot="1" x14ac:dyDescent="0.3">
      <c r="A394" s="670"/>
      <c r="B394" s="730" t="s">
        <v>192</v>
      </c>
      <c r="C394" s="730"/>
      <c r="D394" s="1030"/>
      <c r="E394" s="1030"/>
      <c r="F394" s="1030"/>
      <c r="G394" s="1030"/>
      <c r="H394" s="1030"/>
      <c r="I394" s="1030"/>
      <c r="J394" s="1030"/>
      <c r="K394" s="1030"/>
      <c r="L394" s="1030"/>
      <c r="M394" s="1030"/>
      <c r="N394" s="1030"/>
      <c r="O394" s="1030"/>
      <c r="P394" s="1038"/>
      <c r="Q394" s="727"/>
      <c r="R394" s="787"/>
      <c r="S394" s="787"/>
      <c r="T394" s="787"/>
      <c r="U394" s="787"/>
      <c r="V394" s="787"/>
      <c r="W394" s="787"/>
      <c r="X394" s="787"/>
      <c r="Y394" s="787"/>
      <c r="Z394" s="787"/>
      <c r="AA394" s="787"/>
      <c r="AB394" s="787"/>
      <c r="AC394" s="787"/>
    </row>
    <row r="395" spans="1:29" hidden="1" x14ac:dyDescent="0.25">
      <c r="A395" s="670"/>
      <c r="B395" s="1026" t="s">
        <v>233</v>
      </c>
      <c r="C395" s="1026"/>
      <c r="D395" s="1031"/>
      <c r="E395" s="1031"/>
      <c r="F395" s="1031"/>
      <c r="G395" s="1031"/>
      <c r="H395" s="1031"/>
      <c r="I395" s="1031"/>
      <c r="J395" s="1031"/>
      <c r="K395" s="1031"/>
      <c r="L395" s="1031"/>
      <c r="M395" s="1031"/>
      <c r="N395" s="1031"/>
      <c r="O395" s="1031"/>
      <c r="P395" s="1039"/>
      <c r="Q395" s="727"/>
      <c r="R395" s="787"/>
      <c r="S395" s="787"/>
      <c r="T395" s="787"/>
      <c r="U395" s="787"/>
      <c r="V395" s="787"/>
      <c r="W395" s="787"/>
      <c r="X395" s="787"/>
      <c r="Y395" s="787"/>
      <c r="Z395" s="787"/>
      <c r="AA395" s="787"/>
      <c r="AB395" s="787"/>
      <c r="AC395" s="787"/>
    </row>
    <row r="396" spans="1:29" hidden="1" x14ac:dyDescent="0.25">
      <c r="A396" s="670"/>
      <c r="B396" s="1026" t="s">
        <v>230</v>
      </c>
      <c r="C396" s="1026"/>
      <c r="D396" s="1031"/>
      <c r="E396" s="1031"/>
      <c r="F396" s="1031"/>
      <c r="G396" s="1031"/>
      <c r="H396" s="1031"/>
      <c r="I396" s="1031"/>
      <c r="J396" s="1031"/>
      <c r="K396" s="1031"/>
      <c r="L396" s="1031"/>
      <c r="M396" s="1031"/>
      <c r="N396" s="1031"/>
      <c r="O396" s="1031"/>
      <c r="P396" s="1039"/>
      <c r="Q396" s="727"/>
      <c r="R396" s="788"/>
      <c r="S396" s="787"/>
      <c r="T396" s="787"/>
      <c r="U396" s="787"/>
      <c r="V396" s="787"/>
      <c r="W396" s="787"/>
      <c r="X396" s="787"/>
      <c r="Y396" s="787"/>
      <c r="Z396" s="787"/>
      <c r="AA396" s="787"/>
      <c r="AB396" s="787"/>
      <c r="AC396" s="787"/>
    </row>
    <row r="397" spans="1:29" hidden="1" x14ac:dyDescent="0.25">
      <c r="A397" s="670"/>
      <c r="B397" s="1026" t="s">
        <v>234</v>
      </c>
      <c r="C397" s="1026"/>
      <c r="D397" s="1031"/>
      <c r="E397" s="1031"/>
      <c r="F397" s="1031"/>
      <c r="G397" s="1031"/>
      <c r="H397" s="1031"/>
      <c r="I397" s="1031"/>
      <c r="J397" s="1031"/>
      <c r="K397" s="1031"/>
      <c r="L397" s="1031"/>
      <c r="M397" s="1031"/>
      <c r="N397" s="1031"/>
      <c r="O397" s="1031"/>
      <c r="P397" s="1039"/>
      <c r="Q397" s="727"/>
      <c r="R397" s="788"/>
      <c r="S397" s="787"/>
      <c r="T397" s="787"/>
      <c r="U397" s="787"/>
      <c r="V397" s="787"/>
      <c r="W397" s="787"/>
      <c r="X397" s="787"/>
      <c r="Y397" s="787"/>
      <c r="Z397" s="787"/>
      <c r="AA397" s="787"/>
      <c r="AB397" s="787"/>
      <c r="AC397" s="787"/>
    </row>
    <row r="398" spans="1:29" hidden="1" x14ac:dyDescent="0.25">
      <c r="A398" s="670"/>
      <c r="B398" s="1026" t="s">
        <v>231</v>
      </c>
      <c r="C398" s="1026"/>
      <c r="D398" s="1031"/>
      <c r="E398" s="1031"/>
      <c r="F398" s="1031"/>
      <c r="G398" s="1031"/>
      <c r="H398" s="1031"/>
      <c r="I398" s="1031"/>
      <c r="J398" s="1031"/>
      <c r="K398" s="1031"/>
      <c r="L398" s="1031"/>
      <c r="M398" s="1031"/>
      <c r="N398" s="1031"/>
      <c r="O398" s="1031"/>
      <c r="P398" s="1039"/>
      <c r="Q398" s="727"/>
      <c r="R398" s="788"/>
      <c r="S398" s="787"/>
      <c r="T398" s="787"/>
      <c r="U398" s="787"/>
      <c r="V398" s="787"/>
      <c r="W398" s="787"/>
      <c r="X398" s="787"/>
      <c r="Y398" s="787"/>
      <c r="Z398" s="787"/>
      <c r="AA398" s="787"/>
      <c r="AB398" s="787"/>
      <c r="AC398" s="787"/>
    </row>
    <row r="399" spans="1:29" ht="15.75" hidden="1" thickBot="1" x14ac:dyDescent="0.3">
      <c r="A399" s="670"/>
      <c r="B399" s="1021" t="s">
        <v>232</v>
      </c>
      <c r="C399" s="1021"/>
      <c r="D399" s="1040"/>
      <c r="E399" s="1040"/>
      <c r="F399" s="1040"/>
      <c r="G399" s="1040"/>
      <c r="H399" s="1040"/>
      <c r="I399" s="1040"/>
      <c r="J399" s="1040"/>
      <c r="K399" s="1040"/>
      <c r="L399" s="1040"/>
      <c r="M399" s="1040"/>
      <c r="N399" s="1040"/>
      <c r="O399" s="1040"/>
      <c r="P399" s="1041"/>
      <c r="Q399" s="727"/>
      <c r="R399" s="788"/>
      <c r="S399" s="787"/>
      <c r="T399" s="787"/>
      <c r="U399" s="787"/>
      <c r="V399" s="787"/>
      <c r="W399" s="787"/>
      <c r="X399" s="787"/>
      <c r="Y399" s="787"/>
      <c r="Z399" s="787"/>
      <c r="AA399" s="787"/>
      <c r="AB399" s="787"/>
      <c r="AC399" s="787"/>
    </row>
    <row r="400" spans="1:29" hidden="1" x14ac:dyDescent="0.25">
      <c r="A400" s="670"/>
      <c r="B400" s="724"/>
      <c r="C400" s="300"/>
      <c r="D400" s="653"/>
      <c r="E400" s="653"/>
      <c r="F400" s="653"/>
      <c r="G400" s="653"/>
      <c r="H400" s="653"/>
      <c r="I400" s="653"/>
      <c r="J400" s="653"/>
      <c r="K400" s="653"/>
      <c r="L400" s="653"/>
      <c r="M400" s="653"/>
      <c r="N400" s="653"/>
      <c r="O400" s="653"/>
      <c r="P400" s="798"/>
      <c r="Q400" s="727"/>
      <c r="R400" s="788"/>
      <c r="S400" s="787"/>
      <c r="T400" s="787"/>
      <c r="U400" s="787"/>
      <c r="V400" s="787"/>
      <c r="W400" s="787"/>
      <c r="X400" s="787"/>
      <c r="Y400" s="787"/>
      <c r="Z400" s="787"/>
      <c r="AA400" s="787"/>
      <c r="AB400" s="787"/>
      <c r="AC400" s="787"/>
    </row>
    <row r="401" spans="1:29" hidden="1" x14ac:dyDescent="0.25">
      <c r="A401" s="670"/>
      <c r="B401" s="724"/>
      <c r="C401" s="300" t="s">
        <v>303</v>
      </c>
      <c r="D401" s="300" t="str">
        <f>D172</f>
        <v/>
      </c>
      <c r="E401" s="300" t="str">
        <f t="shared" ref="E401:O401" si="147">E172</f>
        <v/>
      </c>
      <c r="F401" s="300" t="str">
        <f t="shared" si="147"/>
        <v/>
      </c>
      <c r="G401" s="300" t="str">
        <f t="shared" si="147"/>
        <v/>
      </c>
      <c r="H401" s="300" t="str">
        <f t="shared" si="147"/>
        <v/>
      </c>
      <c r="I401" s="300" t="str">
        <f t="shared" si="147"/>
        <v/>
      </c>
      <c r="J401" s="300" t="str">
        <f t="shared" si="147"/>
        <v/>
      </c>
      <c r="K401" s="300" t="str">
        <f t="shared" si="147"/>
        <v/>
      </c>
      <c r="L401" s="300" t="str">
        <f t="shared" si="147"/>
        <v/>
      </c>
      <c r="M401" s="300" t="str">
        <f t="shared" si="147"/>
        <v/>
      </c>
      <c r="N401" s="300" t="str">
        <f t="shared" si="147"/>
        <v/>
      </c>
      <c r="O401" s="300" t="str">
        <f t="shared" si="147"/>
        <v/>
      </c>
      <c r="P401" s="798">
        <f>IF(SUM(D401:O401)=0,0,AVERAGE(D401:O401))</f>
        <v>0</v>
      </c>
      <c r="Q401" s="727"/>
      <c r="R401" s="788"/>
      <c r="S401" s="787"/>
      <c r="T401" s="787"/>
      <c r="U401" s="787"/>
      <c r="V401" s="787"/>
      <c r="W401" s="787"/>
      <c r="X401" s="787"/>
      <c r="Y401" s="787"/>
      <c r="Z401" s="787"/>
      <c r="AA401" s="787"/>
      <c r="AB401" s="787"/>
      <c r="AC401" s="787"/>
    </row>
    <row r="402" spans="1:29" hidden="1" x14ac:dyDescent="0.25">
      <c r="A402" s="670"/>
      <c r="B402" s="724"/>
      <c r="C402" s="300" t="s">
        <v>304</v>
      </c>
      <c r="D402" s="300">
        <f>D175</f>
        <v>1277.758867179522</v>
      </c>
      <c r="E402" s="300">
        <f t="shared" ref="E402:O402" si="148">E175</f>
        <v>1277.758867179522</v>
      </c>
      <c r="F402" s="300">
        <f t="shared" si="148"/>
        <v>3791.6808496153585</v>
      </c>
      <c r="G402" s="300">
        <f t="shared" si="148"/>
        <v>1046.7696916059635</v>
      </c>
      <c r="H402" s="300">
        <f t="shared" si="148"/>
        <v>694.46524610252573</v>
      </c>
      <c r="I402" s="300">
        <f t="shared" si="148"/>
        <v>694.46524610252573</v>
      </c>
      <c r="J402" s="300">
        <f t="shared" si="148"/>
        <v>2061.134182040983</v>
      </c>
      <c r="K402" s="300">
        <f t="shared" si="148"/>
        <v>2860.9844101027979</v>
      </c>
      <c r="L402" s="300" t="str">
        <f t="shared" si="148"/>
        <v/>
      </c>
      <c r="M402" s="300" t="str">
        <f t="shared" si="148"/>
        <v/>
      </c>
      <c r="N402" s="300" t="str">
        <f t="shared" si="148"/>
        <v/>
      </c>
      <c r="O402" s="300" t="str">
        <f t="shared" si="148"/>
        <v/>
      </c>
      <c r="P402" s="798">
        <f t="shared" ref="P402:P404" si="149">IF(SUM(D402:O402)=0,0,AVERAGE(D402:O402))</f>
        <v>1713.1271699911497</v>
      </c>
      <c r="Q402" s="727"/>
      <c r="R402" s="788"/>
      <c r="S402" s="787"/>
      <c r="T402" s="787"/>
      <c r="U402" s="787"/>
      <c r="V402" s="787"/>
      <c r="W402" s="787"/>
      <c r="X402" s="787"/>
      <c r="Y402" s="787"/>
      <c r="Z402" s="787"/>
      <c r="AA402" s="787"/>
      <c r="AB402" s="787"/>
      <c r="AC402" s="787"/>
    </row>
    <row r="403" spans="1:29" hidden="1" x14ac:dyDescent="0.25">
      <c r="A403" s="670"/>
      <c r="B403" s="724"/>
      <c r="C403" s="300" t="s">
        <v>446</v>
      </c>
      <c r="D403" s="300" t="str">
        <f>D178</f>
        <v/>
      </c>
      <c r="E403" s="300" t="str">
        <f t="shared" ref="E403:O403" si="150">E178</f>
        <v/>
      </c>
      <c r="F403" s="300" t="str">
        <f t="shared" si="150"/>
        <v/>
      </c>
      <c r="G403" s="300">
        <f t="shared" si="150"/>
        <v>3408.0604534005038</v>
      </c>
      <c r="H403" s="300">
        <f t="shared" si="150"/>
        <v>4114.2351419429506</v>
      </c>
      <c r="I403" s="300">
        <f t="shared" si="150"/>
        <v>4114.2351419429506</v>
      </c>
      <c r="J403" s="300">
        <f t="shared" si="150"/>
        <v>706.17468854244669</v>
      </c>
      <c r="K403" s="300">
        <f t="shared" si="150"/>
        <v>706.17468854244669</v>
      </c>
      <c r="L403" s="300" t="str">
        <f t="shared" si="150"/>
        <v/>
      </c>
      <c r="M403" s="300" t="str">
        <f t="shared" si="150"/>
        <v/>
      </c>
      <c r="N403" s="300" t="str">
        <f t="shared" si="150"/>
        <v/>
      </c>
      <c r="O403" s="300" t="str">
        <f t="shared" si="150"/>
        <v/>
      </c>
      <c r="P403" s="798">
        <f t="shared" si="149"/>
        <v>2609.77602287426</v>
      </c>
      <c r="Q403" s="727"/>
      <c r="R403" s="788"/>
      <c r="S403" s="787"/>
      <c r="T403" s="787"/>
      <c r="U403" s="787"/>
      <c r="V403" s="787"/>
      <c r="W403" s="787"/>
      <c r="X403" s="787"/>
      <c r="Y403" s="787"/>
      <c r="Z403" s="787"/>
      <c r="AA403" s="787"/>
      <c r="AB403" s="787"/>
      <c r="AC403" s="787"/>
    </row>
    <row r="404" spans="1:29" hidden="1" x14ac:dyDescent="0.25">
      <c r="A404" s="670"/>
      <c r="B404" s="724"/>
      <c r="C404" s="300" t="s">
        <v>308</v>
      </c>
      <c r="D404" s="300">
        <f>D181</f>
        <v>40.846892232282663</v>
      </c>
      <c r="E404" s="300">
        <f t="shared" ref="E404:O404" si="151">E181</f>
        <v>40.846892232282663</v>
      </c>
      <c r="F404" s="300">
        <f t="shared" si="151"/>
        <v>40.846892232282663</v>
      </c>
      <c r="G404" s="300">
        <f t="shared" si="151"/>
        <v>40.846892232282663</v>
      </c>
      <c r="H404" s="300">
        <f t="shared" si="151"/>
        <v>40.846892232282663</v>
      </c>
      <c r="I404" s="300">
        <f t="shared" si="151"/>
        <v>40.846892232282663</v>
      </c>
      <c r="J404" s="300">
        <f t="shared" si="151"/>
        <v>41.255361154605488</v>
      </c>
      <c r="K404" s="300">
        <f t="shared" si="151"/>
        <v>41.255361154605488</v>
      </c>
      <c r="L404" s="300" t="str">
        <f t="shared" si="151"/>
        <v/>
      </c>
      <c r="M404" s="300" t="str">
        <f t="shared" si="151"/>
        <v/>
      </c>
      <c r="N404" s="300" t="str">
        <f t="shared" si="151"/>
        <v/>
      </c>
      <c r="O404" s="300" t="str">
        <f t="shared" si="151"/>
        <v/>
      </c>
      <c r="P404" s="798">
        <f t="shared" si="149"/>
        <v>40.949009462863373</v>
      </c>
      <c r="Q404" s="727"/>
      <c r="R404" s="788"/>
      <c r="S404" s="787"/>
      <c r="T404" s="787"/>
      <c r="U404" s="787"/>
      <c r="V404" s="787"/>
      <c r="W404" s="787"/>
      <c r="X404" s="787"/>
      <c r="Y404" s="787"/>
      <c r="Z404" s="787"/>
      <c r="AA404" s="787"/>
      <c r="AB404" s="787"/>
      <c r="AC404" s="787"/>
    </row>
    <row r="405" spans="1:29" hidden="1" x14ac:dyDescent="0.25">
      <c r="A405" s="670"/>
      <c r="B405" s="724"/>
      <c r="C405" s="300"/>
      <c r="D405" s="300">
        <f>SUM(D401:D404)</f>
        <v>1318.6057594118047</v>
      </c>
      <c r="E405" s="300">
        <f t="shared" ref="E405:O405" si="152">SUM(E401:E404)</f>
        <v>1318.6057594118047</v>
      </c>
      <c r="F405" s="300">
        <f t="shared" si="152"/>
        <v>3832.5277418476412</v>
      </c>
      <c r="G405" s="300">
        <f t="shared" si="152"/>
        <v>4495.67703723875</v>
      </c>
      <c r="H405" s="300">
        <f t="shared" si="152"/>
        <v>4849.5472802777585</v>
      </c>
      <c r="I405" s="300">
        <f t="shared" si="152"/>
        <v>4849.5472802777585</v>
      </c>
      <c r="J405" s="300">
        <f t="shared" si="152"/>
        <v>2808.5642317380352</v>
      </c>
      <c r="K405" s="300">
        <f t="shared" si="152"/>
        <v>3608.4144597998502</v>
      </c>
      <c r="L405" s="300">
        <f t="shared" si="152"/>
        <v>0</v>
      </c>
      <c r="M405" s="300">
        <f t="shared" si="152"/>
        <v>0</v>
      </c>
      <c r="N405" s="300">
        <f t="shared" si="152"/>
        <v>0</v>
      </c>
      <c r="O405" s="300">
        <f t="shared" si="152"/>
        <v>0</v>
      </c>
      <c r="P405" s="792">
        <f t="shared" ref="P405" si="153">AVERAGE(D405:O405)</f>
        <v>2256.7907958336168</v>
      </c>
      <c r="Q405" s="727"/>
      <c r="R405" s="788"/>
      <c r="S405" s="787"/>
      <c r="T405" s="787"/>
      <c r="U405" s="787"/>
      <c r="V405" s="787"/>
      <c r="W405" s="787"/>
      <c r="X405" s="787"/>
      <c r="Y405" s="787"/>
      <c r="Z405" s="787"/>
      <c r="AA405" s="787"/>
      <c r="AB405" s="787"/>
      <c r="AC405" s="787"/>
    </row>
    <row r="406" spans="1:29" ht="15.75" hidden="1" thickBot="1" x14ac:dyDescent="0.3">
      <c r="A406" s="701"/>
      <c r="B406" s="702"/>
      <c r="C406" s="702"/>
      <c r="D406" s="702"/>
      <c r="E406" s="702"/>
      <c r="F406" s="702"/>
      <c r="G406" s="702"/>
      <c r="H406" s="702"/>
      <c r="I406" s="702"/>
      <c r="J406" s="702"/>
      <c r="K406" s="702"/>
      <c r="L406" s="702"/>
      <c r="M406" s="702"/>
      <c r="N406" s="702"/>
      <c r="O406" s="702"/>
      <c r="P406" s="702"/>
      <c r="Q406" s="723"/>
    </row>
    <row r="407" spans="1:29" ht="15.75" hidden="1" thickTop="1" x14ac:dyDescent="0.25"/>
    <row r="408" spans="1:29" ht="15.75" hidden="1" thickBot="1" x14ac:dyDescent="0.3"/>
    <row r="409" spans="1:29" ht="16.5" hidden="1" thickTop="1" thickBot="1" x14ac:dyDescent="0.3">
      <c r="A409" s="734"/>
      <c r="B409" s="735" t="s">
        <v>124</v>
      </c>
      <c r="C409" s="736"/>
      <c r="D409" s="736"/>
      <c r="E409" s="736"/>
      <c r="F409" s="736"/>
      <c r="G409" s="736"/>
      <c r="H409" s="736"/>
      <c r="I409" s="736"/>
      <c r="J409" s="736"/>
      <c r="K409" s="736"/>
      <c r="L409" s="736"/>
      <c r="M409" s="736"/>
      <c r="N409" s="736"/>
      <c r="O409" s="736"/>
      <c r="P409" s="737"/>
      <c r="Q409" s="738"/>
      <c r="R409" s="783"/>
      <c r="S409" s="783"/>
      <c r="T409" s="783"/>
      <c r="U409" s="783"/>
      <c r="V409" s="783"/>
      <c r="W409" s="783"/>
      <c r="X409" s="783"/>
      <c r="Y409" s="783"/>
    </row>
    <row r="410" spans="1:29" ht="15.75" hidden="1" thickTop="1" x14ac:dyDescent="0.25">
      <c r="A410" s="670"/>
      <c r="B410" s="224" t="s">
        <v>12</v>
      </c>
      <c r="C410" s="228" t="s">
        <v>206</v>
      </c>
      <c r="D410" s="228"/>
      <c r="E410" s="228"/>
      <c r="F410" s="228"/>
      <c r="G410" s="228"/>
      <c r="H410" s="228"/>
      <c r="I410" s="228"/>
      <c r="J410" s="228"/>
      <c r="K410" s="228"/>
      <c r="L410" s="228"/>
      <c r="M410" s="228"/>
      <c r="N410" s="228"/>
      <c r="O410" s="228"/>
      <c r="P410" s="300"/>
      <c r="Q410" s="672"/>
      <c r="R410" s="783"/>
      <c r="S410" s="783"/>
      <c r="T410" s="783"/>
      <c r="U410" s="783"/>
      <c r="V410" s="783"/>
      <c r="W410" s="783"/>
      <c r="X410" s="783"/>
      <c r="Y410" s="783"/>
    </row>
    <row r="411" spans="1:29" hidden="1" x14ac:dyDescent="0.25">
      <c r="A411" s="670">
        <v>1</v>
      </c>
      <c r="B411" s="739" t="str">
        <f>SAÍDAS!C31</f>
        <v>Mão de Obra</v>
      </c>
      <c r="C411" s="300">
        <f t="shared" ref="C411:C450" si="154">SUM(D411:O411)</f>
        <v>0</v>
      </c>
      <c r="D411" s="300">
        <f>SAÍDAS!E31*(SAÍDAS!$U31/100)</f>
        <v>0</v>
      </c>
      <c r="E411" s="300">
        <f>SAÍDAS!F31*(SAÍDAS!$U31/100)</f>
        <v>0</v>
      </c>
      <c r="F411" s="300">
        <f>SAÍDAS!G31*(SAÍDAS!$U31/100)</f>
        <v>0</v>
      </c>
      <c r="G411" s="300">
        <f>SAÍDAS!H31*(SAÍDAS!$U31/100)</f>
        <v>0</v>
      </c>
      <c r="H411" s="300">
        <f>SAÍDAS!I31*(SAÍDAS!$U31/100)</f>
        <v>0</v>
      </c>
      <c r="I411" s="300">
        <f>SAÍDAS!J31*(SAÍDAS!$U31/100)</f>
        <v>0</v>
      </c>
      <c r="J411" s="300">
        <f>SAÍDAS!K31*(SAÍDAS!$U31/100)</f>
        <v>0</v>
      </c>
      <c r="K411" s="300">
        <f>SAÍDAS!L31*(SAÍDAS!$U31/100)</f>
        <v>0</v>
      </c>
      <c r="L411" s="300">
        <f>SAÍDAS!M31*(SAÍDAS!$U31/100)</f>
        <v>0</v>
      </c>
      <c r="M411" s="300">
        <f>SAÍDAS!N31*(SAÍDAS!$U31/100)</f>
        <v>0</v>
      </c>
      <c r="N411" s="300">
        <f>SAÍDAS!O31*(SAÍDAS!$U31/100)</f>
        <v>0</v>
      </c>
      <c r="O411" s="300">
        <f>SAÍDAS!P31*(SAÍDAS!$U31/100)</f>
        <v>0</v>
      </c>
      <c r="P411" s="224"/>
      <c r="Q411" s="672"/>
      <c r="R411" s="783"/>
      <c r="S411" s="783"/>
      <c r="T411" s="783"/>
      <c r="U411" s="783"/>
      <c r="V411" s="783"/>
      <c r="W411" s="783"/>
      <c r="X411" s="783"/>
      <c r="Y411" s="783"/>
    </row>
    <row r="412" spans="1:29" hidden="1" x14ac:dyDescent="0.25">
      <c r="A412" s="670">
        <v>2</v>
      </c>
      <c r="B412" s="739" t="str">
        <f>SAÍDAS!C32</f>
        <v>Mão de Obra</v>
      </c>
      <c r="C412" s="300">
        <f t="shared" si="154"/>
        <v>0</v>
      </c>
      <c r="D412" s="300">
        <f>SAÍDAS!E32*(SAÍDAS!$U32/100)</f>
        <v>0</v>
      </c>
      <c r="E412" s="300">
        <f>SAÍDAS!F32*(SAÍDAS!$U32/100)</f>
        <v>0</v>
      </c>
      <c r="F412" s="300">
        <f>SAÍDAS!G32*(SAÍDAS!$U32/100)</f>
        <v>0</v>
      </c>
      <c r="G412" s="300">
        <f>SAÍDAS!H32*(SAÍDAS!$U32/100)</f>
        <v>0</v>
      </c>
      <c r="H412" s="300">
        <f>SAÍDAS!I32*(SAÍDAS!$U32/100)</f>
        <v>0</v>
      </c>
      <c r="I412" s="300">
        <f>SAÍDAS!J32*(SAÍDAS!$U32/100)</f>
        <v>0</v>
      </c>
      <c r="J412" s="300">
        <f>SAÍDAS!K32*(SAÍDAS!$U32/100)</f>
        <v>0</v>
      </c>
      <c r="K412" s="300">
        <f>SAÍDAS!L32*(SAÍDAS!$U32/100)</f>
        <v>0</v>
      </c>
      <c r="L412" s="300">
        <f>SAÍDAS!M32*(SAÍDAS!$U32/100)</f>
        <v>0</v>
      </c>
      <c r="M412" s="300">
        <f>SAÍDAS!N32*(SAÍDAS!$U32/100)</f>
        <v>0</v>
      </c>
      <c r="N412" s="300">
        <f>SAÍDAS!O32*(SAÍDAS!$U32/100)</f>
        <v>0</v>
      </c>
      <c r="O412" s="300">
        <f>SAÍDAS!P32*(SAÍDAS!$U32/100)</f>
        <v>0</v>
      </c>
      <c r="P412" s="300"/>
      <c r="Q412" s="672"/>
      <c r="R412" s="783"/>
      <c r="S412" s="783"/>
      <c r="T412" s="783"/>
      <c r="U412" s="783"/>
      <c r="V412" s="783"/>
      <c r="W412" s="783"/>
      <c r="X412" s="783"/>
      <c r="Y412" s="783"/>
    </row>
    <row r="413" spans="1:29" hidden="1" x14ac:dyDescent="0.25">
      <c r="A413" s="670">
        <v>3</v>
      </c>
      <c r="B413" s="739" t="str">
        <f>SAÍDAS!C33</f>
        <v>Mão de Obra</v>
      </c>
      <c r="C413" s="300">
        <f t="shared" si="154"/>
        <v>0</v>
      </c>
      <c r="D413" s="300">
        <f>SAÍDAS!E33*(SAÍDAS!$U33/100)</f>
        <v>0</v>
      </c>
      <c r="E413" s="300">
        <f>SAÍDAS!F33*(SAÍDAS!$U33/100)</f>
        <v>0</v>
      </c>
      <c r="F413" s="300">
        <f>SAÍDAS!G33*(SAÍDAS!$U33/100)</f>
        <v>0</v>
      </c>
      <c r="G413" s="300">
        <f>SAÍDAS!H33*(SAÍDAS!$U33/100)</f>
        <v>0</v>
      </c>
      <c r="H413" s="300">
        <f>SAÍDAS!I33*(SAÍDAS!$U33/100)</f>
        <v>0</v>
      </c>
      <c r="I413" s="300">
        <f>SAÍDAS!J33*(SAÍDAS!$U33/100)</f>
        <v>0</v>
      </c>
      <c r="J413" s="300">
        <f>SAÍDAS!K33*(SAÍDAS!$U33/100)</f>
        <v>0</v>
      </c>
      <c r="K413" s="300">
        <f>SAÍDAS!L33*(SAÍDAS!$U33/100)</f>
        <v>0</v>
      </c>
      <c r="L413" s="300">
        <f>SAÍDAS!M33*(SAÍDAS!$U33/100)</f>
        <v>0</v>
      </c>
      <c r="M413" s="300">
        <f>SAÍDAS!N33*(SAÍDAS!$U33/100)</f>
        <v>0</v>
      </c>
      <c r="N413" s="300">
        <f>SAÍDAS!O33*(SAÍDAS!$U33/100)</f>
        <v>0</v>
      </c>
      <c r="O413" s="300">
        <f>SAÍDAS!P33*(SAÍDAS!$U33/100)</f>
        <v>0</v>
      </c>
      <c r="P413" s="300"/>
      <c r="Q413" s="672"/>
      <c r="R413" s="783"/>
      <c r="S413" s="783"/>
      <c r="T413" s="783"/>
      <c r="U413" s="783"/>
      <c r="V413" s="783"/>
      <c r="W413" s="783"/>
      <c r="X413" s="783"/>
      <c r="Y413" s="783"/>
    </row>
    <row r="414" spans="1:29" hidden="1" x14ac:dyDescent="0.25">
      <c r="A414" s="670">
        <v>4</v>
      </c>
      <c r="B414" s="739" t="str">
        <f>SAÍDAS!C34</f>
        <v>Serviços Terceirizados</v>
      </c>
      <c r="C414" s="300">
        <f t="shared" si="154"/>
        <v>0</v>
      </c>
      <c r="D414" s="300">
        <f>SAÍDAS!E34*(SAÍDAS!$U34/100)</f>
        <v>0</v>
      </c>
      <c r="E414" s="300">
        <f>SAÍDAS!F34*(SAÍDAS!$U34/100)</f>
        <v>0</v>
      </c>
      <c r="F414" s="300">
        <f>SAÍDAS!G34*(SAÍDAS!$U34/100)</f>
        <v>0</v>
      </c>
      <c r="G414" s="300">
        <f>SAÍDAS!H34*(SAÍDAS!$U34/100)</f>
        <v>0</v>
      </c>
      <c r="H414" s="300">
        <f>SAÍDAS!I34*(SAÍDAS!$U34/100)</f>
        <v>0</v>
      </c>
      <c r="I414" s="300">
        <f>SAÍDAS!J34*(SAÍDAS!$U34/100)</f>
        <v>0</v>
      </c>
      <c r="J414" s="300">
        <f>SAÍDAS!K34*(SAÍDAS!$U34/100)</f>
        <v>0</v>
      </c>
      <c r="K414" s="300">
        <f>SAÍDAS!L34*(SAÍDAS!$U34/100)</f>
        <v>0</v>
      </c>
      <c r="L414" s="300">
        <f>SAÍDAS!M34*(SAÍDAS!$U34/100)</f>
        <v>0</v>
      </c>
      <c r="M414" s="300">
        <f>SAÍDAS!N34*(SAÍDAS!$U34/100)</f>
        <v>0</v>
      </c>
      <c r="N414" s="300">
        <f>SAÍDAS!O34*(SAÍDAS!$U34/100)</f>
        <v>0</v>
      </c>
      <c r="O414" s="300">
        <f>SAÍDAS!P34*(SAÍDAS!$U34/100)</f>
        <v>0</v>
      </c>
      <c r="P414" s="300"/>
      <c r="Q414" s="672"/>
      <c r="R414" s="783"/>
      <c r="S414" s="783"/>
      <c r="T414" s="783"/>
      <c r="U414" s="783"/>
      <c r="V414" s="783"/>
      <c r="W414" s="783"/>
      <c r="X414" s="783"/>
      <c r="Y414" s="783"/>
    </row>
    <row r="415" spans="1:29" hidden="1" x14ac:dyDescent="0.25">
      <c r="A415" s="670">
        <v>5</v>
      </c>
      <c r="B415" s="739" t="str">
        <f>SAÍDAS!C35</f>
        <v>Alimentação</v>
      </c>
      <c r="C415" s="300">
        <f t="shared" si="154"/>
        <v>0</v>
      </c>
      <c r="D415" s="300">
        <f>SAÍDAS!E35*(SAÍDAS!$U35/100)</f>
        <v>0</v>
      </c>
      <c r="E415" s="300">
        <f>SAÍDAS!F35*(SAÍDAS!$U35/100)</f>
        <v>0</v>
      </c>
      <c r="F415" s="300">
        <f>SAÍDAS!G35*(SAÍDAS!$U35/100)</f>
        <v>0</v>
      </c>
      <c r="G415" s="300">
        <f>SAÍDAS!H35*(SAÍDAS!$U35/100)</f>
        <v>0</v>
      </c>
      <c r="H415" s="300">
        <f>SAÍDAS!I35*(SAÍDAS!$U35/100)</f>
        <v>0</v>
      </c>
      <c r="I415" s="300">
        <f>SAÍDAS!J35*(SAÍDAS!$U35/100)</f>
        <v>0</v>
      </c>
      <c r="J415" s="300">
        <f>SAÍDAS!K35*(SAÍDAS!$U35/100)</f>
        <v>0</v>
      </c>
      <c r="K415" s="300">
        <f>SAÍDAS!L35*(SAÍDAS!$U35/100)</f>
        <v>0</v>
      </c>
      <c r="L415" s="300">
        <f>SAÍDAS!M35*(SAÍDAS!$U35/100)</f>
        <v>0</v>
      </c>
      <c r="M415" s="300">
        <f>SAÍDAS!N35*(SAÍDAS!$U35/100)</f>
        <v>0</v>
      </c>
      <c r="N415" s="300">
        <f>SAÍDAS!O35*(SAÍDAS!$U35/100)</f>
        <v>0</v>
      </c>
      <c r="O415" s="300">
        <f>SAÍDAS!P35*(SAÍDAS!$U35/100)</f>
        <v>0</v>
      </c>
      <c r="P415" s="300"/>
      <c r="Q415" s="672"/>
      <c r="R415" s="783"/>
      <c r="S415" s="783"/>
      <c r="T415" s="783"/>
      <c r="U415" s="783"/>
      <c r="V415" s="783"/>
      <c r="W415" s="783"/>
      <c r="X415" s="783"/>
      <c r="Y415" s="783"/>
    </row>
    <row r="416" spans="1:29" hidden="1" x14ac:dyDescent="0.25">
      <c r="A416" s="670">
        <v>6</v>
      </c>
      <c r="B416" s="739" t="str">
        <f>SAÍDAS!C36</f>
        <v>Alimentação</v>
      </c>
      <c r="C416" s="300">
        <f t="shared" si="154"/>
        <v>0</v>
      </c>
      <c r="D416" s="300">
        <f>SAÍDAS!E36*(SAÍDAS!$U36/100)</f>
        <v>0</v>
      </c>
      <c r="E416" s="300">
        <f>SAÍDAS!F36*(SAÍDAS!$U36/100)</f>
        <v>0</v>
      </c>
      <c r="F416" s="300">
        <f>SAÍDAS!G36*(SAÍDAS!$U36/100)</f>
        <v>0</v>
      </c>
      <c r="G416" s="300">
        <f>SAÍDAS!H36*(SAÍDAS!$U36/100)</f>
        <v>0</v>
      </c>
      <c r="H416" s="300">
        <f>SAÍDAS!I36*(SAÍDAS!$U36/100)</f>
        <v>0</v>
      </c>
      <c r="I416" s="300">
        <f>SAÍDAS!J36*(SAÍDAS!$U36/100)</f>
        <v>0</v>
      </c>
      <c r="J416" s="300">
        <f>SAÍDAS!K36*(SAÍDAS!$U36/100)</f>
        <v>0</v>
      </c>
      <c r="K416" s="300">
        <f>SAÍDAS!L36*(SAÍDAS!$U36/100)</f>
        <v>0</v>
      </c>
      <c r="L416" s="300">
        <f>SAÍDAS!M36*(SAÍDAS!$U36/100)</f>
        <v>0</v>
      </c>
      <c r="M416" s="300">
        <f>SAÍDAS!N36*(SAÍDAS!$U36/100)</f>
        <v>0</v>
      </c>
      <c r="N416" s="300">
        <f>SAÍDAS!O36*(SAÍDAS!$U36/100)</f>
        <v>0</v>
      </c>
      <c r="O416" s="300">
        <f>SAÍDAS!P36*(SAÍDAS!$U36/100)</f>
        <v>0</v>
      </c>
      <c r="P416" s="300"/>
      <c r="Q416" s="672"/>
      <c r="R416" s="783"/>
      <c r="S416" s="783"/>
      <c r="T416" s="783"/>
      <c r="U416" s="783"/>
      <c r="V416" s="783"/>
      <c r="W416" s="783"/>
      <c r="X416" s="783"/>
      <c r="Y416" s="783"/>
    </row>
    <row r="417" spans="1:25" hidden="1" x14ac:dyDescent="0.25">
      <c r="A417" s="670">
        <v>7</v>
      </c>
      <c r="B417" s="739" t="str">
        <f>SAÍDAS!C37</f>
        <v>Alimentação</v>
      </c>
      <c r="C417" s="300">
        <f t="shared" si="154"/>
        <v>0</v>
      </c>
      <c r="D417" s="300">
        <f>SAÍDAS!E37*(SAÍDAS!$U37/100)</f>
        <v>0</v>
      </c>
      <c r="E417" s="300">
        <f>SAÍDAS!F37*(SAÍDAS!$U37/100)</f>
        <v>0</v>
      </c>
      <c r="F417" s="300">
        <f>SAÍDAS!G37*(SAÍDAS!$U37/100)</f>
        <v>0</v>
      </c>
      <c r="G417" s="300">
        <f>SAÍDAS!H37*(SAÍDAS!$U37/100)</f>
        <v>0</v>
      </c>
      <c r="H417" s="300">
        <f>SAÍDAS!I37*(SAÍDAS!$U37/100)</f>
        <v>0</v>
      </c>
      <c r="I417" s="300">
        <f>SAÍDAS!J37*(SAÍDAS!$U37/100)</f>
        <v>0</v>
      </c>
      <c r="J417" s="300">
        <f>SAÍDAS!K37*(SAÍDAS!$U37/100)</f>
        <v>0</v>
      </c>
      <c r="K417" s="300">
        <f>SAÍDAS!L37*(SAÍDAS!$U37/100)</f>
        <v>0</v>
      </c>
      <c r="L417" s="300">
        <f>SAÍDAS!M37*(SAÍDAS!$U37/100)</f>
        <v>0</v>
      </c>
      <c r="M417" s="300">
        <f>SAÍDAS!N37*(SAÍDAS!$U37/100)</f>
        <v>0</v>
      </c>
      <c r="N417" s="300">
        <f>SAÍDAS!O37*(SAÍDAS!$U37/100)</f>
        <v>0</v>
      </c>
      <c r="O417" s="300">
        <f>SAÍDAS!P37*(SAÍDAS!$U37/100)</f>
        <v>0</v>
      </c>
      <c r="P417" s="300"/>
      <c r="Q417" s="672"/>
      <c r="R417" s="783"/>
      <c r="S417" s="783"/>
      <c r="T417" s="783"/>
      <c r="U417" s="783"/>
      <c r="V417" s="783"/>
      <c r="W417" s="783"/>
      <c r="X417" s="783"/>
      <c r="Y417" s="783"/>
    </row>
    <row r="418" spans="1:25" hidden="1" x14ac:dyDescent="0.25">
      <c r="A418" s="670">
        <v>8</v>
      </c>
      <c r="B418" s="739" t="str">
        <f>SAÍDAS!C38</f>
        <v>Alimentação</v>
      </c>
      <c r="C418" s="300">
        <f t="shared" si="154"/>
        <v>0</v>
      </c>
      <c r="D418" s="300">
        <f>SAÍDAS!E38*(SAÍDAS!$U38/100)</f>
        <v>0</v>
      </c>
      <c r="E418" s="300">
        <f>SAÍDAS!F38*(SAÍDAS!$U38/100)</f>
        <v>0</v>
      </c>
      <c r="F418" s="300">
        <f>SAÍDAS!G38*(SAÍDAS!$U38/100)</f>
        <v>0</v>
      </c>
      <c r="G418" s="300">
        <f>SAÍDAS!H38*(SAÍDAS!$U38/100)</f>
        <v>0</v>
      </c>
      <c r="H418" s="300">
        <f>SAÍDAS!I38*(SAÍDAS!$U38/100)</f>
        <v>0</v>
      </c>
      <c r="I418" s="300">
        <f>SAÍDAS!J38*(SAÍDAS!$U38/100)</f>
        <v>0</v>
      </c>
      <c r="J418" s="300">
        <f>SAÍDAS!K38*(SAÍDAS!$U38/100)</f>
        <v>0</v>
      </c>
      <c r="K418" s="300">
        <f>SAÍDAS!L38*(SAÍDAS!$U38/100)</f>
        <v>0</v>
      </c>
      <c r="L418" s="300">
        <f>SAÍDAS!M38*(SAÍDAS!$U38/100)</f>
        <v>0</v>
      </c>
      <c r="M418" s="300">
        <f>SAÍDAS!N38*(SAÍDAS!$U38/100)</f>
        <v>0</v>
      </c>
      <c r="N418" s="300">
        <f>SAÍDAS!O38*(SAÍDAS!$U38/100)</f>
        <v>0</v>
      </c>
      <c r="O418" s="300">
        <f>SAÍDAS!P38*(SAÍDAS!$U38/100)</f>
        <v>0</v>
      </c>
      <c r="P418" s="300"/>
      <c r="Q418" s="672"/>
      <c r="R418" s="783"/>
      <c r="S418" s="783"/>
      <c r="T418" s="783"/>
      <c r="U418" s="783"/>
      <c r="V418" s="783"/>
      <c r="W418" s="783"/>
      <c r="X418" s="783"/>
      <c r="Y418" s="783"/>
    </row>
    <row r="419" spans="1:25" hidden="1" x14ac:dyDescent="0.25">
      <c r="A419" s="670">
        <v>9</v>
      </c>
      <c r="B419" s="739" t="str">
        <f>SAÍDAS!C39</f>
        <v>Alimentação</v>
      </c>
      <c r="C419" s="300">
        <f t="shared" si="154"/>
        <v>0</v>
      </c>
      <c r="D419" s="300">
        <f>SAÍDAS!E39*(SAÍDAS!$U39/100)</f>
        <v>0</v>
      </c>
      <c r="E419" s="300">
        <f>SAÍDAS!F39*(SAÍDAS!$U39/100)</f>
        <v>0</v>
      </c>
      <c r="F419" s="300">
        <f>SAÍDAS!G39*(SAÍDAS!$U39/100)</f>
        <v>0</v>
      </c>
      <c r="G419" s="300">
        <f>SAÍDAS!H39*(SAÍDAS!$U39/100)</f>
        <v>0</v>
      </c>
      <c r="H419" s="300">
        <f>SAÍDAS!I39*(SAÍDAS!$U39/100)</f>
        <v>0</v>
      </c>
      <c r="I419" s="300">
        <f>SAÍDAS!J39*(SAÍDAS!$U39/100)</f>
        <v>0</v>
      </c>
      <c r="J419" s="300">
        <f>SAÍDAS!K39*(SAÍDAS!$U39/100)</f>
        <v>0</v>
      </c>
      <c r="K419" s="300">
        <f>SAÍDAS!L39*(SAÍDAS!$U39/100)</f>
        <v>0</v>
      </c>
      <c r="L419" s="300">
        <f>SAÍDAS!M39*(SAÍDAS!$U39/100)</f>
        <v>0</v>
      </c>
      <c r="M419" s="300">
        <f>SAÍDAS!N39*(SAÍDAS!$U39/100)</f>
        <v>0</v>
      </c>
      <c r="N419" s="300">
        <f>SAÍDAS!O39*(SAÍDAS!$U39/100)</f>
        <v>0</v>
      </c>
      <c r="O419" s="300">
        <f>SAÍDAS!P39*(SAÍDAS!$U39/100)</f>
        <v>0</v>
      </c>
      <c r="P419" s="300"/>
      <c r="Q419" s="672"/>
      <c r="R419" s="783"/>
      <c r="S419" s="783"/>
      <c r="T419" s="783"/>
      <c r="U419" s="783"/>
      <c r="V419" s="783"/>
      <c r="W419" s="783"/>
      <c r="X419" s="783"/>
      <c r="Y419" s="783"/>
    </row>
    <row r="420" spans="1:25" hidden="1" x14ac:dyDescent="0.25">
      <c r="A420" s="670">
        <v>10</v>
      </c>
      <c r="B420" s="739" t="str">
        <f>SAÍDAS!C40</f>
        <v>Alimentação</v>
      </c>
      <c r="C420" s="300">
        <f t="shared" si="154"/>
        <v>0</v>
      </c>
      <c r="D420" s="300">
        <f>SAÍDAS!E40*(SAÍDAS!$U40/100)</f>
        <v>0</v>
      </c>
      <c r="E420" s="300">
        <f>SAÍDAS!F40*(SAÍDAS!$U40/100)</f>
        <v>0</v>
      </c>
      <c r="F420" s="300">
        <f>SAÍDAS!G40*(SAÍDAS!$U40/100)</f>
        <v>0</v>
      </c>
      <c r="G420" s="300">
        <f>SAÍDAS!H40*(SAÍDAS!$U40/100)</f>
        <v>0</v>
      </c>
      <c r="H420" s="300">
        <f>SAÍDAS!I40*(SAÍDAS!$U40/100)</f>
        <v>0</v>
      </c>
      <c r="I420" s="300">
        <f>SAÍDAS!J40*(SAÍDAS!$U40/100)</f>
        <v>0</v>
      </c>
      <c r="J420" s="300">
        <f>SAÍDAS!K40*(SAÍDAS!$U40/100)</f>
        <v>0</v>
      </c>
      <c r="K420" s="300">
        <f>SAÍDAS!L40*(SAÍDAS!$U40/100)</f>
        <v>0</v>
      </c>
      <c r="L420" s="300">
        <f>SAÍDAS!M40*(SAÍDAS!$U40/100)</f>
        <v>0</v>
      </c>
      <c r="M420" s="300">
        <f>SAÍDAS!N40*(SAÍDAS!$U40/100)</f>
        <v>0</v>
      </c>
      <c r="N420" s="300">
        <f>SAÍDAS!O40*(SAÍDAS!$U40/100)</f>
        <v>0</v>
      </c>
      <c r="O420" s="300">
        <f>SAÍDAS!P40*(SAÍDAS!$U40/100)</f>
        <v>0</v>
      </c>
      <c r="P420" s="300"/>
      <c r="Q420" s="672"/>
      <c r="R420" s="783"/>
      <c r="S420" s="783"/>
      <c r="T420" s="783"/>
      <c r="U420" s="783"/>
      <c r="V420" s="783"/>
      <c r="W420" s="783"/>
      <c r="X420" s="783"/>
      <c r="Y420" s="783"/>
    </row>
    <row r="421" spans="1:25" hidden="1" x14ac:dyDescent="0.25">
      <c r="A421" s="670">
        <v>11</v>
      </c>
      <c r="B421" s="739" t="str">
        <f>SAÍDAS!C41</f>
        <v>Alimentação</v>
      </c>
      <c r="C421" s="300">
        <f t="shared" si="154"/>
        <v>0</v>
      </c>
      <c r="D421" s="300">
        <f>SAÍDAS!E41*(SAÍDAS!$U41/100)</f>
        <v>0</v>
      </c>
      <c r="E421" s="300">
        <f>SAÍDAS!F41*(SAÍDAS!$U41/100)</f>
        <v>0</v>
      </c>
      <c r="F421" s="300">
        <f>SAÍDAS!G41*(SAÍDAS!$U41/100)</f>
        <v>0</v>
      </c>
      <c r="G421" s="300">
        <f>SAÍDAS!H41*(SAÍDAS!$U41/100)</f>
        <v>0</v>
      </c>
      <c r="H421" s="300">
        <f>SAÍDAS!I41*(SAÍDAS!$U41/100)</f>
        <v>0</v>
      </c>
      <c r="I421" s="300">
        <f>SAÍDAS!J41*(SAÍDAS!$U41/100)</f>
        <v>0</v>
      </c>
      <c r="J421" s="300">
        <f>SAÍDAS!K41*(SAÍDAS!$U41/100)</f>
        <v>0</v>
      </c>
      <c r="K421" s="300">
        <f>SAÍDAS!L41*(SAÍDAS!$U41/100)</f>
        <v>0</v>
      </c>
      <c r="L421" s="300">
        <f>SAÍDAS!M41*(SAÍDAS!$U41/100)</f>
        <v>0</v>
      </c>
      <c r="M421" s="300">
        <f>SAÍDAS!N41*(SAÍDAS!$U41/100)</f>
        <v>0</v>
      </c>
      <c r="N421" s="300">
        <f>SAÍDAS!O41*(SAÍDAS!$U41/100)</f>
        <v>0</v>
      </c>
      <c r="O421" s="300">
        <f>SAÍDAS!P41*(SAÍDAS!$U41/100)</f>
        <v>0</v>
      </c>
      <c r="P421" s="300"/>
      <c r="Q421" s="672"/>
      <c r="R421" s="783"/>
      <c r="S421" s="783"/>
      <c r="T421" s="783"/>
      <c r="U421" s="783"/>
      <c r="V421" s="783"/>
      <c r="W421" s="783"/>
      <c r="X421" s="783"/>
      <c r="Y421" s="783"/>
    </row>
    <row r="422" spans="1:25" hidden="1" x14ac:dyDescent="0.25">
      <c r="A422" s="670">
        <v>12</v>
      </c>
      <c r="B422" s="739" t="str">
        <f>SAÍDAS!C42</f>
        <v>Alimentação</v>
      </c>
      <c r="C422" s="300">
        <f t="shared" si="154"/>
        <v>0</v>
      </c>
      <c r="D422" s="300">
        <f>SAÍDAS!E42*(SAÍDAS!$U42/100)</f>
        <v>0</v>
      </c>
      <c r="E422" s="300">
        <f>SAÍDAS!F42*(SAÍDAS!$U42/100)</f>
        <v>0</v>
      </c>
      <c r="F422" s="300">
        <f>SAÍDAS!G42*(SAÍDAS!$U42/100)</f>
        <v>0</v>
      </c>
      <c r="G422" s="300">
        <f>SAÍDAS!H42*(SAÍDAS!$U42/100)</f>
        <v>0</v>
      </c>
      <c r="H422" s="300">
        <f>SAÍDAS!I42*(SAÍDAS!$U42/100)</f>
        <v>0</v>
      </c>
      <c r="I422" s="300">
        <f>SAÍDAS!J42*(SAÍDAS!$U42/100)</f>
        <v>0</v>
      </c>
      <c r="J422" s="300">
        <f>SAÍDAS!K42*(SAÍDAS!$U42/100)</f>
        <v>0</v>
      </c>
      <c r="K422" s="300">
        <f>SAÍDAS!L42*(SAÍDAS!$U42/100)</f>
        <v>0</v>
      </c>
      <c r="L422" s="300">
        <f>SAÍDAS!M42*(SAÍDAS!$U42/100)</f>
        <v>0</v>
      </c>
      <c r="M422" s="300">
        <f>SAÍDAS!N42*(SAÍDAS!$U42/100)</f>
        <v>0</v>
      </c>
      <c r="N422" s="300">
        <f>SAÍDAS!O42*(SAÍDAS!$U42/100)</f>
        <v>0</v>
      </c>
      <c r="O422" s="300">
        <f>SAÍDAS!P42*(SAÍDAS!$U42/100)</f>
        <v>0</v>
      </c>
      <c r="P422" s="300"/>
      <c r="Q422" s="672"/>
      <c r="R422" s="783"/>
      <c r="S422" s="783"/>
      <c r="T422" s="783"/>
      <c r="U422" s="783"/>
      <c r="V422" s="783"/>
      <c r="W422" s="783"/>
      <c r="X422" s="783"/>
      <c r="Y422" s="783"/>
    </row>
    <row r="423" spans="1:25" hidden="1" x14ac:dyDescent="0.25">
      <c r="A423" s="670">
        <v>13</v>
      </c>
      <c r="B423" s="739" t="str">
        <f>SAÍDAS!C43</f>
        <v>Alimentação</v>
      </c>
      <c r="C423" s="300">
        <f t="shared" si="154"/>
        <v>0</v>
      </c>
      <c r="D423" s="300">
        <f>SAÍDAS!E43*(SAÍDAS!$U43/100)</f>
        <v>0</v>
      </c>
      <c r="E423" s="300">
        <f>SAÍDAS!F43*(SAÍDAS!$U43/100)</f>
        <v>0</v>
      </c>
      <c r="F423" s="300">
        <f>SAÍDAS!G43*(SAÍDAS!$U43/100)</f>
        <v>0</v>
      </c>
      <c r="G423" s="300">
        <f>SAÍDAS!H43*(SAÍDAS!$U43/100)</f>
        <v>0</v>
      </c>
      <c r="H423" s="300">
        <f>SAÍDAS!I43*(SAÍDAS!$U43/100)</f>
        <v>0</v>
      </c>
      <c r="I423" s="300">
        <f>SAÍDAS!J43*(SAÍDAS!$U43/100)</f>
        <v>0</v>
      </c>
      <c r="J423" s="300">
        <f>SAÍDAS!K43*(SAÍDAS!$U43/100)</f>
        <v>0</v>
      </c>
      <c r="K423" s="300">
        <f>SAÍDAS!L43*(SAÍDAS!$U43/100)</f>
        <v>0</v>
      </c>
      <c r="L423" s="300">
        <f>SAÍDAS!M43*(SAÍDAS!$U43/100)</f>
        <v>0</v>
      </c>
      <c r="M423" s="300">
        <f>SAÍDAS!N43*(SAÍDAS!$U43/100)</f>
        <v>0</v>
      </c>
      <c r="N423" s="300">
        <f>SAÍDAS!O43*(SAÍDAS!$U43/100)</f>
        <v>0</v>
      </c>
      <c r="O423" s="300">
        <f>SAÍDAS!P43*(SAÍDAS!$U43/100)</f>
        <v>0</v>
      </c>
      <c r="P423" s="300"/>
      <c r="Q423" s="672"/>
      <c r="R423" s="783"/>
      <c r="S423" s="783"/>
      <c r="T423" s="783"/>
      <c r="U423" s="783"/>
      <c r="V423" s="783"/>
      <c r="W423" s="783"/>
      <c r="X423" s="783"/>
      <c r="Y423" s="783"/>
    </row>
    <row r="424" spans="1:25" hidden="1" x14ac:dyDescent="0.25">
      <c r="A424" s="670">
        <v>14</v>
      </c>
      <c r="B424" s="739" t="str">
        <f>SAÍDAS!C44</f>
        <v>Alimentação</v>
      </c>
      <c r="C424" s="300">
        <f t="shared" si="154"/>
        <v>0</v>
      </c>
      <c r="D424" s="300">
        <f>SAÍDAS!E44*(SAÍDAS!$U44/100)</f>
        <v>0</v>
      </c>
      <c r="E424" s="300">
        <f>SAÍDAS!F44*(SAÍDAS!$U44/100)</f>
        <v>0</v>
      </c>
      <c r="F424" s="300">
        <f>SAÍDAS!G44*(SAÍDAS!$U44/100)</f>
        <v>0</v>
      </c>
      <c r="G424" s="300">
        <f>SAÍDAS!H44*(SAÍDAS!$U44/100)</f>
        <v>0</v>
      </c>
      <c r="H424" s="300">
        <f>SAÍDAS!I44*(SAÍDAS!$U44/100)</f>
        <v>0</v>
      </c>
      <c r="I424" s="300">
        <f>SAÍDAS!J44*(SAÍDAS!$U44/100)</f>
        <v>0</v>
      </c>
      <c r="J424" s="300">
        <f>SAÍDAS!K44*(SAÍDAS!$U44/100)</f>
        <v>0</v>
      </c>
      <c r="K424" s="300">
        <f>SAÍDAS!L44*(SAÍDAS!$U44/100)</f>
        <v>0</v>
      </c>
      <c r="L424" s="300">
        <f>SAÍDAS!M44*(SAÍDAS!$U44/100)</f>
        <v>0</v>
      </c>
      <c r="M424" s="300">
        <f>SAÍDAS!N44*(SAÍDAS!$U44/100)</f>
        <v>0</v>
      </c>
      <c r="N424" s="300">
        <f>SAÍDAS!O44*(SAÍDAS!$U44/100)</f>
        <v>0</v>
      </c>
      <c r="O424" s="300">
        <f>SAÍDAS!P44*(SAÍDAS!$U44/100)</f>
        <v>0</v>
      </c>
      <c r="P424" s="300"/>
      <c r="Q424" s="672"/>
      <c r="R424" s="783"/>
      <c r="S424" s="783"/>
      <c r="T424" s="783"/>
      <c r="U424" s="783"/>
      <c r="V424" s="783"/>
      <c r="W424" s="783"/>
      <c r="X424" s="783"/>
      <c r="Y424" s="783"/>
    </row>
    <row r="425" spans="1:25" hidden="1" x14ac:dyDescent="0.25">
      <c r="A425" s="670">
        <v>15</v>
      </c>
      <c r="B425" s="739" t="str">
        <f>SAÍDAS!C45</f>
        <v>Alimentação</v>
      </c>
      <c r="C425" s="300">
        <f t="shared" si="154"/>
        <v>0</v>
      </c>
      <c r="D425" s="300">
        <f>SAÍDAS!E45*(SAÍDAS!$U45/100)</f>
        <v>0</v>
      </c>
      <c r="E425" s="300">
        <f>SAÍDAS!F45*(SAÍDAS!$U45/100)</f>
        <v>0</v>
      </c>
      <c r="F425" s="300">
        <f>SAÍDAS!G45*(SAÍDAS!$U45/100)</f>
        <v>0</v>
      </c>
      <c r="G425" s="300">
        <f>SAÍDAS!H45*(SAÍDAS!$U45/100)</f>
        <v>0</v>
      </c>
      <c r="H425" s="300">
        <f>SAÍDAS!I45*(SAÍDAS!$U45/100)</f>
        <v>0</v>
      </c>
      <c r="I425" s="300">
        <f>SAÍDAS!J45*(SAÍDAS!$U45/100)</f>
        <v>0</v>
      </c>
      <c r="J425" s="300">
        <f>SAÍDAS!K45*(SAÍDAS!$U45/100)</f>
        <v>0</v>
      </c>
      <c r="K425" s="300">
        <f>SAÍDAS!L45*(SAÍDAS!$U45/100)</f>
        <v>0</v>
      </c>
      <c r="L425" s="300">
        <f>SAÍDAS!M45*(SAÍDAS!$U45/100)</f>
        <v>0</v>
      </c>
      <c r="M425" s="300">
        <f>SAÍDAS!N45*(SAÍDAS!$U45/100)</f>
        <v>0</v>
      </c>
      <c r="N425" s="300">
        <f>SAÍDAS!O45*(SAÍDAS!$U45/100)</f>
        <v>0</v>
      </c>
      <c r="O425" s="300">
        <f>SAÍDAS!P45*(SAÍDAS!$U45/100)</f>
        <v>0</v>
      </c>
      <c r="P425" s="300"/>
      <c r="Q425" s="672"/>
      <c r="R425" s="783"/>
      <c r="S425" s="783"/>
      <c r="T425" s="783"/>
      <c r="U425" s="783"/>
      <c r="V425" s="783"/>
      <c r="W425" s="783"/>
      <c r="X425" s="783"/>
      <c r="Y425" s="783"/>
    </row>
    <row r="426" spans="1:25" hidden="1" x14ac:dyDescent="0.25">
      <c r="A426" s="670">
        <v>16</v>
      </c>
      <c r="B426" s="739" t="str">
        <f>SAÍDAS!C46</f>
        <v>Manutenção de Forragem</v>
      </c>
      <c r="C426" s="300">
        <f t="shared" si="154"/>
        <v>0</v>
      </c>
      <c r="D426" s="300">
        <f>SAÍDAS!E46*(SAÍDAS!$U46/100)</f>
        <v>0</v>
      </c>
      <c r="E426" s="300">
        <f>SAÍDAS!F46*(SAÍDAS!$U46/100)</f>
        <v>0</v>
      </c>
      <c r="F426" s="300">
        <f>SAÍDAS!G46*(SAÍDAS!$U46/100)</f>
        <v>0</v>
      </c>
      <c r="G426" s="300">
        <f>SAÍDAS!H46*(SAÍDAS!$U46/100)</f>
        <v>0</v>
      </c>
      <c r="H426" s="300">
        <f>SAÍDAS!I46*(SAÍDAS!$U46/100)</f>
        <v>0</v>
      </c>
      <c r="I426" s="300">
        <f>SAÍDAS!J46*(SAÍDAS!$U46/100)</f>
        <v>0</v>
      </c>
      <c r="J426" s="300">
        <f>SAÍDAS!K46*(SAÍDAS!$U46/100)</f>
        <v>0</v>
      </c>
      <c r="K426" s="300">
        <f>SAÍDAS!L46*(SAÍDAS!$U46/100)</f>
        <v>0</v>
      </c>
      <c r="L426" s="300">
        <f>SAÍDAS!M46*(SAÍDAS!$U46/100)</f>
        <v>0</v>
      </c>
      <c r="M426" s="300">
        <f>SAÍDAS!N46*(SAÍDAS!$U46/100)</f>
        <v>0</v>
      </c>
      <c r="N426" s="300">
        <f>SAÍDAS!O46*(SAÍDAS!$U46/100)</f>
        <v>0</v>
      </c>
      <c r="O426" s="300">
        <f>SAÍDAS!P46*(SAÍDAS!$U46/100)</f>
        <v>0</v>
      </c>
      <c r="P426" s="300"/>
      <c r="Q426" s="672"/>
      <c r="R426" s="783"/>
      <c r="S426" s="783"/>
      <c r="T426" s="783"/>
      <c r="U426" s="783"/>
      <c r="V426" s="783"/>
      <c r="W426" s="783"/>
      <c r="X426" s="783"/>
      <c r="Y426" s="783"/>
    </row>
    <row r="427" spans="1:25" hidden="1" x14ac:dyDescent="0.25">
      <c r="A427" s="670">
        <v>17</v>
      </c>
      <c r="B427" s="739" t="str">
        <f>SAÍDAS!C47</f>
        <v>Manutenção de Forragem</v>
      </c>
      <c r="C427" s="300">
        <f t="shared" si="154"/>
        <v>0</v>
      </c>
      <c r="D427" s="300">
        <f>SAÍDAS!E47*(SAÍDAS!$U47/100)</f>
        <v>0</v>
      </c>
      <c r="E427" s="300">
        <f>SAÍDAS!F47*(SAÍDAS!$U47/100)</f>
        <v>0</v>
      </c>
      <c r="F427" s="300">
        <f>SAÍDAS!G47*(SAÍDAS!$U47/100)</f>
        <v>0</v>
      </c>
      <c r="G427" s="300">
        <f>SAÍDAS!H47*(SAÍDAS!$U47/100)</f>
        <v>0</v>
      </c>
      <c r="H427" s="300">
        <f>SAÍDAS!I47*(SAÍDAS!$U47/100)</f>
        <v>0</v>
      </c>
      <c r="I427" s="300">
        <f>SAÍDAS!J47*(SAÍDAS!$U47/100)</f>
        <v>0</v>
      </c>
      <c r="J427" s="300">
        <f>SAÍDAS!K47*(SAÍDAS!$U47/100)</f>
        <v>0</v>
      </c>
      <c r="K427" s="300">
        <f>SAÍDAS!L47*(SAÍDAS!$U47/100)</f>
        <v>0</v>
      </c>
      <c r="L427" s="300">
        <f>SAÍDAS!M47*(SAÍDAS!$U47/100)</f>
        <v>0</v>
      </c>
      <c r="M427" s="300">
        <f>SAÍDAS!N47*(SAÍDAS!$U47/100)</f>
        <v>0</v>
      </c>
      <c r="N427" s="300">
        <f>SAÍDAS!O47*(SAÍDAS!$U47/100)</f>
        <v>0</v>
      </c>
      <c r="O427" s="300">
        <f>SAÍDAS!P47*(SAÍDAS!$U47/100)</f>
        <v>0</v>
      </c>
      <c r="P427" s="300"/>
      <c r="Q427" s="672"/>
      <c r="R427" s="783"/>
      <c r="S427" s="783"/>
      <c r="T427" s="783"/>
      <c r="U427" s="783"/>
      <c r="V427" s="783"/>
      <c r="W427" s="783"/>
      <c r="X427" s="783"/>
      <c r="Y427" s="783"/>
    </row>
    <row r="428" spans="1:25" hidden="1" x14ac:dyDescent="0.25">
      <c r="A428" s="670">
        <v>18</v>
      </c>
      <c r="B428" s="739" t="str">
        <f>SAÍDAS!C48</f>
        <v>Manutenção de Forragem</v>
      </c>
      <c r="C428" s="300">
        <f t="shared" si="154"/>
        <v>0</v>
      </c>
      <c r="D428" s="300">
        <f>SAÍDAS!E48*(SAÍDAS!$U48/100)</f>
        <v>0</v>
      </c>
      <c r="E428" s="300">
        <f>SAÍDAS!F48*(SAÍDAS!$U48/100)</f>
        <v>0</v>
      </c>
      <c r="F428" s="300">
        <f>SAÍDAS!G48*(SAÍDAS!$U48/100)</f>
        <v>0</v>
      </c>
      <c r="G428" s="300">
        <f>SAÍDAS!H48*(SAÍDAS!$U48/100)</f>
        <v>0</v>
      </c>
      <c r="H428" s="300">
        <f>SAÍDAS!I48*(SAÍDAS!$U48/100)</f>
        <v>0</v>
      </c>
      <c r="I428" s="300">
        <f>SAÍDAS!J48*(SAÍDAS!$U48/100)</f>
        <v>0</v>
      </c>
      <c r="J428" s="300">
        <f>SAÍDAS!K48*(SAÍDAS!$U48/100)</f>
        <v>0</v>
      </c>
      <c r="K428" s="300">
        <f>SAÍDAS!L48*(SAÍDAS!$U48/100)</f>
        <v>0</v>
      </c>
      <c r="L428" s="300">
        <f>SAÍDAS!M48*(SAÍDAS!$U48/100)</f>
        <v>0</v>
      </c>
      <c r="M428" s="300">
        <f>SAÍDAS!N48*(SAÍDAS!$U48/100)</f>
        <v>0</v>
      </c>
      <c r="N428" s="300">
        <f>SAÍDAS!O48*(SAÍDAS!$U48/100)</f>
        <v>0</v>
      </c>
      <c r="O428" s="300">
        <f>SAÍDAS!P48*(SAÍDAS!$U48/100)</f>
        <v>0</v>
      </c>
      <c r="P428" s="300"/>
      <c r="Q428" s="672"/>
      <c r="R428" s="783"/>
      <c r="S428" s="783"/>
      <c r="T428" s="783"/>
      <c r="U428" s="783"/>
      <c r="V428" s="783"/>
      <c r="W428" s="783"/>
      <c r="X428" s="783"/>
      <c r="Y428" s="783"/>
    </row>
    <row r="429" spans="1:25" hidden="1" x14ac:dyDescent="0.25">
      <c r="A429" s="670">
        <v>19</v>
      </c>
      <c r="B429" s="739" t="str">
        <f>SAÍDAS!C49</f>
        <v>Manutenção de Forragem</v>
      </c>
      <c r="C429" s="300">
        <f t="shared" si="154"/>
        <v>0</v>
      </c>
      <c r="D429" s="300">
        <f>SAÍDAS!E49*(SAÍDAS!$U49/100)</f>
        <v>0</v>
      </c>
      <c r="E429" s="300">
        <f>SAÍDAS!F49*(SAÍDAS!$U49/100)</f>
        <v>0</v>
      </c>
      <c r="F429" s="300">
        <f>SAÍDAS!G49*(SAÍDAS!$U49/100)</f>
        <v>0</v>
      </c>
      <c r="G429" s="300">
        <f>SAÍDAS!H49*(SAÍDAS!$U49/100)</f>
        <v>0</v>
      </c>
      <c r="H429" s="300">
        <f>SAÍDAS!I49*(SAÍDAS!$U49/100)</f>
        <v>0</v>
      </c>
      <c r="I429" s="300">
        <f>SAÍDAS!J49*(SAÍDAS!$U49/100)</f>
        <v>0</v>
      </c>
      <c r="J429" s="300">
        <f>SAÍDAS!K49*(SAÍDAS!$U49/100)</f>
        <v>0</v>
      </c>
      <c r="K429" s="300">
        <f>SAÍDAS!L49*(SAÍDAS!$U49/100)</f>
        <v>0</v>
      </c>
      <c r="L429" s="300">
        <f>SAÍDAS!M49*(SAÍDAS!$U49/100)</f>
        <v>0</v>
      </c>
      <c r="M429" s="300">
        <f>SAÍDAS!N49*(SAÍDAS!$U49/100)</f>
        <v>0</v>
      </c>
      <c r="N429" s="300">
        <f>SAÍDAS!O49*(SAÍDAS!$U49/100)</f>
        <v>0</v>
      </c>
      <c r="O429" s="300">
        <f>SAÍDAS!P49*(SAÍDAS!$U49/100)</f>
        <v>0</v>
      </c>
      <c r="P429" s="300"/>
      <c r="Q429" s="672"/>
      <c r="R429" s="783"/>
      <c r="S429" s="783"/>
      <c r="T429" s="783"/>
      <c r="U429" s="783"/>
      <c r="V429" s="783"/>
      <c r="W429" s="783"/>
      <c r="X429" s="783"/>
      <c r="Y429" s="783"/>
    </row>
    <row r="430" spans="1:25" hidden="1" x14ac:dyDescent="0.25">
      <c r="A430" s="670">
        <v>20</v>
      </c>
      <c r="B430" s="739" t="str">
        <f>SAÍDAS!C50</f>
        <v>Reprodução</v>
      </c>
      <c r="C430" s="300">
        <f t="shared" si="154"/>
        <v>0</v>
      </c>
      <c r="D430" s="300">
        <f>SAÍDAS!E50*(SAÍDAS!$U50/100)</f>
        <v>0</v>
      </c>
      <c r="E430" s="300">
        <f>SAÍDAS!F50*(SAÍDAS!$U50/100)</f>
        <v>0</v>
      </c>
      <c r="F430" s="300">
        <f>SAÍDAS!G50*(SAÍDAS!$U50/100)</f>
        <v>0</v>
      </c>
      <c r="G430" s="300">
        <f>SAÍDAS!H50*(SAÍDAS!$U50/100)</f>
        <v>0</v>
      </c>
      <c r="H430" s="300">
        <f>SAÍDAS!I50*(SAÍDAS!$U50/100)</f>
        <v>0</v>
      </c>
      <c r="I430" s="300">
        <f>SAÍDAS!J50*(SAÍDAS!$U50/100)</f>
        <v>0</v>
      </c>
      <c r="J430" s="300">
        <f>SAÍDAS!K50*(SAÍDAS!$U50/100)</f>
        <v>0</v>
      </c>
      <c r="K430" s="300">
        <f>SAÍDAS!L50*(SAÍDAS!$U50/100)</f>
        <v>0</v>
      </c>
      <c r="L430" s="300">
        <f>SAÍDAS!M50*(SAÍDAS!$U50/100)</f>
        <v>0</v>
      </c>
      <c r="M430" s="300">
        <f>SAÍDAS!N50*(SAÍDAS!$U50/100)</f>
        <v>0</v>
      </c>
      <c r="N430" s="300">
        <f>SAÍDAS!O50*(SAÍDAS!$U50/100)</f>
        <v>0</v>
      </c>
      <c r="O430" s="300">
        <f>SAÍDAS!P50*(SAÍDAS!$U50/100)</f>
        <v>0</v>
      </c>
      <c r="P430" s="300"/>
      <c r="Q430" s="672"/>
      <c r="R430" s="783"/>
      <c r="S430" s="783"/>
      <c r="T430" s="783"/>
      <c r="U430" s="783"/>
      <c r="V430" s="783"/>
      <c r="W430" s="783"/>
      <c r="X430" s="783"/>
      <c r="Y430" s="783"/>
    </row>
    <row r="431" spans="1:25" hidden="1" x14ac:dyDescent="0.25">
      <c r="A431" s="670">
        <v>21</v>
      </c>
      <c r="B431" s="739" t="str">
        <f>SAÍDAS!C51</f>
        <v>Reprodução</v>
      </c>
      <c r="C431" s="300">
        <f t="shared" si="154"/>
        <v>0</v>
      </c>
      <c r="D431" s="300">
        <f>SAÍDAS!E51*(SAÍDAS!$U51/100)</f>
        <v>0</v>
      </c>
      <c r="E431" s="300">
        <f>SAÍDAS!F51*(SAÍDAS!$U51/100)</f>
        <v>0</v>
      </c>
      <c r="F431" s="300">
        <f>SAÍDAS!G51*(SAÍDAS!$U51/100)</f>
        <v>0</v>
      </c>
      <c r="G431" s="300">
        <f>SAÍDAS!H51*(SAÍDAS!$U51/100)</f>
        <v>0</v>
      </c>
      <c r="H431" s="300">
        <f>SAÍDAS!I51*(SAÍDAS!$U51/100)</f>
        <v>0</v>
      </c>
      <c r="I431" s="300">
        <f>SAÍDAS!J51*(SAÍDAS!$U51/100)</f>
        <v>0</v>
      </c>
      <c r="J431" s="300">
        <f>SAÍDAS!K51*(SAÍDAS!$U51/100)</f>
        <v>0</v>
      </c>
      <c r="K431" s="300">
        <f>SAÍDAS!L51*(SAÍDAS!$U51/100)</f>
        <v>0</v>
      </c>
      <c r="L431" s="300">
        <f>SAÍDAS!M51*(SAÍDAS!$U51/100)</f>
        <v>0</v>
      </c>
      <c r="M431" s="300">
        <f>SAÍDAS!N51*(SAÍDAS!$U51/100)</f>
        <v>0</v>
      </c>
      <c r="N431" s="300">
        <f>SAÍDAS!O51*(SAÍDAS!$U51/100)</f>
        <v>0</v>
      </c>
      <c r="O431" s="300">
        <f>SAÍDAS!P51*(SAÍDAS!$U51/100)</f>
        <v>0</v>
      </c>
      <c r="P431" s="300"/>
      <c r="Q431" s="672"/>
      <c r="R431" s="783"/>
      <c r="S431" s="783"/>
      <c r="T431" s="783"/>
      <c r="U431" s="783"/>
      <c r="V431" s="783"/>
      <c r="W431" s="783"/>
      <c r="X431" s="783"/>
      <c r="Y431" s="783"/>
    </row>
    <row r="432" spans="1:25" hidden="1" x14ac:dyDescent="0.25">
      <c r="A432" s="670">
        <v>22</v>
      </c>
      <c r="B432" s="739" t="str">
        <f>SAÍDAS!C52</f>
        <v>Sanidade</v>
      </c>
      <c r="C432" s="300">
        <f t="shared" si="154"/>
        <v>0</v>
      </c>
      <c r="D432" s="300">
        <f>SAÍDAS!E52*(SAÍDAS!$U52/100)</f>
        <v>0</v>
      </c>
      <c r="E432" s="300">
        <f>SAÍDAS!F52*(SAÍDAS!$U52/100)</f>
        <v>0</v>
      </c>
      <c r="F432" s="300">
        <f>SAÍDAS!G52*(SAÍDAS!$U52/100)</f>
        <v>0</v>
      </c>
      <c r="G432" s="300">
        <f>SAÍDAS!H52*(SAÍDAS!$U52/100)</f>
        <v>0</v>
      </c>
      <c r="H432" s="300">
        <f>SAÍDAS!I52*(SAÍDAS!$U52/100)</f>
        <v>0</v>
      </c>
      <c r="I432" s="300">
        <f>SAÍDAS!J52*(SAÍDAS!$U52/100)</f>
        <v>0</v>
      </c>
      <c r="J432" s="300">
        <f>SAÍDAS!K52*(SAÍDAS!$U52/100)</f>
        <v>0</v>
      </c>
      <c r="K432" s="300">
        <f>SAÍDAS!L52*(SAÍDAS!$U52/100)</f>
        <v>0</v>
      </c>
      <c r="L432" s="300">
        <f>SAÍDAS!M52*(SAÍDAS!$U52/100)</f>
        <v>0</v>
      </c>
      <c r="M432" s="300">
        <f>SAÍDAS!N52*(SAÍDAS!$U52/100)</f>
        <v>0</v>
      </c>
      <c r="N432" s="300">
        <f>SAÍDAS!O52*(SAÍDAS!$U52/100)</f>
        <v>0</v>
      </c>
      <c r="O432" s="300">
        <f>SAÍDAS!P52*(SAÍDAS!$U52/100)</f>
        <v>0</v>
      </c>
      <c r="P432" s="300"/>
      <c r="Q432" s="672"/>
      <c r="R432" s="783"/>
      <c r="S432" s="783"/>
      <c r="T432" s="783"/>
      <c r="U432" s="783"/>
      <c r="V432" s="783"/>
      <c r="W432" s="783"/>
      <c r="X432" s="783"/>
      <c r="Y432" s="783"/>
    </row>
    <row r="433" spans="1:25" hidden="1" x14ac:dyDescent="0.25">
      <c r="A433" s="670">
        <v>23</v>
      </c>
      <c r="B433" s="739" t="str">
        <f>SAÍDAS!C53</f>
        <v>Sanidade</v>
      </c>
      <c r="C433" s="300">
        <f t="shared" si="154"/>
        <v>0</v>
      </c>
      <c r="D433" s="300">
        <f>SAÍDAS!E53*(SAÍDAS!$U53/100)</f>
        <v>0</v>
      </c>
      <c r="E433" s="300">
        <f>SAÍDAS!F53*(SAÍDAS!$U53/100)</f>
        <v>0</v>
      </c>
      <c r="F433" s="300">
        <f>SAÍDAS!G53*(SAÍDAS!$U53/100)</f>
        <v>0</v>
      </c>
      <c r="G433" s="300">
        <f>SAÍDAS!H53*(SAÍDAS!$U53/100)</f>
        <v>0</v>
      </c>
      <c r="H433" s="300">
        <f>SAÍDAS!I53*(SAÍDAS!$U53/100)</f>
        <v>0</v>
      </c>
      <c r="I433" s="300">
        <f>SAÍDAS!J53*(SAÍDAS!$U53/100)</f>
        <v>0</v>
      </c>
      <c r="J433" s="300">
        <f>SAÍDAS!K53*(SAÍDAS!$U53/100)</f>
        <v>0</v>
      </c>
      <c r="K433" s="300">
        <f>SAÍDAS!L53*(SAÍDAS!$U53/100)</f>
        <v>0</v>
      </c>
      <c r="L433" s="300">
        <f>SAÍDAS!M53*(SAÍDAS!$U53/100)</f>
        <v>0</v>
      </c>
      <c r="M433" s="300">
        <f>SAÍDAS!N53*(SAÍDAS!$U53/100)</f>
        <v>0</v>
      </c>
      <c r="N433" s="300">
        <f>SAÍDAS!O53*(SAÍDAS!$U53/100)</f>
        <v>0</v>
      </c>
      <c r="O433" s="300">
        <f>SAÍDAS!P53*(SAÍDAS!$U53/100)</f>
        <v>0</v>
      </c>
      <c r="P433" s="300"/>
      <c r="Q433" s="672"/>
      <c r="R433" s="783"/>
      <c r="S433" s="783"/>
      <c r="T433" s="783"/>
      <c r="U433" s="783"/>
      <c r="V433" s="783"/>
      <c r="W433" s="783"/>
      <c r="X433" s="783"/>
      <c r="Y433" s="783"/>
    </row>
    <row r="434" spans="1:25" hidden="1" x14ac:dyDescent="0.25">
      <c r="A434" s="670">
        <v>24</v>
      </c>
      <c r="B434" s="739" t="str">
        <f>SAÍDAS!C54</f>
        <v>Sanidade</v>
      </c>
      <c r="C434" s="300">
        <f t="shared" si="154"/>
        <v>0</v>
      </c>
      <c r="D434" s="300">
        <f>SAÍDAS!E54*(SAÍDAS!$U54/100)</f>
        <v>0</v>
      </c>
      <c r="E434" s="300">
        <f>SAÍDAS!F54*(SAÍDAS!$U54/100)</f>
        <v>0</v>
      </c>
      <c r="F434" s="300">
        <f>SAÍDAS!G54*(SAÍDAS!$U54/100)</f>
        <v>0</v>
      </c>
      <c r="G434" s="300">
        <f>SAÍDAS!H54*(SAÍDAS!$U54/100)</f>
        <v>0</v>
      </c>
      <c r="H434" s="300">
        <f>SAÍDAS!I54*(SAÍDAS!$U54/100)</f>
        <v>0</v>
      </c>
      <c r="I434" s="300">
        <f>SAÍDAS!J54*(SAÍDAS!$U54/100)</f>
        <v>0</v>
      </c>
      <c r="J434" s="300">
        <f>SAÍDAS!K54*(SAÍDAS!$U54/100)</f>
        <v>0</v>
      </c>
      <c r="K434" s="300">
        <f>SAÍDAS!L54*(SAÍDAS!$U54/100)</f>
        <v>0</v>
      </c>
      <c r="L434" s="300">
        <f>SAÍDAS!M54*(SAÍDAS!$U54/100)</f>
        <v>0</v>
      </c>
      <c r="M434" s="300">
        <f>SAÍDAS!N54*(SAÍDAS!$U54/100)</f>
        <v>0</v>
      </c>
      <c r="N434" s="300">
        <f>SAÍDAS!O54*(SAÍDAS!$U54/100)</f>
        <v>0</v>
      </c>
      <c r="O434" s="300">
        <f>SAÍDAS!P54*(SAÍDAS!$U54/100)</f>
        <v>0</v>
      </c>
      <c r="P434" s="300"/>
      <c r="Q434" s="672"/>
      <c r="R434" s="783"/>
      <c r="S434" s="783"/>
      <c r="T434" s="783"/>
      <c r="U434" s="783"/>
      <c r="V434" s="783"/>
      <c r="W434" s="783"/>
      <c r="X434" s="783"/>
      <c r="Y434" s="783"/>
    </row>
    <row r="435" spans="1:25" hidden="1" x14ac:dyDescent="0.25">
      <c r="A435" s="670">
        <v>25</v>
      </c>
      <c r="B435" s="739" t="str">
        <f>SAÍDAS!C55</f>
        <v>Manutenção de Máquinas e Instalações</v>
      </c>
      <c r="C435" s="300">
        <f t="shared" si="154"/>
        <v>0</v>
      </c>
      <c r="D435" s="300">
        <f>SAÍDAS!E55*(SAÍDAS!$U55/100)</f>
        <v>0</v>
      </c>
      <c r="E435" s="300">
        <f>SAÍDAS!F55*(SAÍDAS!$U55/100)</f>
        <v>0</v>
      </c>
      <c r="F435" s="300">
        <f>SAÍDAS!G55*(SAÍDAS!$U55/100)</f>
        <v>0</v>
      </c>
      <c r="G435" s="300">
        <f>SAÍDAS!H55*(SAÍDAS!$U55/100)</f>
        <v>0</v>
      </c>
      <c r="H435" s="300">
        <f>SAÍDAS!I55*(SAÍDAS!$U55/100)</f>
        <v>0</v>
      </c>
      <c r="I435" s="300">
        <f>SAÍDAS!J55*(SAÍDAS!$U55/100)</f>
        <v>0</v>
      </c>
      <c r="J435" s="300">
        <f>SAÍDAS!K55*(SAÍDAS!$U55/100)</f>
        <v>0</v>
      </c>
      <c r="K435" s="300">
        <f>SAÍDAS!L55*(SAÍDAS!$U55/100)</f>
        <v>0</v>
      </c>
      <c r="L435" s="300">
        <f>SAÍDAS!M55*(SAÍDAS!$U55/100)</f>
        <v>0</v>
      </c>
      <c r="M435" s="300">
        <f>SAÍDAS!N55*(SAÍDAS!$U55/100)</f>
        <v>0</v>
      </c>
      <c r="N435" s="300">
        <f>SAÍDAS!O55*(SAÍDAS!$U55/100)</f>
        <v>0</v>
      </c>
      <c r="O435" s="300">
        <f>SAÍDAS!P55*(SAÍDAS!$U55/100)</f>
        <v>0</v>
      </c>
      <c r="P435" s="300"/>
      <c r="Q435" s="672"/>
      <c r="R435" s="783"/>
      <c r="S435" s="783"/>
      <c r="T435" s="783"/>
      <c r="U435" s="783"/>
      <c r="V435" s="783"/>
      <c r="W435" s="783"/>
      <c r="X435" s="783"/>
      <c r="Y435" s="783"/>
    </row>
    <row r="436" spans="1:25" hidden="1" x14ac:dyDescent="0.25">
      <c r="A436" s="670">
        <v>26</v>
      </c>
      <c r="B436" s="739" t="str">
        <f>SAÍDAS!C56</f>
        <v>Combustível e Energia</v>
      </c>
      <c r="C436" s="300">
        <f t="shared" si="154"/>
        <v>0</v>
      </c>
      <c r="D436" s="300">
        <f>SAÍDAS!E56*(SAÍDAS!$U56/100)</f>
        <v>0</v>
      </c>
      <c r="E436" s="300">
        <f>SAÍDAS!F56*(SAÍDAS!$U56/100)</f>
        <v>0</v>
      </c>
      <c r="F436" s="300">
        <f>SAÍDAS!G56*(SAÍDAS!$U56/100)</f>
        <v>0</v>
      </c>
      <c r="G436" s="300">
        <f>SAÍDAS!H56*(SAÍDAS!$U56/100)</f>
        <v>0</v>
      </c>
      <c r="H436" s="300">
        <f>SAÍDAS!I56*(SAÍDAS!$U56/100)</f>
        <v>0</v>
      </c>
      <c r="I436" s="300">
        <f>SAÍDAS!J56*(SAÍDAS!$U56/100)</f>
        <v>0</v>
      </c>
      <c r="J436" s="300">
        <f>SAÍDAS!K56*(SAÍDAS!$U56/100)</f>
        <v>0</v>
      </c>
      <c r="K436" s="300">
        <f>SAÍDAS!L56*(SAÍDAS!$U56/100)</f>
        <v>0</v>
      </c>
      <c r="L436" s="300">
        <f>SAÍDAS!M56*(SAÍDAS!$U56/100)</f>
        <v>0</v>
      </c>
      <c r="M436" s="300">
        <f>SAÍDAS!N56*(SAÍDAS!$U56/100)</f>
        <v>0</v>
      </c>
      <c r="N436" s="300">
        <f>SAÍDAS!O56*(SAÍDAS!$U56/100)</f>
        <v>0</v>
      </c>
      <c r="O436" s="300">
        <f>SAÍDAS!P56*(SAÍDAS!$U56/100)</f>
        <v>0</v>
      </c>
      <c r="P436" s="300"/>
      <c r="Q436" s="672"/>
      <c r="R436" s="783"/>
      <c r="S436" s="783"/>
      <c r="T436" s="783"/>
      <c r="U436" s="783"/>
      <c r="V436" s="783"/>
      <c r="W436" s="783"/>
      <c r="X436" s="783"/>
      <c r="Y436" s="783"/>
    </row>
    <row r="437" spans="1:25" hidden="1" x14ac:dyDescent="0.25">
      <c r="A437" s="670">
        <v>27</v>
      </c>
      <c r="B437" s="739" t="str">
        <f>SAÍDAS!C57</f>
        <v>Serviços Terceirizados</v>
      </c>
      <c r="C437" s="300">
        <f t="shared" si="154"/>
        <v>0</v>
      </c>
      <c r="D437" s="300">
        <f>SAÍDAS!E57*(SAÍDAS!$U57/100)</f>
        <v>0</v>
      </c>
      <c r="E437" s="300">
        <f>SAÍDAS!F57*(SAÍDAS!$U57/100)</f>
        <v>0</v>
      </c>
      <c r="F437" s="300">
        <f>SAÍDAS!G57*(SAÍDAS!$U57/100)</f>
        <v>0</v>
      </c>
      <c r="G437" s="300">
        <f>SAÍDAS!H57*(SAÍDAS!$U57/100)</f>
        <v>0</v>
      </c>
      <c r="H437" s="300">
        <f>SAÍDAS!I57*(SAÍDAS!$U57/100)</f>
        <v>0</v>
      </c>
      <c r="I437" s="300">
        <f>SAÍDAS!J57*(SAÍDAS!$U57/100)</f>
        <v>0</v>
      </c>
      <c r="J437" s="300">
        <f>SAÍDAS!K57*(SAÍDAS!$U57/100)</f>
        <v>0</v>
      </c>
      <c r="K437" s="300">
        <f>SAÍDAS!L57*(SAÍDAS!$U57/100)</f>
        <v>0</v>
      </c>
      <c r="L437" s="300">
        <f>SAÍDAS!M57*(SAÍDAS!$U57/100)</f>
        <v>0</v>
      </c>
      <c r="M437" s="300">
        <f>SAÍDAS!N57*(SAÍDAS!$U57/100)</f>
        <v>0</v>
      </c>
      <c r="N437" s="300">
        <f>SAÍDAS!O57*(SAÍDAS!$U57/100)</f>
        <v>0</v>
      </c>
      <c r="O437" s="300">
        <f>SAÍDAS!P57*(SAÍDAS!$U57/100)</f>
        <v>0</v>
      </c>
      <c r="P437" s="300"/>
      <c r="Q437" s="672"/>
      <c r="R437" s="783"/>
      <c r="S437" s="783"/>
      <c r="T437" s="783"/>
      <c r="U437" s="783"/>
      <c r="V437" s="783"/>
      <c r="W437" s="783"/>
      <c r="X437" s="783"/>
      <c r="Y437" s="783"/>
    </row>
    <row r="438" spans="1:25" hidden="1" x14ac:dyDescent="0.25">
      <c r="A438" s="670">
        <v>28</v>
      </c>
      <c r="B438" s="739" t="str">
        <f>SAÍDAS!C58</f>
        <v>Manutenção de Máquinas e Instalações</v>
      </c>
      <c r="C438" s="300">
        <f t="shared" si="154"/>
        <v>0</v>
      </c>
      <c r="D438" s="300">
        <f>SAÍDAS!E58*(SAÍDAS!$U58/100)</f>
        <v>0</v>
      </c>
      <c r="E438" s="300">
        <f>SAÍDAS!F58*(SAÍDAS!$U58/100)</f>
        <v>0</v>
      </c>
      <c r="F438" s="300">
        <f>SAÍDAS!G58*(SAÍDAS!$U58/100)</f>
        <v>0</v>
      </c>
      <c r="G438" s="300">
        <f>SAÍDAS!H58*(SAÍDAS!$U58/100)</f>
        <v>0</v>
      </c>
      <c r="H438" s="300">
        <f>SAÍDAS!I58*(SAÍDAS!$U58/100)</f>
        <v>0</v>
      </c>
      <c r="I438" s="300">
        <f>SAÍDAS!J58*(SAÍDAS!$U58/100)</f>
        <v>0</v>
      </c>
      <c r="J438" s="300">
        <f>SAÍDAS!K58*(SAÍDAS!$U58/100)</f>
        <v>0</v>
      </c>
      <c r="K438" s="300">
        <f>SAÍDAS!L58*(SAÍDAS!$U58/100)</f>
        <v>0</v>
      </c>
      <c r="L438" s="300">
        <f>SAÍDAS!M58*(SAÍDAS!$U58/100)</f>
        <v>0</v>
      </c>
      <c r="M438" s="300">
        <f>SAÍDAS!N58*(SAÍDAS!$U58/100)</f>
        <v>0</v>
      </c>
      <c r="N438" s="300">
        <f>SAÍDAS!O58*(SAÍDAS!$U58/100)</f>
        <v>0</v>
      </c>
      <c r="O438" s="300">
        <f>SAÍDAS!P58*(SAÍDAS!$U58/100)</f>
        <v>0</v>
      </c>
      <c r="P438" s="300"/>
      <c r="Q438" s="672"/>
      <c r="R438" s="783"/>
      <c r="S438" s="783"/>
      <c r="T438" s="783"/>
      <c r="U438" s="783"/>
      <c r="V438" s="783"/>
      <c r="W438" s="783"/>
      <c r="X438" s="783"/>
      <c r="Y438" s="783"/>
    </row>
    <row r="439" spans="1:25" hidden="1" x14ac:dyDescent="0.25">
      <c r="A439" s="670">
        <v>29</v>
      </c>
      <c r="B439" s="739" t="str">
        <f>SAÍDAS!C59</f>
        <v>Manutenção de Máquinas e Instalações</v>
      </c>
      <c r="C439" s="300">
        <f t="shared" si="154"/>
        <v>0</v>
      </c>
      <c r="D439" s="300">
        <f>SAÍDAS!E59*(SAÍDAS!$U59/100)</f>
        <v>0</v>
      </c>
      <c r="E439" s="300">
        <f>SAÍDAS!F59*(SAÍDAS!$U59/100)</f>
        <v>0</v>
      </c>
      <c r="F439" s="300">
        <f>SAÍDAS!G59*(SAÍDAS!$U59/100)</f>
        <v>0</v>
      </c>
      <c r="G439" s="300">
        <f>SAÍDAS!H59*(SAÍDAS!$U59/100)</f>
        <v>0</v>
      </c>
      <c r="H439" s="300">
        <f>SAÍDAS!I59*(SAÍDAS!$U59/100)</f>
        <v>0</v>
      </c>
      <c r="I439" s="300">
        <f>SAÍDAS!J59*(SAÍDAS!$U59/100)</f>
        <v>0</v>
      </c>
      <c r="J439" s="300">
        <f>SAÍDAS!K59*(SAÍDAS!$U59/100)</f>
        <v>0</v>
      </c>
      <c r="K439" s="300">
        <f>SAÍDAS!L59*(SAÍDAS!$U59/100)</f>
        <v>0</v>
      </c>
      <c r="L439" s="300">
        <f>SAÍDAS!M59*(SAÍDAS!$U59/100)</f>
        <v>0</v>
      </c>
      <c r="M439" s="300">
        <f>SAÍDAS!N59*(SAÍDAS!$U59/100)</f>
        <v>0</v>
      </c>
      <c r="N439" s="300">
        <f>SAÍDAS!O59*(SAÍDAS!$U59/100)</f>
        <v>0</v>
      </c>
      <c r="O439" s="300">
        <f>SAÍDAS!P59*(SAÍDAS!$U59/100)</f>
        <v>0</v>
      </c>
      <c r="P439" s="300"/>
      <c r="Q439" s="672"/>
      <c r="R439" s="783"/>
      <c r="S439" s="783"/>
      <c r="T439" s="783"/>
      <c r="U439" s="783"/>
      <c r="V439" s="783"/>
      <c r="W439" s="783"/>
      <c r="X439" s="783"/>
      <c r="Y439" s="783"/>
    </row>
    <row r="440" spans="1:25" hidden="1" x14ac:dyDescent="0.25">
      <c r="A440" s="670">
        <v>30</v>
      </c>
      <c r="B440" s="739" t="str">
        <f>SAÍDAS!C60</f>
        <v>Combustível e Energia</v>
      </c>
      <c r="C440" s="300">
        <f t="shared" si="154"/>
        <v>0</v>
      </c>
      <c r="D440" s="300">
        <f>SAÍDAS!E60*(SAÍDAS!$U60/100)</f>
        <v>0</v>
      </c>
      <c r="E440" s="300">
        <f>SAÍDAS!F60*(SAÍDAS!$U60/100)</f>
        <v>0</v>
      </c>
      <c r="F440" s="300">
        <f>SAÍDAS!G60*(SAÍDAS!$U60/100)</f>
        <v>0</v>
      </c>
      <c r="G440" s="300">
        <f>SAÍDAS!H60*(SAÍDAS!$U60/100)</f>
        <v>0</v>
      </c>
      <c r="H440" s="300">
        <f>SAÍDAS!I60*(SAÍDAS!$U60/100)</f>
        <v>0</v>
      </c>
      <c r="I440" s="300">
        <f>SAÍDAS!J60*(SAÍDAS!$U60/100)</f>
        <v>0</v>
      </c>
      <c r="J440" s="300">
        <f>SAÍDAS!K60*(SAÍDAS!$U60/100)</f>
        <v>0</v>
      </c>
      <c r="K440" s="300">
        <f>SAÍDAS!L60*(SAÍDAS!$U60/100)</f>
        <v>0</v>
      </c>
      <c r="L440" s="300">
        <f>SAÍDAS!M60*(SAÍDAS!$U60/100)</f>
        <v>0</v>
      </c>
      <c r="M440" s="300">
        <f>SAÍDAS!N60*(SAÍDAS!$U60/100)</f>
        <v>0</v>
      </c>
      <c r="N440" s="300">
        <f>SAÍDAS!O60*(SAÍDAS!$U60/100)</f>
        <v>0</v>
      </c>
      <c r="O440" s="300">
        <f>SAÍDAS!P60*(SAÍDAS!$U60/100)</f>
        <v>0</v>
      </c>
      <c r="P440" s="300"/>
      <c r="Q440" s="672"/>
      <c r="R440" s="783"/>
      <c r="S440" s="783"/>
      <c r="T440" s="783"/>
      <c r="U440" s="783"/>
      <c r="V440" s="783"/>
      <c r="W440" s="783"/>
      <c r="X440" s="783"/>
      <c r="Y440" s="783"/>
    </row>
    <row r="441" spans="1:25" hidden="1" x14ac:dyDescent="0.25">
      <c r="A441" s="670">
        <v>31</v>
      </c>
      <c r="B441" s="739" t="str">
        <f>SAÍDAS!C61</f>
        <v>Tarifas e Impostos</v>
      </c>
      <c r="C441" s="300">
        <f t="shared" si="154"/>
        <v>0</v>
      </c>
      <c r="D441" s="300">
        <f>SAÍDAS!E61*(SAÍDAS!$U61/100)</f>
        <v>0</v>
      </c>
      <c r="E441" s="300">
        <f>SAÍDAS!F61*(SAÍDAS!$U61/100)</f>
        <v>0</v>
      </c>
      <c r="F441" s="300">
        <f>SAÍDAS!G61*(SAÍDAS!$U61/100)</f>
        <v>0</v>
      </c>
      <c r="G441" s="300">
        <f>SAÍDAS!H61*(SAÍDAS!$U61/100)</f>
        <v>0</v>
      </c>
      <c r="H441" s="300">
        <f>SAÍDAS!I61*(SAÍDAS!$U61/100)</f>
        <v>0</v>
      </c>
      <c r="I441" s="300">
        <f>SAÍDAS!J61*(SAÍDAS!$U61/100)</f>
        <v>0</v>
      </c>
      <c r="J441" s="300">
        <f>SAÍDAS!K61*(SAÍDAS!$U61/100)</f>
        <v>0</v>
      </c>
      <c r="K441" s="300">
        <f>SAÍDAS!L61*(SAÍDAS!$U61/100)</f>
        <v>0</v>
      </c>
      <c r="L441" s="300">
        <f>SAÍDAS!M61*(SAÍDAS!$U61/100)</f>
        <v>0</v>
      </c>
      <c r="M441" s="300">
        <f>SAÍDAS!N61*(SAÍDAS!$U61/100)</f>
        <v>0</v>
      </c>
      <c r="N441" s="300">
        <f>SAÍDAS!O61*(SAÍDAS!$U61/100)</f>
        <v>0</v>
      </c>
      <c r="O441" s="300">
        <f>SAÍDAS!P61*(SAÍDAS!$U61/100)</f>
        <v>0</v>
      </c>
      <c r="P441" s="300"/>
      <c r="Q441" s="672"/>
      <c r="R441" s="783"/>
      <c r="S441" s="783"/>
      <c r="T441" s="783"/>
      <c r="U441" s="783"/>
      <c r="V441" s="783"/>
      <c r="W441" s="783"/>
      <c r="X441" s="783"/>
      <c r="Y441" s="783"/>
    </row>
    <row r="442" spans="1:25" hidden="1" x14ac:dyDescent="0.25">
      <c r="A442" s="670">
        <v>32</v>
      </c>
      <c r="B442" s="739" t="str">
        <f>SAÍDAS!C62</f>
        <v>Tarifas e Impostos</v>
      </c>
      <c r="C442" s="300">
        <f t="shared" si="154"/>
        <v>0</v>
      </c>
      <c r="D442" s="300">
        <f>SAÍDAS!E62*(SAÍDAS!$U62/100)</f>
        <v>0</v>
      </c>
      <c r="E442" s="300">
        <f>SAÍDAS!F62*(SAÍDAS!$U62/100)</f>
        <v>0</v>
      </c>
      <c r="F442" s="300">
        <f>SAÍDAS!G62*(SAÍDAS!$U62/100)</f>
        <v>0</v>
      </c>
      <c r="G442" s="300">
        <f>SAÍDAS!H62*(SAÍDAS!$U62/100)</f>
        <v>0</v>
      </c>
      <c r="H442" s="300">
        <f>SAÍDAS!I62*(SAÍDAS!$U62/100)</f>
        <v>0</v>
      </c>
      <c r="I442" s="300">
        <f>SAÍDAS!J62*(SAÍDAS!$U62/100)</f>
        <v>0</v>
      </c>
      <c r="J442" s="300">
        <f>SAÍDAS!K62*(SAÍDAS!$U62/100)</f>
        <v>0</v>
      </c>
      <c r="K442" s="300">
        <f>SAÍDAS!L62*(SAÍDAS!$U62/100)</f>
        <v>0</v>
      </c>
      <c r="L442" s="300">
        <f>SAÍDAS!M62*(SAÍDAS!$U62/100)</f>
        <v>0</v>
      </c>
      <c r="M442" s="300">
        <f>SAÍDAS!N62*(SAÍDAS!$U62/100)</f>
        <v>0</v>
      </c>
      <c r="N442" s="300">
        <f>SAÍDAS!O62*(SAÍDAS!$U62/100)</f>
        <v>0</v>
      </c>
      <c r="O442" s="300">
        <f>SAÍDAS!P62*(SAÍDAS!$U62/100)</f>
        <v>0</v>
      </c>
      <c r="P442" s="300"/>
      <c r="Q442" s="672"/>
      <c r="R442" s="783"/>
      <c r="S442" s="783"/>
      <c r="T442" s="783"/>
      <c r="U442" s="783"/>
      <c r="V442" s="783"/>
      <c r="W442" s="783"/>
      <c r="X442" s="783"/>
      <c r="Y442" s="783"/>
    </row>
    <row r="443" spans="1:25" hidden="1" x14ac:dyDescent="0.25">
      <c r="A443" s="670">
        <v>33</v>
      </c>
      <c r="B443" s="739" t="str">
        <f>SAÍDAS!C63</f>
        <v>Tarifas e Impostos</v>
      </c>
      <c r="C443" s="300">
        <f t="shared" si="154"/>
        <v>0</v>
      </c>
      <c r="D443" s="300">
        <f>SAÍDAS!E63*(SAÍDAS!$U63/100)</f>
        <v>0</v>
      </c>
      <c r="E443" s="300">
        <f>SAÍDAS!F63*(SAÍDAS!$U63/100)</f>
        <v>0</v>
      </c>
      <c r="F443" s="300">
        <f>SAÍDAS!G63*(SAÍDAS!$U63/100)</f>
        <v>0</v>
      </c>
      <c r="G443" s="300">
        <f>SAÍDAS!H63*(SAÍDAS!$U63/100)</f>
        <v>0</v>
      </c>
      <c r="H443" s="300">
        <f>SAÍDAS!I63*(SAÍDAS!$U63/100)</f>
        <v>0</v>
      </c>
      <c r="I443" s="300">
        <f>SAÍDAS!J63*(SAÍDAS!$U63/100)</f>
        <v>0</v>
      </c>
      <c r="J443" s="300">
        <f>SAÍDAS!K63*(SAÍDAS!$U63/100)</f>
        <v>0</v>
      </c>
      <c r="K443" s="300">
        <f>SAÍDAS!L63*(SAÍDAS!$U63/100)</f>
        <v>0</v>
      </c>
      <c r="L443" s="300">
        <f>SAÍDAS!M63*(SAÍDAS!$U63/100)</f>
        <v>0</v>
      </c>
      <c r="M443" s="300">
        <f>SAÍDAS!N63*(SAÍDAS!$U63/100)</f>
        <v>0</v>
      </c>
      <c r="N443" s="300">
        <f>SAÍDAS!O63*(SAÍDAS!$U63/100)</f>
        <v>0</v>
      </c>
      <c r="O443" s="300">
        <f>SAÍDAS!P63*(SAÍDAS!$U63/100)</f>
        <v>0</v>
      </c>
      <c r="P443" s="300"/>
      <c r="Q443" s="672"/>
      <c r="R443" s="783"/>
      <c r="S443" s="783"/>
      <c r="T443" s="783"/>
      <c r="U443" s="783"/>
      <c r="V443" s="783"/>
      <c r="W443" s="783"/>
      <c r="X443" s="783"/>
      <c r="Y443" s="783"/>
    </row>
    <row r="444" spans="1:25" hidden="1" x14ac:dyDescent="0.25">
      <c r="A444" s="670">
        <v>34</v>
      </c>
      <c r="B444" s="739" t="str">
        <f>SAÍDAS!C64</f>
        <v>Tarifas e Impostos</v>
      </c>
      <c r="C444" s="300">
        <f t="shared" si="154"/>
        <v>0</v>
      </c>
      <c r="D444" s="300">
        <f>SAÍDAS!E64*(SAÍDAS!$U64/100)</f>
        <v>0</v>
      </c>
      <c r="E444" s="300">
        <f>SAÍDAS!F64*(SAÍDAS!$U64/100)</f>
        <v>0</v>
      </c>
      <c r="F444" s="300">
        <f>SAÍDAS!G64*(SAÍDAS!$U64/100)</f>
        <v>0</v>
      </c>
      <c r="G444" s="300">
        <f>SAÍDAS!H64*(SAÍDAS!$U64/100)</f>
        <v>0</v>
      </c>
      <c r="H444" s="300">
        <f>SAÍDAS!I64*(SAÍDAS!$U64/100)</f>
        <v>0</v>
      </c>
      <c r="I444" s="300">
        <f>SAÍDAS!J64*(SAÍDAS!$U64/100)</f>
        <v>0</v>
      </c>
      <c r="J444" s="300">
        <f>SAÍDAS!K64*(SAÍDAS!$U64/100)</f>
        <v>0</v>
      </c>
      <c r="K444" s="300">
        <f>SAÍDAS!L64*(SAÍDAS!$U64/100)</f>
        <v>0</v>
      </c>
      <c r="L444" s="300">
        <f>SAÍDAS!M64*(SAÍDAS!$U64/100)</f>
        <v>0</v>
      </c>
      <c r="M444" s="300">
        <f>SAÍDAS!N64*(SAÍDAS!$U64/100)</f>
        <v>0</v>
      </c>
      <c r="N444" s="300">
        <f>SAÍDAS!O64*(SAÍDAS!$U64/100)</f>
        <v>0</v>
      </c>
      <c r="O444" s="300">
        <f>SAÍDAS!P64*(SAÍDAS!$U64/100)</f>
        <v>0</v>
      </c>
      <c r="P444" s="300"/>
      <c r="Q444" s="672"/>
      <c r="R444" s="783"/>
      <c r="S444" s="783"/>
      <c r="T444" s="783"/>
      <c r="U444" s="783"/>
      <c r="V444" s="783"/>
      <c r="W444" s="783"/>
      <c r="X444" s="783"/>
      <c r="Y444" s="783"/>
    </row>
    <row r="445" spans="1:25" hidden="1" x14ac:dyDescent="0.25">
      <c r="A445" s="670">
        <v>35</v>
      </c>
      <c r="B445" s="739" t="str">
        <f>SAÍDAS!C65</f>
        <v>Outros</v>
      </c>
      <c r="C445" s="300">
        <f t="shared" si="154"/>
        <v>0</v>
      </c>
      <c r="D445" s="300">
        <f>SAÍDAS!E65*(SAÍDAS!$U65/100)</f>
        <v>0</v>
      </c>
      <c r="E445" s="300">
        <f>SAÍDAS!F65*(SAÍDAS!$U65/100)</f>
        <v>0</v>
      </c>
      <c r="F445" s="300">
        <f>SAÍDAS!G65*(SAÍDAS!$U65/100)</f>
        <v>0</v>
      </c>
      <c r="G445" s="300">
        <f>SAÍDAS!H65*(SAÍDAS!$U65/100)</f>
        <v>0</v>
      </c>
      <c r="H445" s="300">
        <f>SAÍDAS!I65*(SAÍDAS!$U65/100)</f>
        <v>0</v>
      </c>
      <c r="I445" s="300">
        <f>SAÍDAS!J65*(SAÍDAS!$U65/100)</f>
        <v>0</v>
      </c>
      <c r="J445" s="300">
        <f>SAÍDAS!K65*(SAÍDAS!$U65/100)</f>
        <v>0</v>
      </c>
      <c r="K445" s="300">
        <f>SAÍDAS!L65*(SAÍDAS!$U65/100)</f>
        <v>0</v>
      </c>
      <c r="L445" s="300">
        <f>SAÍDAS!M65*(SAÍDAS!$U65/100)</f>
        <v>0</v>
      </c>
      <c r="M445" s="300">
        <f>SAÍDAS!N65*(SAÍDAS!$U65/100)</f>
        <v>0</v>
      </c>
      <c r="N445" s="300">
        <f>SAÍDAS!O65*(SAÍDAS!$U65/100)</f>
        <v>0</v>
      </c>
      <c r="O445" s="300">
        <f>SAÍDAS!P65*(SAÍDAS!$U65/100)</f>
        <v>0</v>
      </c>
      <c r="P445" s="300"/>
      <c r="Q445" s="672"/>
      <c r="R445" s="783"/>
      <c r="S445" s="783"/>
      <c r="T445" s="783"/>
      <c r="U445" s="783"/>
      <c r="V445" s="783"/>
      <c r="W445" s="783"/>
      <c r="X445" s="783"/>
      <c r="Y445" s="783"/>
    </row>
    <row r="446" spans="1:25" hidden="1" x14ac:dyDescent="0.25">
      <c r="A446" s="670">
        <v>36</v>
      </c>
      <c r="B446" s="739" t="str">
        <f>SAÍDAS!C66</f>
        <v>Parceria em Confinamento Chaparral</v>
      </c>
      <c r="C446" s="300">
        <f t="shared" si="154"/>
        <v>0</v>
      </c>
      <c r="D446" s="300">
        <f>SAÍDAS!E66*(SAÍDAS!$U66/100)</f>
        <v>0</v>
      </c>
      <c r="E446" s="300">
        <f>SAÍDAS!F66*(SAÍDAS!$U66/100)</f>
        <v>0</v>
      </c>
      <c r="F446" s="300">
        <f>SAÍDAS!G66*(SAÍDAS!$U66/100)</f>
        <v>0</v>
      </c>
      <c r="G446" s="300">
        <f>SAÍDAS!H66*(SAÍDAS!$U66/100)</f>
        <v>0</v>
      </c>
      <c r="H446" s="300">
        <f>SAÍDAS!I66*(SAÍDAS!$U66/100)</f>
        <v>0</v>
      </c>
      <c r="I446" s="300">
        <f>SAÍDAS!J66*(SAÍDAS!$U66/100)</f>
        <v>0</v>
      </c>
      <c r="J446" s="300">
        <f>SAÍDAS!K66*(SAÍDAS!$U66/100)</f>
        <v>0</v>
      </c>
      <c r="K446" s="300">
        <f>SAÍDAS!L66*(SAÍDAS!$U66/100)</f>
        <v>0</v>
      </c>
      <c r="L446" s="300">
        <f>SAÍDAS!M66*(SAÍDAS!$U66/100)</f>
        <v>0</v>
      </c>
      <c r="M446" s="300">
        <f>SAÍDAS!N66*(SAÍDAS!$U66/100)</f>
        <v>0</v>
      </c>
      <c r="N446" s="300">
        <f>SAÍDAS!O66*(SAÍDAS!$U66/100)</f>
        <v>0</v>
      </c>
      <c r="O446" s="300">
        <f>SAÍDAS!P66*(SAÍDAS!$U66/100)</f>
        <v>0</v>
      </c>
      <c r="P446" s="300"/>
      <c r="Q446" s="672"/>
      <c r="R446" s="783"/>
      <c r="S446" s="783"/>
      <c r="T446" s="783"/>
      <c r="U446" s="783"/>
      <c r="V446" s="783"/>
      <c r="W446" s="783"/>
      <c r="X446" s="783"/>
      <c r="Y446" s="783"/>
    </row>
    <row r="447" spans="1:25" hidden="1" x14ac:dyDescent="0.25">
      <c r="A447" s="670">
        <v>37</v>
      </c>
      <c r="B447" s="739" t="str">
        <f>SAÍDAS!C67</f>
        <v>Outros</v>
      </c>
      <c r="C447" s="300">
        <f t="shared" si="154"/>
        <v>0</v>
      </c>
      <c r="D447" s="300">
        <f>SAÍDAS!E67*(SAÍDAS!$U67/100)</f>
        <v>0</v>
      </c>
      <c r="E447" s="300">
        <f>SAÍDAS!F67*(SAÍDAS!$U67/100)</f>
        <v>0</v>
      </c>
      <c r="F447" s="300">
        <f>SAÍDAS!G67*(SAÍDAS!$U67/100)</f>
        <v>0</v>
      </c>
      <c r="G447" s="300">
        <f>SAÍDAS!H67*(SAÍDAS!$U67/100)</f>
        <v>0</v>
      </c>
      <c r="H447" s="300">
        <f>SAÍDAS!I67*(SAÍDAS!$U67/100)</f>
        <v>0</v>
      </c>
      <c r="I447" s="300">
        <f>SAÍDAS!J67*(SAÍDAS!$U67/100)</f>
        <v>0</v>
      </c>
      <c r="J447" s="300">
        <f>SAÍDAS!K67*(SAÍDAS!$U67/100)</f>
        <v>0</v>
      </c>
      <c r="K447" s="300">
        <f>SAÍDAS!L67*(SAÍDAS!$U67/100)</f>
        <v>0</v>
      </c>
      <c r="L447" s="300">
        <f>SAÍDAS!M67*(SAÍDAS!$U67/100)</f>
        <v>0</v>
      </c>
      <c r="M447" s="300">
        <f>SAÍDAS!N67*(SAÍDAS!$U67/100)</f>
        <v>0</v>
      </c>
      <c r="N447" s="300">
        <f>SAÍDAS!O67*(SAÍDAS!$U67/100)</f>
        <v>0</v>
      </c>
      <c r="O447" s="300">
        <f>SAÍDAS!P67*(SAÍDAS!$U67/100)</f>
        <v>0</v>
      </c>
      <c r="P447" s="300"/>
      <c r="Q447" s="672"/>
      <c r="R447" s="783"/>
      <c r="S447" s="783"/>
      <c r="T447" s="783"/>
      <c r="U447" s="783"/>
      <c r="V447" s="783"/>
      <c r="W447" s="783"/>
      <c r="X447" s="783"/>
      <c r="Y447" s="783"/>
    </row>
    <row r="448" spans="1:25" hidden="1" x14ac:dyDescent="0.25">
      <c r="A448" s="670">
        <v>38</v>
      </c>
      <c r="B448" s="739" t="str">
        <f>SAÍDAS!C68</f>
        <v>Outros</v>
      </c>
      <c r="C448" s="300">
        <f t="shared" si="154"/>
        <v>0</v>
      </c>
      <c r="D448" s="300">
        <f>SAÍDAS!E68*(SAÍDAS!$U68/100)</f>
        <v>0</v>
      </c>
      <c r="E448" s="300">
        <f>SAÍDAS!F68*(SAÍDAS!$U68/100)</f>
        <v>0</v>
      </c>
      <c r="F448" s="300">
        <f>SAÍDAS!G68*(SAÍDAS!$U68/100)</f>
        <v>0</v>
      </c>
      <c r="G448" s="300">
        <f>SAÍDAS!H68*(SAÍDAS!$U68/100)</f>
        <v>0</v>
      </c>
      <c r="H448" s="300">
        <f>SAÍDAS!I68*(SAÍDAS!$U68/100)</f>
        <v>0</v>
      </c>
      <c r="I448" s="300">
        <f>SAÍDAS!J68*(SAÍDAS!$U68/100)</f>
        <v>0</v>
      </c>
      <c r="J448" s="300">
        <f>SAÍDAS!K68*(SAÍDAS!$U68/100)</f>
        <v>0</v>
      </c>
      <c r="K448" s="300">
        <f>SAÍDAS!L68*(SAÍDAS!$U68/100)</f>
        <v>0</v>
      </c>
      <c r="L448" s="300">
        <f>SAÍDAS!M68*(SAÍDAS!$U68/100)</f>
        <v>0</v>
      </c>
      <c r="M448" s="300">
        <f>SAÍDAS!N68*(SAÍDAS!$U68/100)</f>
        <v>0</v>
      </c>
      <c r="N448" s="300">
        <f>SAÍDAS!O68*(SAÍDAS!$U68/100)</f>
        <v>0</v>
      </c>
      <c r="O448" s="300">
        <f>SAÍDAS!P68*(SAÍDAS!$U68/100)</f>
        <v>0</v>
      </c>
      <c r="P448" s="300"/>
      <c r="Q448" s="672"/>
      <c r="R448" s="783"/>
      <c r="S448" s="783"/>
      <c r="T448" s="783"/>
      <c r="U448" s="783"/>
      <c r="V448" s="783"/>
      <c r="W448" s="783"/>
      <c r="X448" s="783"/>
      <c r="Y448" s="783"/>
    </row>
    <row r="449" spans="1:25" hidden="1" x14ac:dyDescent="0.25">
      <c r="A449" s="670">
        <v>39</v>
      </c>
      <c r="B449" s="739" t="str">
        <f>SAÍDAS!C69</f>
        <v>Animais</v>
      </c>
      <c r="C449" s="300">
        <f t="shared" si="154"/>
        <v>0</v>
      </c>
      <c r="D449" s="300">
        <f>SAÍDAS!E69*(SAÍDAS!$U69/100)</f>
        <v>0</v>
      </c>
      <c r="E449" s="300">
        <f>SAÍDAS!F69*(SAÍDAS!$U69/100)</f>
        <v>0</v>
      </c>
      <c r="F449" s="300">
        <f>SAÍDAS!G69*(SAÍDAS!$U69/100)</f>
        <v>0</v>
      </c>
      <c r="G449" s="300">
        <f>SAÍDAS!H69*(SAÍDAS!$U69/100)</f>
        <v>0</v>
      </c>
      <c r="H449" s="300">
        <f>SAÍDAS!I69*(SAÍDAS!$U69/100)</f>
        <v>0</v>
      </c>
      <c r="I449" s="300">
        <f>SAÍDAS!J69*(SAÍDAS!$U69/100)</f>
        <v>0</v>
      </c>
      <c r="J449" s="300">
        <f>SAÍDAS!K69*(SAÍDAS!$U69/100)</f>
        <v>0</v>
      </c>
      <c r="K449" s="300">
        <f>SAÍDAS!L69*(SAÍDAS!$U69/100)</f>
        <v>0</v>
      </c>
      <c r="L449" s="300">
        <f>SAÍDAS!M69*(SAÍDAS!$U69/100)</f>
        <v>0</v>
      </c>
      <c r="M449" s="300">
        <f>SAÍDAS!N69*(SAÍDAS!$U69/100)</f>
        <v>0</v>
      </c>
      <c r="N449" s="300">
        <f>SAÍDAS!O69*(SAÍDAS!$U69/100)</f>
        <v>0</v>
      </c>
      <c r="O449" s="300">
        <f>SAÍDAS!P69*(SAÍDAS!$U69/100)</f>
        <v>0</v>
      </c>
      <c r="P449" s="300"/>
      <c r="Q449" s="672"/>
      <c r="R449" s="783"/>
      <c r="S449" s="783"/>
      <c r="T449" s="783"/>
      <c r="U449" s="783"/>
      <c r="V449" s="783"/>
      <c r="W449" s="783"/>
      <c r="X449" s="783"/>
      <c r="Y449" s="783"/>
    </row>
    <row r="450" spans="1:25" hidden="1" x14ac:dyDescent="0.25">
      <c r="A450" s="670">
        <v>40</v>
      </c>
      <c r="B450" s="740" t="s">
        <v>179</v>
      </c>
      <c r="C450" s="300">
        <f t="shared" si="154"/>
        <v>0</v>
      </c>
      <c r="D450" s="300">
        <f t="shared" ref="D450:O450" si="155">SUM(D411:D449)</f>
        <v>0</v>
      </c>
      <c r="E450" s="300">
        <f>SUM(E411:E449)</f>
        <v>0</v>
      </c>
      <c r="F450" s="300">
        <f t="shared" si="155"/>
        <v>0</v>
      </c>
      <c r="G450" s="300">
        <f t="shared" si="155"/>
        <v>0</v>
      </c>
      <c r="H450" s="300">
        <f t="shared" si="155"/>
        <v>0</v>
      </c>
      <c r="I450" s="300">
        <f t="shared" si="155"/>
        <v>0</v>
      </c>
      <c r="J450" s="300">
        <f t="shared" si="155"/>
        <v>0</v>
      </c>
      <c r="K450" s="300">
        <f t="shared" si="155"/>
        <v>0</v>
      </c>
      <c r="L450" s="300">
        <f t="shared" si="155"/>
        <v>0</v>
      </c>
      <c r="M450" s="300">
        <f t="shared" si="155"/>
        <v>0</v>
      </c>
      <c r="N450" s="300">
        <f t="shared" si="155"/>
        <v>0</v>
      </c>
      <c r="O450" s="300">
        <f t="shared" si="155"/>
        <v>0</v>
      </c>
      <c r="P450" s="300"/>
      <c r="Q450" s="672"/>
      <c r="R450" s="783"/>
      <c r="S450" s="783"/>
      <c r="T450" s="783"/>
      <c r="U450" s="783"/>
      <c r="V450" s="783"/>
      <c r="W450" s="783"/>
      <c r="X450" s="783"/>
      <c r="Y450" s="783"/>
    </row>
    <row r="451" spans="1:25" hidden="1" x14ac:dyDescent="0.25">
      <c r="A451" s="670">
        <v>41</v>
      </c>
      <c r="B451" s="740"/>
      <c r="C451" s="300"/>
      <c r="D451" s="300"/>
      <c r="E451" s="300"/>
      <c r="F451" s="300"/>
      <c r="G451" s="300"/>
      <c r="H451" s="300"/>
      <c r="I451" s="300"/>
      <c r="J451" s="300"/>
      <c r="K451" s="300"/>
      <c r="L451" s="300"/>
      <c r="M451" s="300"/>
      <c r="N451" s="300"/>
      <c r="O451" s="300"/>
      <c r="P451" s="300"/>
      <c r="Q451" s="672"/>
      <c r="R451" s="783"/>
      <c r="S451" s="783"/>
      <c r="T451" s="783"/>
      <c r="U451" s="783"/>
      <c r="V451" s="783"/>
      <c r="W451" s="783"/>
      <c r="X451" s="783"/>
      <c r="Y451" s="783"/>
    </row>
    <row r="452" spans="1:25" ht="15.75" hidden="1" thickBot="1" x14ac:dyDescent="0.3">
      <c r="A452" s="670">
        <v>42</v>
      </c>
      <c r="B452" s="740"/>
      <c r="C452" s="300"/>
      <c r="D452" s="300"/>
      <c r="E452" s="300"/>
      <c r="F452" s="300"/>
      <c r="G452" s="300"/>
      <c r="H452" s="300"/>
      <c r="I452" s="300"/>
      <c r="J452" s="300"/>
      <c r="K452" s="300"/>
      <c r="L452" s="300"/>
      <c r="M452" s="300"/>
      <c r="N452" s="300"/>
      <c r="O452" s="300"/>
      <c r="P452" s="300"/>
      <c r="Q452" s="672"/>
      <c r="R452" s="783"/>
      <c r="S452" s="783"/>
      <c r="T452" s="783"/>
      <c r="U452" s="783"/>
      <c r="V452" s="783"/>
      <c r="W452" s="783"/>
      <c r="X452" s="783"/>
      <c r="Y452" s="783"/>
    </row>
    <row r="453" spans="1:25" ht="15.75" hidden="1" thickTop="1" x14ac:dyDescent="0.25">
      <c r="A453" s="670">
        <v>43</v>
      </c>
      <c r="B453" s="789" t="str">
        <f>SAÍDAS!C73</f>
        <v>Tarifas e Impostos</v>
      </c>
      <c r="C453" s="300">
        <f t="shared" ref="C453:C470" si="156">SUM(D453:O453)</f>
        <v>0</v>
      </c>
      <c r="D453" s="300">
        <f>SAÍDAS!E73*(SAÍDAS!$U73/100)</f>
        <v>0</v>
      </c>
      <c r="E453" s="300">
        <f>SAÍDAS!F73*(SAÍDAS!$U73/100)</f>
        <v>0</v>
      </c>
      <c r="F453" s="300">
        <f>SAÍDAS!G73*(SAÍDAS!$U73/100)</f>
        <v>0</v>
      </c>
      <c r="G453" s="300">
        <f>SAÍDAS!H73*(SAÍDAS!$U73/100)</f>
        <v>0</v>
      </c>
      <c r="H453" s="300">
        <f>SAÍDAS!I73*(SAÍDAS!$U73/100)</f>
        <v>0</v>
      </c>
      <c r="I453" s="300">
        <f>SAÍDAS!J73*(SAÍDAS!$U73/100)</f>
        <v>0</v>
      </c>
      <c r="J453" s="300">
        <f>SAÍDAS!K73*(SAÍDAS!$U73/100)</f>
        <v>0</v>
      </c>
      <c r="K453" s="300">
        <f>SAÍDAS!L73*(SAÍDAS!$U73/100)</f>
        <v>0</v>
      </c>
      <c r="L453" s="300">
        <f>SAÍDAS!M73*(SAÍDAS!$U73/100)</f>
        <v>0</v>
      </c>
      <c r="M453" s="300">
        <f>SAÍDAS!N73*(SAÍDAS!$U73/100)</f>
        <v>0</v>
      </c>
      <c r="N453" s="300">
        <f>SAÍDAS!O73*(SAÍDAS!$U73/100)</f>
        <v>0</v>
      </c>
      <c r="O453" s="300">
        <f>SAÍDAS!P73*(SAÍDAS!$U73/100)</f>
        <v>0</v>
      </c>
      <c r="P453" s="300"/>
      <c r="Q453" s="672"/>
      <c r="R453" s="783"/>
      <c r="S453" s="783"/>
      <c r="T453" s="783"/>
      <c r="U453" s="783"/>
      <c r="V453" s="783"/>
      <c r="W453" s="783"/>
      <c r="X453" s="783"/>
      <c r="Y453" s="783"/>
    </row>
    <row r="454" spans="1:25" hidden="1" x14ac:dyDescent="0.25">
      <c r="A454" s="670">
        <v>44</v>
      </c>
      <c r="B454" s="790" t="str">
        <f>SAÍDAS!C74</f>
        <v>Tarifas e Impostos</v>
      </c>
      <c r="C454" s="300">
        <f t="shared" si="156"/>
        <v>0</v>
      </c>
      <c r="D454" s="300">
        <f>SAÍDAS!E74*(SAÍDAS!$U74/100)</f>
        <v>0</v>
      </c>
      <c r="E454" s="300">
        <f>SAÍDAS!F74*(SAÍDAS!$U74/100)</f>
        <v>0</v>
      </c>
      <c r="F454" s="300">
        <f>SAÍDAS!G74*(SAÍDAS!$U74/100)</f>
        <v>0</v>
      </c>
      <c r="G454" s="300">
        <f>SAÍDAS!H74*(SAÍDAS!$U74/100)</f>
        <v>0</v>
      </c>
      <c r="H454" s="300">
        <f>SAÍDAS!I74*(SAÍDAS!$U74/100)</f>
        <v>0</v>
      </c>
      <c r="I454" s="300">
        <f>SAÍDAS!J74*(SAÍDAS!$U74/100)</f>
        <v>0</v>
      </c>
      <c r="J454" s="300">
        <f>SAÍDAS!K74*(SAÍDAS!$U74/100)</f>
        <v>0</v>
      </c>
      <c r="K454" s="300">
        <f>SAÍDAS!L74*(SAÍDAS!$U74/100)</f>
        <v>0</v>
      </c>
      <c r="L454" s="300">
        <f>SAÍDAS!M74*(SAÍDAS!$U74/100)</f>
        <v>0</v>
      </c>
      <c r="M454" s="300">
        <f>SAÍDAS!N74*(SAÍDAS!$U74/100)</f>
        <v>0</v>
      </c>
      <c r="N454" s="300">
        <f>SAÍDAS!O74*(SAÍDAS!$U74/100)</f>
        <v>0</v>
      </c>
      <c r="O454" s="300">
        <f>SAÍDAS!P74*(SAÍDAS!$U74/100)</f>
        <v>0</v>
      </c>
      <c r="P454" s="300"/>
      <c r="Q454" s="672"/>
      <c r="R454" s="783"/>
      <c r="S454" s="783"/>
      <c r="T454" s="783"/>
      <c r="U454" s="783"/>
      <c r="V454" s="783"/>
      <c r="W454" s="783"/>
      <c r="X454" s="783"/>
      <c r="Y454" s="783"/>
    </row>
    <row r="455" spans="1:25" hidden="1" x14ac:dyDescent="0.25">
      <c r="A455" s="670">
        <v>45</v>
      </c>
      <c r="B455" s="790" t="str">
        <f>SAÍDAS!C75</f>
        <v>Tarifas e Impostos</v>
      </c>
      <c r="C455" s="300">
        <f t="shared" si="156"/>
        <v>0</v>
      </c>
      <c r="D455" s="300">
        <f>SAÍDAS!E75*(SAÍDAS!$U75/100)</f>
        <v>0</v>
      </c>
      <c r="E455" s="300">
        <f>SAÍDAS!F75*(SAÍDAS!$U75/100)</f>
        <v>0</v>
      </c>
      <c r="F455" s="300">
        <f>SAÍDAS!G75*(SAÍDAS!$U75/100)</f>
        <v>0</v>
      </c>
      <c r="G455" s="300">
        <f>SAÍDAS!H75*(SAÍDAS!$U75/100)</f>
        <v>0</v>
      </c>
      <c r="H455" s="300">
        <f>SAÍDAS!I75*(SAÍDAS!$U75/100)</f>
        <v>0</v>
      </c>
      <c r="I455" s="300">
        <f>SAÍDAS!J75*(SAÍDAS!$U75/100)</f>
        <v>0</v>
      </c>
      <c r="J455" s="300">
        <f>SAÍDAS!K75*(SAÍDAS!$U75/100)</f>
        <v>0</v>
      </c>
      <c r="K455" s="300">
        <f>SAÍDAS!L75*(SAÍDAS!$U75/100)</f>
        <v>0</v>
      </c>
      <c r="L455" s="300">
        <f>SAÍDAS!M75*(SAÍDAS!$U75/100)</f>
        <v>0</v>
      </c>
      <c r="M455" s="300">
        <f>SAÍDAS!N75*(SAÍDAS!$U75/100)</f>
        <v>0</v>
      </c>
      <c r="N455" s="300">
        <f>SAÍDAS!O75*(SAÍDAS!$U75/100)</f>
        <v>0</v>
      </c>
      <c r="O455" s="300">
        <f>SAÍDAS!P75*(SAÍDAS!$U75/100)</f>
        <v>0</v>
      </c>
      <c r="P455" s="300"/>
      <c r="Q455" s="672"/>
      <c r="R455" s="783"/>
      <c r="S455" s="783"/>
      <c r="T455" s="783"/>
      <c r="U455" s="783"/>
      <c r="V455" s="783"/>
      <c r="W455" s="783"/>
      <c r="X455" s="783"/>
      <c r="Y455" s="783"/>
    </row>
    <row r="456" spans="1:25" hidden="1" x14ac:dyDescent="0.25">
      <c r="A456" s="670">
        <v>46</v>
      </c>
      <c r="B456" s="790" t="str">
        <f>SAÍDAS!C76</f>
        <v>Tarifas e Impostos</v>
      </c>
      <c r="C456" s="300">
        <f t="shared" si="156"/>
        <v>0</v>
      </c>
      <c r="D456" s="300">
        <f>SAÍDAS!E76*(SAÍDAS!$U76/100)</f>
        <v>0</v>
      </c>
      <c r="E456" s="300">
        <f>SAÍDAS!F76*(SAÍDAS!$U76/100)</f>
        <v>0</v>
      </c>
      <c r="F456" s="300">
        <f>SAÍDAS!G76*(SAÍDAS!$U76/100)</f>
        <v>0</v>
      </c>
      <c r="G456" s="300">
        <f>SAÍDAS!H76*(SAÍDAS!$U76/100)</f>
        <v>0</v>
      </c>
      <c r="H456" s="300">
        <f>SAÍDAS!I76*(SAÍDAS!$U76/100)</f>
        <v>0</v>
      </c>
      <c r="I456" s="300">
        <f>SAÍDAS!J76*(SAÍDAS!$U76/100)</f>
        <v>0</v>
      </c>
      <c r="J456" s="300">
        <f>SAÍDAS!K76*(SAÍDAS!$U76/100)</f>
        <v>0</v>
      </c>
      <c r="K456" s="300">
        <f>SAÍDAS!L76*(SAÍDAS!$U76/100)</f>
        <v>0</v>
      </c>
      <c r="L456" s="300">
        <f>SAÍDAS!M76*(SAÍDAS!$U76/100)</f>
        <v>0</v>
      </c>
      <c r="M456" s="300">
        <f>SAÍDAS!N76*(SAÍDAS!$U76/100)</f>
        <v>0</v>
      </c>
      <c r="N456" s="300">
        <f>SAÍDAS!O76*(SAÍDAS!$U76/100)</f>
        <v>0</v>
      </c>
      <c r="O456" s="300">
        <f>SAÍDAS!P76*(SAÍDAS!$U76/100)</f>
        <v>0</v>
      </c>
      <c r="P456" s="300"/>
      <c r="Q456" s="672"/>
      <c r="R456" s="783"/>
      <c r="S456" s="783"/>
      <c r="T456" s="783"/>
      <c r="U456" s="783"/>
      <c r="V456" s="783"/>
      <c r="W456" s="783"/>
      <c r="X456" s="783"/>
      <c r="Y456" s="783"/>
    </row>
    <row r="457" spans="1:25" hidden="1" x14ac:dyDescent="0.25">
      <c r="A457" s="670">
        <v>47</v>
      </c>
      <c r="B457" s="790" t="str">
        <f>SAÍDAS!C77</f>
        <v>Tarifas e Impostos</v>
      </c>
      <c r="C457" s="300">
        <f t="shared" si="156"/>
        <v>0</v>
      </c>
      <c r="D457" s="300">
        <f>SAÍDAS!E77*(SAÍDAS!$U77/100)</f>
        <v>0</v>
      </c>
      <c r="E457" s="300">
        <f>SAÍDAS!F77*(SAÍDAS!$U77/100)</f>
        <v>0</v>
      </c>
      <c r="F457" s="300">
        <f>SAÍDAS!G77*(SAÍDAS!$U77/100)</f>
        <v>0</v>
      </c>
      <c r="G457" s="300">
        <f>SAÍDAS!H77*(SAÍDAS!$U77/100)</f>
        <v>0</v>
      </c>
      <c r="H457" s="300">
        <f>SAÍDAS!I77*(SAÍDAS!$U77/100)</f>
        <v>0</v>
      </c>
      <c r="I457" s="300">
        <f>SAÍDAS!J77*(SAÍDAS!$U77/100)</f>
        <v>0</v>
      </c>
      <c r="J457" s="300">
        <f>SAÍDAS!K77*(SAÍDAS!$U77/100)</f>
        <v>0</v>
      </c>
      <c r="K457" s="300">
        <f>SAÍDAS!L77*(SAÍDAS!$U77/100)</f>
        <v>0</v>
      </c>
      <c r="L457" s="300">
        <f>SAÍDAS!M77*(SAÍDAS!$U77/100)</f>
        <v>0</v>
      </c>
      <c r="M457" s="300">
        <f>SAÍDAS!N77*(SAÍDAS!$U77/100)</f>
        <v>0</v>
      </c>
      <c r="N457" s="300">
        <f>SAÍDAS!O77*(SAÍDAS!$U77/100)</f>
        <v>0</v>
      </c>
      <c r="O457" s="300">
        <f>SAÍDAS!P77*(SAÍDAS!$U77/100)</f>
        <v>0</v>
      </c>
      <c r="P457" s="300"/>
      <c r="Q457" s="672"/>
      <c r="R457" s="783"/>
      <c r="S457" s="783"/>
      <c r="T457" s="783"/>
      <c r="U457" s="783"/>
      <c r="V457" s="783"/>
      <c r="W457" s="783"/>
      <c r="X457" s="783"/>
      <c r="Y457" s="783"/>
    </row>
    <row r="458" spans="1:25" hidden="1" x14ac:dyDescent="0.25">
      <c r="A458" s="670">
        <v>48</v>
      </c>
      <c r="B458" s="790" t="str">
        <f>SAÍDAS!C78</f>
        <v>Administrativo</v>
      </c>
      <c r="C458" s="300">
        <f t="shared" si="156"/>
        <v>0</v>
      </c>
      <c r="D458" s="300">
        <f>SAÍDAS!E78*(SAÍDAS!$U78/100)</f>
        <v>0</v>
      </c>
      <c r="E458" s="300">
        <f>SAÍDAS!F78*(SAÍDAS!$U78/100)</f>
        <v>0</v>
      </c>
      <c r="F458" s="300">
        <f>SAÍDAS!G78*(SAÍDAS!$U78/100)</f>
        <v>0</v>
      </c>
      <c r="G458" s="300">
        <f>SAÍDAS!H78*(SAÍDAS!$U78/100)</f>
        <v>0</v>
      </c>
      <c r="H458" s="300">
        <f>SAÍDAS!I78*(SAÍDAS!$U78/100)</f>
        <v>0</v>
      </c>
      <c r="I458" s="300">
        <f>SAÍDAS!J78*(SAÍDAS!$U78/100)</f>
        <v>0</v>
      </c>
      <c r="J458" s="300">
        <f>SAÍDAS!K78*(SAÍDAS!$U78/100)</f>
        <v>0</v>
      </c>
      <c r="K458" s="300">
        <f>SAÍDAS!L78*(SAÍDAS!$U78/100)</f>
        <v>0</v>
      </c>
      <c r="L458" s="300">
        <f>SAÍDAS!M78*(SAÍDAS!$U78/100)</f>
        <v>0</v>
      </c>
      <c r="M458" s="300">
        <f>SAÍDAS!N78*(SAÍDAS!$U78/100)</f>
        <v>0</v>
      </c>
      <c r="N458" s="300">
        <f>SAÍDAS!O78*(SAÍDAS!$U78/100)</f>
        <v>0</v>
      </c>
      <c r="O458" s="300">
        <f>SAÍDAS!P78*(SAÍDAS!$U78/100)</f>
        <v>0</v>
      </c>
      <c r="P458" s="300"/>
      <c r="Q458" s="672"/>
      <c r="R458" s="783"/>
      <c r="S458" s="783"/>
      <c r="T458" s="783"/>
      <c r="U458" s="783"/>
      <c r="V458" s="783"/>
      <c r="W458" s="783"/>
      <c r="X458" s="783"/>
      <c r="Y458" s="783"/>
    </row>
    <row r="459" spans="1:25" hidden="1" x14ac:dyDescent="0.25">
      <c r="A459" s="670">
        <v>49</v>
      </c>
      <c r="B459" s="790" t="str">
        <f>SAÍDAS!C79</f>
        <v>Administrativo</v>
      </c>
      <c r="C459" s="300">
        <f t="shared" si="156"/>
        <v>0</v>
      </c>
      <c r="D459" s="300">
        <f>SAÍDAS!E79*(SAÍDAS!$U79/100)</f>
        <v>0</v>
      </c>
      <c r="E459" s="300">
        <f>SAÍDAS!F79*(SAÍDAS!$U79/100)</f>
        <v>0</v>
      </c>
      <c r="F459" s="300">
        <f>SAÍDAS!G79*(SAÍDAS!$U79/100)</f>
        <v>0</v>
      </c>
      <c r="G459" s="300">
        <f>SAÍDAS!H79*(SAÍDAS!$U79/100)</f>
        <v>0</v>
      </c>
      <c r="H459" s="300">
        <f>SAÍDAS!I79*(SAÍDAS!$U79/100)</f>
        <v>0</v>
      </c>
      <c r="I459" s="300">
        <f>SAÍDAS!J79*(SAÍDAS!$U79/100)</f>
        <v>0</v>
      </c>
      <c r="J459" s="300">
        <f>SAÍDAS!K79*(SAÍDAS!$U79/100)</f>
        <v>0</v>
      </c>
      <c r="K459" s="300">
        <f>SAÍDAS!L79*(SAÍDAS!$U79/100)</f>
        <v>0</v>
      </c>
      <c r="L459" s="300">
        <f>SAÍDAS!M79*(SAÍDAS!$U79/100)</f>
        <v>0</v>
      </c>
      <c r="M459" s="300">
        <f>SAÍDAS!N79*(SAÍDAS!$U79/100)</f>
        <v>0</v>
      </c>
      <c r="N459" s="300">
        <f>SAÍDAS!O79*(SAÍDAS!$U79/100)</f>
        <v>0</v>
      </c>
      <c r="O459" s="300">
        <f>SAÍDAS!P79*(SAÍDAS!$U79/100)</f>
        <v>0</v>
      </c>
      <c r="P459" s="300"/>
      <c r="Q459" s="672"/>
      <c r="R459" s="783"/>
      <c r="S459" s="783"/>
      <c r="T459" s="783"/>
      <c r="U459" s="783"/>
      <c r="V459" s="783"/>
      <c r="W459" s="783"/>
      <c r="X459" s="783"/>
      <c r="Y459" s="783"/>
    </row>
    <row r="460" spans="1:25" hidden="1" x14ac:dyDescent="0.25">
      <c r="A460" s="670">
        <v>50</v>
      </c>
      <c r="B460" s="790" t="str">
        <f>SAÍDAS!C80</f>
        <v>Mão de Obra</v>
      </c>
      <c r="C460" s="300">
        <f t="shared" si="156"/>
        <v>0</v>
      </c>
      <c r="D460" s="300">
        <f>SAÍDAS!E80*(SAÍDAS!$U80/100)</f>
        <v>0</v>
      </c>
      <c r="E460" s="300">
        <f>SAÍDAS!F80*(SAÍDAS!$U80/100)</f>
        <v>0</v>
      </c>
      <c r="F460" s="300">
        <f>SAÍDAS!G80*(SAÍDAS!$U80/100)</f>
        <v>0</v>
      </c>
      <c r="G460" s="300">
        <f>SAÍDAS!H80*(SAÍDAS!$U80/100)</f>
        <v>0</v>
      </c>
      <c r="H460" s="300">
        <f>SAÍDAS!I80*(SAÍDAS!$U80/100)</f>
        <v>0</v>
      </c>
      <c r="I460" s="300">
        <f>SAÍDAS!J80*(SAÍDAS!$U80/100)</f>
        <v>0</v>
      </c>
      <c r="J460" s="300">
        <f>SAÍDAS!K80*(SAÍDAS!$U80/100)</f>
        <v>0</v>
      </c>
      <c r="K460" s="300">
        <f>SAÍDAS!L80*(SAÍDAS!$U80/100)</f>
        <v>0</v>
      </c>
      <c r="L460" s="300">
        <f>SAÍDAS!M80*(SAÍDAS!$U80/100)</f>
        <v>0</v>
      </c>
      <c r="M460" s="300">
        <f>SAÍDAS!N80*(SAÍDAS!$U80/100)</f>
        <v>0</v>
      </c>
      <c r="N460" s="300">
        <f>SAÍDAS!O80*(SAÍDAS!$U80/100)</f>
        <v>0</v>
      </c>
      <c r="O460" s="300">
        <f>SAÍDAS!P80*(SAÍDAS!$U80/100)</f>
        <v>0</v>
      </c>
      <c r="P460" s="300"/>
      <c r="Q460" s="672"/>
      <c r="R460" s="783"/>
      <c r="S460" s="783"/>
      <c r="T460" s="783"/>
      <c r="U460" s="783"/>
      <c r="V460" s="783"/>
      <c r="W460" s="783"/>
      <c r="X460" s="783"/>
      <c r="Y460" s="783"/>
    </row>
    <row r="461" spans="1:25" hidden="1" x14ac:dyDescent="0.25">
      <c r="A461" s="670">
        <v>51</v>
      </c>
      <c r="B461" s="790" t="str">
        <f>SAÍDAS!C81</f>
        <v>Mão de Obra</v>
      </c>
      <c r="C461" s="300">
        <f t="shared" si="156"/>
        <v>0</v>
      </c>
      <c r="D461" s="300">
        <f>SAÍDAS!E81*(SAÍDAS!$U81/100)</f>
        <v>0</v>
      </c>
      <c r="E461" s="300">
        <f>SAÍDAS!F81*(SAÍDAS!$U81/100)</f>
        <v>0</v>
      </c>
      <c r="F461" s="300">
        <f>SAÍDAS!G81*(SAÍDAS!$U81/100)</f>
        <v>0</v>
      </c>
      <c r="G461" s="300">
        <f>SAÍDAS!H81*(SAÍDAS!$U81/100)</f>
        <v>0</v>
      </c>
      <c r="H461" s="300">
        <f>SAÍDAS!I81*(SAÍDAS!$U81/100)</f>
        <v>0</v>
      </c>
      <c r="I461" s="300">
        <f>SAÍDAS!J81*(SAÍDAS!$U81/100)</f>
        <v>0</v>
      </c>
      <c r="J461" s="300">
        <f>SAÍDAS!K81*(SAÍDAS!$U81/100)</f>
        <v>0</v>
      </c>
      <c r="K461" s="300">
        <f>SAÍDAS!L81*(SAÍDAS!$U81/100)</f>
        <v>0</v>
      </c>
      <c r="L461" s="300">
        <f>SAÍDAS!M81*(SAÍDAS!$U81/100)</f>
        <v>0</v>
      </c>
      <c r="M461" s="300">
        <f>SAÍDAS!N81*(SAÍDAS!$U81/100)</f>
        <v>0</v>
      </c>
      <c r="N461" s="300">
        <f>SAÍDAS!O81*(SAÍDAS!$U81/100)</f>
        <v>0</v>
      </c>
      <c r="O461" s="300">
        <f>SAÍDAS!P81*(SAÍDAS!$U81/100)</f>
        <v>0</v>
      </c>
      <c r="P461" s="300"/>
      <c r="Q461" s="672"/>
      <c r="R461" s="783"/>
      <c r="S461" s="783"/>
      <c r="T461" s="783"/>
      <c r="U461" s="783"/>
      <c r="V461" s="783"/>
      <c r="W461" s="783"/>
      <c r="X461" s="783"/>
      <c r="Y461" s="783"/>
    </row>
    <row r="462" spans="1:25" hidden="1" x14ac:dyDescent="0.25">
      <c r="A462" s="670">
        <v>52</v>
      </c>
      <c r="B462" s="790" t="str">
        <f>SAÍDAS!C82</f>
        <v>Despesas com viajens Consultor</v>
      </c>
      <c r="C462" s="300">
        <f t="shared" si="156"/>
        <v>0</v>
      </c>
      <c r="D462" s="300">
        <f>SAÍDAS!E82*(SAÍDAS!$U82/100)</f>
        <v>0</v>
      </c>
      <c r="E462" s="300">
        <f>SAÍDAS!F82*(SAÍDAS!$U82/100)</f>
        <v>0</v>
      </c>
      <c r="F462" s="300">
        <f>SAÍDAS!G82*(SAÍDAS!$U82/100)</f>
        <v>0</v>
      </c>
      <c r="G462" s="300">
        <f>SAÍDAS!H82*(SAÍDAS!$U82/100)</f>
        <v>0</v>
      </c>
      <c r="H462" s="300">
        <f>SAÍDAS!I82*(SAÍDAS!$U82/100)</f>
        <v>0</v>
      </c>
      <c r="I462" s="300">
        <f>SAÍDAS!J82*(SAÍDAS!$U82/100)</f>
        <v>0</v>
      </c>
      <c r="J462" s="300">
        <f>SAÍDAS!K82*(SAÍDAS!$U82/100)</f>
        <v>0</v>
      </c>
      <c r="K462" s="300">
        <f>SAÍDAS!L82*(SAÍDAS!$U82/100)</f>
        <v>0</v>
      </c>
      <c r="L462" s="300">
        <f>SAÍDAS!M82*(SAÍDAS!$U82/100)</f>
        <v>0</v>
      </c>
      <c r="M462" s="300">
        <f>SAÍDAS!N82*(SAÍDAS!$U82/100)</f>
        <v>0</v>
      </c>
      <c r="N462" s="300">
        <f>SAÍDAS!O82*(SAÍDAS!$U82/100)</f>
        <v>0</v>
      </c>
      <c r="O462" s="300">
        <f>SAÍDAS!P82*(SAÍDAS!$U82/100)</f>
        <v>0</v>
      </c>
      <c r="P462" s="300"/>
      <c r="Q462" s="672"/>
      <c r="R462" s="783"/>
      <c r="S462" s="783"/>
      <c r="T462" s="783"/>
      <c r="U462" s="783"/>
      <c r="V462" s="783"/>
      <c r="W462" s="783"/>
      <c r="X462" s="783"/>
      <c r="Y462" s="783"/>
    </row>
    <row r="463" spans="1:25" hidden="1" x14ac:dyDescent="0.25">
      <c r="A463" s="670">
        <v>53</v>
      </c>
      <c r="B463" s="790" t="str">
        <f>SAÍDAS!C83</f>
        <v>Consultoria</v>
      </c>
      <c r="C463" s="300">
        <f t="shared" si="156"/>
        <v>0</v>
      </c>
      <c r="D463" s="300">
        <f>SAÍDAS!E83*(SAÍDAS!$U83/100)</f>
        <v>0</v>
      </c>
      <c r="E463" s="300">
        <f>SAÍDAS!F83*(SAÍDAS!$U83/100)</f>
        <v>0</v>
      </c>
      <c r="F463" s="300">
        <f>SAÍDAS!G83*(SAÍDAS!$U83/100)</f>
        <v>0</v>
      </c>
      <c r="G463" s="300">
        <f>SAÍDAS!H83*(SAÍDAS!$U83/100)</f>
        <v>0</v>
      </c>
      <c r="H463" s="300">
        <f>SAÍDAS!I83*(SAÍDAS!$U83/100)</f>
        <v>0</v>
      </c>
      <c r="I463" s="300">
        <f>SAÍDAS!J83*(SAÍDAS!$U83/100)</f>
        <v>0</v>
      </c>
      <c r="J463" s="300">
        <f>SAÍDAS!K83*(SAÍDAS!$U83/100)</f>
        <v>0</v>
      </c>
      <c r="K463" s="300">
        <f>SAÍDAS!L83*(SAÍDAS!$U83/100)</f>
        <v>0</v>
      </c>
      <c r="L463" s="300">
        <f>SAÍDAS!M83*(SAÍDAS!$U83/100)</f>
        <v>0</v>
      </c>
      <c r="M463" s="300">
        <f>SAÍDAS!N83*(SAÍDAS!$U83/100)</f>
        <v>0</v>
      </c>
      <c r="N463" s="300">
        <f>SAÍDAS!O83*(SAÍDAS!$U83/100)</f>
        <v>0</v>
      </c>
      <c r="O463" s="300">
        <f>SAÍDAS!P83*(SAÍDAS!$U83/100)</f>
        <v>0</v>
      </c>
      <c r="P463" s="300"/>
      <c r="Q463" s="672"/>
      <c r="R463" s="783"/>
      <c r="S463" s="783"/>
      <c r="T463" s="783"/>
      <c r="U463" s="783"/>
      <c r="V463" s="783"/>
      <c r="W463" s="783"/>
      <c r="X463" s="783"/>
      <c r="Y463" s="783"/>
    </row>
    <row r="464" spans="1:25" hidden="1" x14ac:dyDescent="0.25">
      <c r="A464" s="670">
        <v>54</v>
      </c>
      <c r="B464" s="790" t="str">
        <f>SAÍDAS!C84</f>
        <v>Consultor</v>
      </c>
      <c r="C464" s="300">
        <f t="shared" si="156"/>
        <v>0</v>
      </c>
      <c r="D464" s="300">
        <f>SAÍDAS!E84*(SAÍDAS!$U84/100)</f>
        <v>0</v>
      </c>
      <c r="E464" s="300">
        <f>SAÍDAS!F84*(SAÍDAS!$U84/100)</f>
        <v>0</v>
      </c>
      <c r="F464" s="300">
        <f>SAÍDAS!G84*(SAÍDAS!$U84/100)</f>
        <v>0</v>
      </c>
      <c r="G464" s="300">
        <f>SAÍDAS!H84*(SAÍDAS!$U84/100)</f>
        <v>0</v>
      </c>
      <c r="H464" s="300">
        <f>SAÍDAS!I84*(SAÍDAS!$U84/100)</f>
        <v>0</v>
      </c>
      <c r="I464" s="300">
        <f>SAÍDAS!J84*(SAÍDAS!$U84/100)</f>
        <v>0</v>
      </c>
      <c r="J464" s="300">
        <f>SAÍDAS!K84*(SAÍDAS!$U84/100)</f>
        <v>0</v>
      </c>
      <c r="K464" s="300">
        <f>SAÍDAS!L84*(SAÍDAS!$U84/100)</f>
        <v>0</v>
      </c>
      <c r="L464" s="300">
        <f>SAÍDAS!M84*(SAÍDAS!$U84/100)</f>
        <v>0</v>
      </c>
      <c r="M464" s="300">
        <f>SAÍDAS!N84*(SAÍDAS!$U84/100)</f>
        <v>0</v>
      </c>
      <c r="N464" s="300">
        <f>SAÍDAS!O84*(SAÍDAS!$U84/100)</f>
        <v>0</v>
      </c>
      <c r="O464" s="300">
        <f>SAÍDAS!P84*(SAÍDAS!$U84/100)</f>
        <v>0</v>
      </c>
      <c r="P464" s="300"/>
      <c r="Q464" s="672"/>
      <c r="R464" s="783"/>
      <c r="S464" s="783"/>
      <c r="T464" s="783"/>
      <c r="U464" s="783"/>
      <c r="V464" s="783"/>
      <c r="W464" s="783"/>
      <c r="X464" s="783"/>
      <c r="Y464" s="783"/>
    </row>
    <row r="465" spans="1:25" hidden="1" x14ac:dyDescent="0.25">
      <c r="A465" s="670">
        <v>55</v>
      </c>
      <c r="B465" s="790" t="str">
        <f>SAÍDAS!C85</f>
        <v>Cassio</v>
      </c>
      <c r="C465" s="300">
        <f t="shared" si="156"/>
        <v>0</v>
      </c>
      <c r="D465" s="300">
        <f>SAÍDAS!E85*(SAÍDAS!$U85/100)</f>
        <v>0</v>
      </c>
      <c r="E465" s="300">
        <f>SAÍDAS!F85*(SAÍDAS!$U85/100)</f>
        <v>0</v>
      </c>
      <c r="F465" s="300">
        <f>SAÍDAS!G85*(SAÍDAS!$U85/100)</f>
        <v>0</v>
      </c>
      <c r="G465" s="300">
        <f>SAÍDAS!H85*(SAÍDAS!$U85/100)</f>
        <v>0</v>
      </c>
      <c r="H465" s="300">
        <f>SAÍDAS!I85*(SAÍDAS!$U85/100)</f>
        <v>0</v>
      </c>
      <c r="I465" s="300">
        <f>SAÍDAS!J85*(SAÍDAS!$U85/100)</f>
        <v>0</v>
      </c>
      <c r="J465" s="300">
        <f>SAÍDAS!K85*(SAÍDAS!$U85/100)</f>
        <v>0</v>
      </c>
      <c r="K465" s="300">
        <f>SAÍDAS!L85*(SAÍDAS!$U85/100)</f>
        <v>0</v>
      </c>
      <c r="L465" s="300">
        <f>SAÍDAS!M85*(SAÍDAS!$U85/100)</f>
        <v>0</v>
      </c>
      <c r="M465" s="300">
        <f>SAÍDAS!N85*(SAÍDAS!$U85/100)</f>
        <v>0</v>
      </c>
      <c r="N465" s="300">
        <f>SAÍDAS!O85*(SAÍDAS!$U85/100)</f>
        <v>0</v>
      </c>
      <c r="O465" s="300">
        <f>SAÍDAS!P85*(SAÍDAS!$U85/100)</f>
        <v>0</v>
      </c>
      <c r="P465" s="300"/>
      <c r="Q465" s="672"/>
      <c r="R465" s="783"/>
      <c r="S465" s="783"/>
      <c r="T465" s="783"/>
      <c r="U465" s="783"/>
      <c r="V465" s="783"/>
      <c r="W465" s="783"/>
      <c r="X465" s="783"/>
      <c r="Y465" s="783"/>
    </row>
    <row r="466" spans="1:25" hidden="1" x14ac:dyDescent="0.25">
      <c r="A466" s="670">
        <v>56</v>
      </c>
      <c r="B466" s="790" t="str">
        <f>SAÍDAS!C86</f>
        <v>material limpeza, vidro</v>
      </c>
      <c r="C466" s="300">
        <f t="shared" si="156"/>
        <v>0</v>
      </c>
      <c r="D466" s="300">
        <f>SAÍDAS!E86*(SAÍDAS!$U86/100)</f>
        <v>0</v>
      </c>
      <c r="E466" s="300">
        <f>SAÍDAS!F86*(SAÍDAS!$U86/100)</f>
        <v>0</v>
      </c>
      <c r="F466" s="300">
        <f>SAÍDAS!G86*(SAÍDAS!$U86/100)</f>
        <v>0</v>
      </c>
      <c r="G466" s="300">
        <f>SAÍDAS!H86*(SAÍDAS!$U86/100)</f>
        <v>0</v>
      </c>
      <c r="H466" s="300">
        <f>SAÍDAS!I86*(SAÍDAS!$U86/100)</f>
        <v>0</v>
      </c>
      <c r="I466" s="300">
        <f>SAÍDAS!J86*(SAÍDAS!$U86/100)</f>
        <v>0</v>
      </c>
      <c r="J466" s="300">
        <f>SAÍDAS!K86*(SAÍDAS!$U86/100)</f>
        <v>0</v>
      </c>
      <c r="K466" s="300">
        <f>SAÍDAS!L86*(SAÍDAS!$U86/100)</f>
        <v>0</v>
      </c>
      <c r="L466" s="300">
        <f>SAÍDAS!M86*(SAÍDAS!$U86/100)</f>
        <v>0</v>
      </c>
      <c r="M466" s="300">
        <f>SAÍDAS!N86*(SAÍDAS!$U86/100)</f>
        <v>0</v>
      </c>
      <c r="N466" s="300">
        <f>SAÍDAS!O86*(SAÍDAS!$U86/100)</f>
        <v>0</v>
      </c>
      <c r="O466" s="300">
        <f>SAÍDAS!P86*(SAÍDAS!$U86/100)</f>
        <v>0</v>
      </c>
      <c r="P466" s="300"/>
      <c r="Q466" s="672"/>
      <c r="R466" s="783"/>
      <c r="S466" s="783"/>
      <c r="T466" s="783"/>
      <c r="U466" s="783"/>
      <c r="V466" s="783"/>
      <c r="W466" s="783"/>
      <c r="X466" s="783"/>
      <c r="Y466" s="783"/>
    </row>
    <row r="467" spans="1:25" hidden="1" x14ac:dyDescent="0.25">
      <c r="A467" s="670">
        <v>57</v>
      </c>
      <c r="B467" s="790" t="str">
        <f>SAÍDAS!C87</f>
        <v>madeiras manutencao</v>
      </c>
      <c r="C467" s="300">
        <f t="shared" si="156"/>
        <v>0</v>
      </c>
      <c r="D467" s="300">
        <f>SAÍDAS!E87*(SAÍDAS!$U87/100)</f>
        <v>0</v>
      </c>
      <c r="E467" s="300">
        <f>SAÍDAS!F87*(SAÍDAS!$U87/100)</f>
        <v>0</v>
      </c>
      <c r="F467" s="300">
        <f>SAÍDAS!G87*(SAÍDAS!$U87/100)</f>
        <v>0</v>
      </c>
      <c r="G467" s="300">
        <f>SAÍDAS!H87*(SAÍDAS!$U87/100)</f>
        <v>0</v>
      </c>
      <c r="H467" s="300">
        <f>SAÍDAS!I87*(SAÍDAS!$U87/100)</f>
        <v>0</v>
      </c>
      <c r="I467" s="300">
        <f>SAÍDAS!J87*(SAÍDAS!$U87/100)</f>
        <v>0</v>
      </c>
      <c r="J467" s="300">
        <f>SAÍDAS!K87*(SAÍDAS!$U87/100)</f>
        <v>0</v>
      </c>
      <c r="K467" s="300">
        <f>SAÍDAS!L87*(SAÍDAS!$U87/100)</f>
        <v>0</v>
      </c>
      <c r="L467" s="300">
        <f>SAÍDAS!M87*(SAÍDAS!$U87/100)</f>
        <v>0</v>
      </c>
      <c r="M467" s="300">
        <f>SAÍDAS!N87*(SAÍDAS!$U87/100)</f>
        <v>0</v>
      </c>
      <c r="N467" s="300">
        <f>SAÍDAS!O87*(SAÍDAS!$U87/100)</f>
        <v>0</v>
      </c>
      <c r="O467" s="300">
        <f>SAÍDAS!P87*(SAÍDAS!$U87/100)</f>
        <v>0</v>
      </c>
      <c r="P467" s="300"/>
      <c r="Q467" s="672"/>
      <c r="R467" s="783"/>
      <c r="S467" s="783"/>
      <c r="T467" s="783"/>
      <c r="U467" s="783"/>
      <c r="V467" s="783"/>
      <c r="W467" s="783"/>
      <c r="X467" s="783"/>
      <c r="Y467" s="783"/>
    </row>
    <row r="468" spans="1:25" hidden="1" x14ac:dyDescent="0.25">
      <c r="A468" s="670">
        <v>58</v>
      </c>
      <c r="B468" s="790" t="str">
        <f>SAÍDAS!C88</f>
        <v>Outros</v>
      </c>
      <c r="C468" s="300">
        <f t="shared" si="156"/>
        <v>0</v>
      </c>
      <c r="D468" s="300">
        <f>SAÍDAS!E88*(SAÍDAS!$U88/100)</f>
        <v>0</v>
      </c>
      <c r="E468" s="300">
        <f>SAÍDAS!F88*(SAÍDAS!$U88/100)</f>
        <v>0</v>
      </c>
      <c r="F468" s="300">
        <f>SAÍDAS!G88*(SAÍDAS!$U88/100)</f>
        <v>0</v>
      </c>
      <c r="G468" s="300">
        <f>SAÍDAS!H88*(SAÍDAS!$U88/100)</f>
        <v>0</v>
      </c>
      <c r="H468" s="300">
        <f>SAÍDAS!I88*(SAÍDAS!$U88/100)</f>
        <v>0</v>
      </c>
      <c r="I468" s="300">
        <f>SAÍDAS!J88*(SAÍDAS!$U88/100)</f>
        <v>0</v>
      </c>
      <c r="J468" s="300">
        <f>SAÍDAS!K88*(SAÍDAS!$U88/100)</f>
        <v>0</v>
      </c>
      <c r="K468" s="300">
        <f>SAÍDAS!L88*(SAÍDAS!$U88/100)</f>
        <v>0</v>
      </c>
      <c r="L468" s="300">
        <f>SAÍDAS!M88*(SAÍDAS!$U88/100)</f>
        <v>0</v>
      </c>
      <c r="M468" s="300">
        <f>SAÍDAS!N88*(SAÍDAS!$U88/100)</f>
        <v>0</v>
      </c>
      <c r="N468" s="300">
        <f>SAÍDAS!O88*(SAÍDAS!$U88/100)</f>
        <v>0</v>
      </c>
      <c r="O468" s="300">
        <f>SAÍDAS!P88*(SAÍDAS!$U88/100)</f>
        <v>0</v>
      </c>
      <c r="P468" s="300"/>
      <c r="Q468" s="672"/>
      <c r="R468" s="783"/>
      <c r="S468" s="783"/>
      <c r="T468" s="783"/>
      <c r="U468" s="783"/>
      <c r="V468" s="783"/>
      <c r="W468" s="783"/>
      <c r="X468" s="783"/>
      <c r="Y468" s="783"/>
    </row>
    <row r="469" spans="1:25" hidden="1" x14ac:dyDescent="0.25">
      <c r="A469" s="670">
        <v>59</v>
      </c>
      <c r="B469" s="790" t="str">
        <f>SAÍDAS!C89</f>
        <v>frete</v>
      </c>
      <c r="C469" s="300">
        <f t="shared" si="156"/>
        <v>0</v>
      </c>
      <c r="D469" s="300">
        <f>SAÍDAS!E89*(SAÍDAS!$U89/100)</f>
        <v>0</v>
      </c>
      <c r="E469" s="300">
        <f>SAÍDAS!F89*(SAÍDAS!$U89/100)</f>
        <v>0</v>
      </c>
      <c r="F469" s="300">
        <f>SAÍDAS!G89*(SAÍDAS!$U89/100)</f>
        <v>0</v>
      </c>
      <c r="G469" s="300">
        <f>SAÍDAS!H89*(SAÍDAS!$U89/100)</f>
        <v>0</v>
      </c>
      <c r="H469" s="300">
        <f>SAÍDAS!I89*(SAÍDAS!$U89/100)</f>
        <v>0</v>
      </c>
      <c r="I469" s="300">
        <f>SAÍDAS!J89*(SAÍDAS!$U89/100)</f>
        <v>0</v>
      </c>
      <c r="J469" s="300">
        <f>SAÍDAS!K89*(SAÍDAS!$U89/100)</f>
        <v>0</v>
      </c>
      <c r="K469" s="300">
        <f>SAÍDAS!L89*(SAÍDAS!$U89/100)</f>
        <v>0</v>
      </c>
      <c r="L469" s="300">
        <f>SAÍDAS!M89*(SAÍDAS!$U89/100)</f>
        <v>0</v>
      </c>
      <c r="M469" s="300">
        <f>SAÍDAS!N89*(SAÍDAS!$U89/100)</f>
        <v>0</v>
      </c>
      <c r="N469" s="300">
        <f>SAÍDAS!O89*(SAÍDAS!$U89/100)</f>
        <v>0</v>
      </c>
      <c r="O469" s="300">
        <f>SAÍDAS!P89*(SAÍDAS!$U89/100)</f>
        <v>0</v>
      </c>
      <c r="P469" s="300"/>
      <c r="Q469" s="672"/>
      <c r="R469" s="783"/>
      <c r="S469" s="783"/>
      <c r="T469" s="783"/>
      <c r="U469" s="783"/>
      <c r="V469" s="783"/>
      <c r="W469" s="783"/>
      <c r="X469" s="783"/>
      <c r="Y469" s="783"/>
    </row>
    <row r="470" spans="1:25" hidden="1" x14ac:dyDescent="0.25">
      <c r="A470" s="670">
        <v>60</v>
      </c>
      <c r="B470" s="791" t="str">
        <f>SAÍDAS!C90</f>
        <v>Depreciação</v>
      </c>
      <c r="C470" s="300">
        <f t="shared" si="156"/>
        <v>0</v>
      </c>
      <c r="D470" s="300">
        <f>SAÍDAS!E90*(SAÍDAS!$U90/100)</f>
        <v>0</v>
      </c>
      <c r="E470" s="300">
        <f>SAÍDAS!F90*(SAÍDAS!$U90/100)</f>
        <v>0</v>
      </c>
      <c r="F470" s="300">
        <f>SAÍDAS!G90*(SAÍDAS!$U90/100)</f>
        <v>0</v>
      </c>
      <c r="G470" s="300">
        <f>SAÍDAS!H90*(SAÍDAS!$U90/100)</f>
        <v>0</v>
      </c>
      <c r="H470" s="300">
        <f>SAÍDAS!I90*(SAÍDAS!$U90/100)</f>
        <v>0</v>
      </c>
      <c r="I470" s="300">
        <f>SAÍDAS!J90*(SAÍDAS!$U90/100)</f>
        <v>0</v>
      </c>
      <c r="J470" s="300">
        <f>SAÍDAS!K90*(SAÍDAS!$U90/100)</f>
        <v>0</v>
      </c>
      <c r="K470" s="300">
        <f>SAÍDAS!L90*(SAÍDAS!$U90/100)</f>
        <v>0</v>
      </c>
      <c r="L470" s="300">
        <f>SAÍDAS!M90*(SAÍDAS!$U90/100)</f>
        <v>0</v>
      </c>
      <c r="M470" s="300">
        <f>SAÍDAS!N90*(SAÍDAS!$U90/100)</f>
        <v>0</v>
      </c>
      <c r="N470" s="300">
        <f>SAÍDAS!O90*(SAÍDAS!$U90/100)</f>
        <v>0</v>
      </c>
      <c r="O470" s="300">
        <f>SAÍDAS!P90*(SAÍDAS!$U90/100)</f>
        <v>0</v>
      </c>
      <c r="P470" s="300"/>
      <c r="Q470" s="672"/>
      <c r="R470" s="783"/>
      <c r="S470" s="783"/>
      <c r="T470" s="783"/>
      <c r="U470" s="783"/>
      <c r="V470" s="783"/>
      <c r="W470" s="783"/>
      <c r="X470" s="783"/>
      <c r="Y470" s="783"/>
    </row>
    <row r="471" spans="1:25" hidden="1" x14ac:dyDescent="0.25">
      <c r="A471" s="670"/>
      <c r="B471" s="741"/>
      <c r="C471" s="300"/>
      <c r="D471" s="300"/>
      <c r="E471" s="300"/>
      <c r="F471" s="300"/>
      <c r="G471" s="300"/>
      <c r="H471" s="300"/>
      <c r="I471" s="300"/>
      <c r="J471" s="300"/>
      <c r="K471" s="300"/>
      <c r="L471" s="300"/>
      <c r="M471" s="300"/>
      <c r="N471" s="300"/>
      <c r="O471" s="300"/>
      <c r="P471" s="300"/>
      <c r="Q471" s="672"/>
      <c r="R471" s="783"/>
      <c r="S471" s="783"/>
      <c r="T471" s="783"/>
      <c r="U471" s="783"/>
      <c r="V471" s="783"/>
      <c r="W471" s="783"/>
      <c r="X471" s="783"/>
      <c r="Y471" s="783"/>
    </row>
    <row r="472" spans="1:25" hidden="1" x14ac:dyDescent="0.25">
      <c r="A472" s="670">
        <v>61</v>
      </c>
      <c r="B472" s="741" t="s">
        <v>180</v>
      </c>
      <c r="C472" s="300">
        <f>SUM(D472:O472)</f>
        <v>0</v>
      </c>
      <c r="D472" s="300">
        <f>SUM(D453:D469)</f>
        <v>0</v>
      </c>
      <c r="E472" s="300">
        <f t="shared" ref="E472:O472" si="157">SUM(E453:E469)</f>
        <v>0</v>
      </c>
      <c r="F472" s="300">
        <f t="shared" si="157"/>
        <v>0</v>
      </c>
      <c r="G472" s="300">
        <f t="shared" si="157"/>
        <v>0</v>
      </c>
      <c r="H472" s="300">
        <f t="shared" si="157"/>
        <v>0</v>
      </c>
      <c r="I472" s="300">
        <f t="shared" si="157"/>
        <v>0</v>
      </c>
      <c r="J472" s="300">
        <f t="shared" si="157"/>
        <v>0</v>
      </c>
      <c r="K472" s="300">
        <f t="shared" si="157"/>
        <v>0</v>
      </c>
      <c r="L472" s="300">
        <f t="shared" si="157"/>
        <v>0</v>
      </c>
      <c r="M472" s="300">
        <f t="shared" si="157"/>
        <v>0</v>
      </c>
      <c r="N472" s="300">
        <f t="shared" si="157"/>
        <v>0</v>
      </c>
      <c r="O472" s="300">
        <f t="shared" si="157"/>
        <v>0</v>
      </c>
      <c r="P472" s="300"/>
      <c r="Q472" s="672"/>
      <c r="R472" s="783"/>
      <c r="S472" s="783"/>
      <c r="T472" s="783"/>
      <c r="U472" s="783"/>
      <c r="V472" s="783"/>
      <c r="W472" s="783"/>
      <c r="X472" s="783"/>
      <c r="Y472" s="783"/>
    </row>
    <row r="473" spans="1:25" hidden="1" x14ac:dyDescent="0.25">
      <c r="A473" s="670">
        <v>62</v>
      </c>
      <c r="B473" s="741"/>
      <c r="C473" s="228"/>
      <c r="D473" s="300"/>
      <c r="E473" s="300"/>
      <c r="F473" s="300"/>
      <c r="G473" s="300"/>
      <c r="H473" s="300"/>
      <c r="I473" s="300"/>
      <c r="J473" s="300"/>
      <c r="K473" s="300"/>
      <c r="L473" s="300"/>
      <c r="M473" s="300"/>
      <c r="N473" s="300"/>
      <c r="O473" s="300"/>
      <c r="P473" s="300"/>
      <c r="Q473" s="672"/>
      <c r="R473" s="783"/>
      <c r="S473" s="783"/>
      <c r="T473" s="783"/>
      <c r="U473" s="783"/>
      <c r="V473" s="783"/>
      <c r="W473" s="783"/>
      <c r="X473" s="783"/>
      <c r="Y473" s="783"/>
    </row>
    <row r="474" spans="1:25" hidden="1" x14ac:dyDescent="0.25">
      <c r="A474" s="670">
        <v>63</v>
      </c>
      <c r="B474" s="742" t="s">
        <v>17</v>
      </c>
      <c r="C474" s="743"/>
      <c r="D474" s="744">
        <f t="shared" ref="D474:O474" si="158">D472+D450</f>
        <v>0</v>
      </c>
      <c r="E474" s="744">
        <f t="shared" si="158"/>
        <v>0</v>
      </c>
      <c r="F474" s="744">
        <f t="shared" si="158"/>
        <v>0</v>
      </c>
      <c r="G474" s="744">
        <f t="shared" si="158"/>
        <v>0</v>
      </c>
      <c r="H474" s="744">
        <f t="shared" si="158"/>
        <v>0</v>
      </c>
      <c r="I474" s="744">
        <f t="shared" si="158"/>
        <v>0</v>
      </c>
      <c r="J474" s="744">
        <f t="shared" si="158"/>
        <v>0</v>
      </c>
      <c r="K474" s="744">
        <f t="shared" si="158"/>
        <v>0</v>
      </c>
      <c r="L474" s="744">
        <f t="shared" si="158"/>
        <v>0</v>
      </c>
      <c r="M474" s="744">
        <f t="shared" si="158"/>
        <v>0</v>
      </c>
      <c r="N474" s="744">
        <f t="shared" si="158"/>
        <v>0</v>
      </c>
      <c r="O474" s="744">
        <f t="shared" si="158"/>
        <v>0</v>
      </c>
      <c r="P474" s="744">
        <f>SUM(D474:O474)</f>
        <v>0</v>
      </c>
      <c r="Q474" s="672"/>
      <c r="R474" s="783"/>
      <c r="S474" s="783"/>
      <c r="T474" s="783"/>
      <c r="U474" s="783"/>
      <c r="V474" s="783"/>
      <c r="W474" s="783"/>
      <c r="X474" s="783"/>
      <c r="Y474" s="783"/>
    </row>
    <row r="475" spans="1:25" hidden="1" x14ac:dyDescent="0.25">
      <c r="A475" s="670">
        <v>64</v>
      </c>
      <c r="B475" s="745" t="s">
        <v>178</v>
      </c>
      <c r="C475" s="680"/>
      <c r="D475" s="746">
        <f>D474</f>
        <v>0</v>
      </c>
      <c r="E475" s="746">
        <f t="shared" ref="E475:O475" si="159">D475+E474</f>
        <v>0</v>
      </c>
      <c r="F475" s="746">
        <f t="shared" si="159"/>
        <v>0</v>
      </c>
      <c r="G475" s="746">
        <f>F475+G474</f>
        <v>0</v>
      </c>
      <c r="H475" s="746">
        <f>G475+H474</f>
        <v>0</v>
      </c>
      <c r="I475" s="746">
        <f>H475+I474</f>
        <v>0</v>
      </c>
      <c r="J475" s="746">
        <f>I475+J474</f>
        <v>0</v>
      </c>
      <c r="K475" s="746">
        <f t="shared" si="159"/>
        <v>0</v>
      </c>
      <c r="L475" s="746">
        <f t="shared" si="159"/>
        <v>0</v>
      </c>
      <c r="M475" s="746">
        <f t="shared" si="159"/>
        <v>0</v>
      </c>
      <c r="N475" s="746">
        <f t="shared" si="159"/>
        <v>0</v>
      </c>
      <c r="O475" s="747">
        <f t="shared" si="159"/>
        <v>0</v>
      </c>
      <c r="P475" s="748"/>
      <c r="Q475" s="672"/>
      <c r="R475" s="783"/>
      <c r="S475" s="783"/>
      <c r="T475" s="783"/>
      <c r="U475" s="783"/>
      <c r="V475" s="783"/>
      <c r="W475" s="783"/>
      <c r="X475" s="783"/>
      <c r="Y475" s="783"/>
    </row>
    <row r="476" spans="1:25" hidden="1" x14ac:dyDescent="0.25">
      <c r="A476" s="670">
        <v>65</v>
      </c>
      <c r="B476" s="745" t="s">
        <v>181</v>
      </c>
      <c r="C476" s="680"/>
      <c r="D476" s="749">
        <f t="shared" ref="D476:O476" si="160">IF(D156="",0,D474)</f>
        <v>0</v>
      </c>
      <c r="E476" s="749">
        <f t="shared" si="160"/>
        <v>0</v>
      </c>
      <c r="F476" s="749">
        <f t="shared" si="160"/>
        <v>0</v>
      </c>
      <c r="G476" s="749">
        <f t="shared" si="160"/>
        <v>0</v>
      </c>
      <c r="H476" s="749">
        <f t="shared" si="160"/>
        <v>0</v>
      </c>
      <c r="I476" s="749">
        <f t="shared" si="160"/>
        <v>0</v>
      </c>
      <c r="J476" s="749">
        <f t="shared" si="160"/>
        <v>0</v>
      </c>
      <c r="K476" s="749">
        <f t="shared" si="160"/>
        <v>0</v>
      </c>
      <c r="L476" s="749">
        <f t="shared" si="160"/>
        <v>0</v>
      </c>
      <c r="M476" s="749">
        <f t="shared" si="160"/>
        <v>0</v>
      </c>
      <c r="N476" s="749">
        <f t="shared" si="160"/>
        <v>0</v>
      </c>
      <c r="O476" s="750">
        <f t="shared" si="160"/>
        <v>0</v>
      </c>
      <c r="P476" s="748"/>
      <c r="Q476" s="672"/>
      <c r="R476" s="783"/>
      <c r="S476" s="783"/>
      <c r="T476" s="783"/>
      <c r="U476" s="783"/>
      <c r="V476" s="783"/>
      <c r="W476" s="783"/>
      <c r="X476" s="783"/>
      <c r="Y476" s="783"/>
    </row>
    <row r="477" spans="1:25" hidden="1" x14ac:dyDescent="0.25">
      <c r="A477" s="670">
        <v>66</v>
      </c>
      <c r="B477" s="745" t="s">
        <v>182</v>
      </c>
      <c r="C477" s="680"/>
      <c r="D477" s="680">
        <f>D476</f>
        <v>0</v>
      </c>
      <c r="E477" s="680">
        <f t="shared" ref="E477:O477" si="161">(D477+E476)</f>
        <v>0</v>
      </c>
      <c r="F477" s="680">
        <f t="shared" si="161"/>
        <v>0</v>
      </c>
      <c r="G477" s="680">
        <f>(F477+G476)</f>
        <v>0</v>
      </c>
      <c r="H477" s="680">
        <f>(G477+H476)</f>
        <v>0</v>
      </c>
      <c r="I477" s="680">
        <f>(H477+I476)</f>
        <v>0</v>
      </c>
      <c r="J477" s="680">
        <f>(I477+J476)</f>
        <v>0</v>
      </c>
      <c r="K477" s="680">
        <f t="shared" si="161"/>
        <v>0</v>
      </c>
      <c r="L477" s="680">
        <f t="shared" si="161"/>
        <v>0</v>
      </c>
      <c r="M477" s="680">
        <f t="shared" si="161"/>
        <v>0</v>
      </c>
      <c r="N477" s="680">
        <f t="shared" si="161"/>
        <v>0</v>
      </c>
      <c r="O477" s="751">
        <f t="shared" si="161"/>
        <v>0</v>
      </c>
      <c r="P477" s="748"/>
      <c r="Q477" s="672"/>
      <c r="R477" s="783"/>
      <c r="S477" s="783"/>
      <c r="T477" s="783"/>
      <c r="U477" s="783"/>
      <c r="V477" s="783"/>
      <c r="W477" s="783"/>
      <c r="X477" s="783"/>
      <c r="Y477" s="783"/>
    </row>
    <row r="478" spans="1:25" hidden="1" x14ac:dyDescent="0.25">
      <c r="A478" s="670">
        <v>67</v>
      </c>
      <c r="B478" s="752" t="s">
        <v>184</v>
      </c>
      <c r="C478" s="680"/>
      <c r="D478" s="749">
        <f>IF(D156="",0,1)</f>
        <v>0</v>
      </c>
      <c r="E478" s="749">
        <f>IF(E156="",0,2)</f>
        <v>0</v>
      </c>
      <c r="F478" s="749">
        <f>IF(F156="",0,3)</f>
        <v>0</v>
      </c>
      <c r="G478" s="749">
        <f>IF(G156="",0,4)</f>
        <v>0</v>
      </c>
      <c r="H478" s="749">
        <f>IF(H156="",0,5)</f>
        <v>0</v>
      </c>
      <c r="I478" s="749">
        <f>IF(I156="",0,6)</f>
        <v>0</v>
      </c>
      <c r="J478" s="749">
        <f>IF(J156="",0,7)</f>
        <v>0</v>
      </c>
      <c r="K478" s="749">
        <f>IF(K156="",0,8)</f>
        <v>0</v>
      </c>
      <c r="L478" s="749">
        <f>IF(L156="",0,9)</f>
        <v>0</v>
      </c>
      <c r="M478" s="749">
        <f>IF(M156="",0,10)</f>
        <v>0</v>
      </c>
      <c r="N478" s="749">
        <f>IF(N156="",0,11)</f>
        <v>0</v>
      </c>
      <c r="O478" s="750">
        <f>IF(O156="",0,12)</f>
        <v>0</v>
      </c>
      <c r="P478" s="680">
        <f>LARGE(D478:O478,1)</f>
        <v>0</v>
      </c>
      <c r="Q478" s="672"/>
      <c r="R478" s="783"/>
      <c r="S478" s="783"/>
      <c r="T478" s="783"/>
      <c r="U478" s="783"/>
      <c r="V478" s="783"/>
      <c r="W478" s="783"/>
      <c r="X478" s="783"/>
      <c r="Y478" s="783"/>
    </row>
    <row r="479" spans="1:25" hidden="1" x14ac:dyDescent="0.25">
      <c r="A479" s="670">
        <v>68</v>
      </c>
      <c r="B479" s="752" t="s">
        <v>185</v>
      </c>
      <c r="C479" s="680"/>
      <c r="D479" s="680">
        <f>IF(D478=0,0,IF(D474=D476,0,1))</f>
        <v>0</v>
      </c>
      <c r="E479" s="680">
        <f t="shared" ref="E479:O479" si="162">IF(AND(D478=0,E478&lt;&gt;0),E478,0)</f>
        <v>0</v>
      </c>
      <c r="F479" s="680">
        <f t="shared" si="162"/>
        <v>0</v>
      </c>
      <c r="G479" s="680">
        <f>IF(AND(F478=0,G478&lt;&gt;0),G478,0)</f>
        <v>0</v>
      </c>
      <c r="H479" s="680">
        <f>IF(AND(G478=0,H478&lt;&gt;0),H478,0)</f>
        <v>0</v>
      </c>
      <c r="I479" s="680">
        <f>IF(AND(H478=0,I478&lt;&gt;0),I478,0)</f>
        <v>0</v>
      </c>
      <c r="J479" s="680">
        <f>IF(AND(I478=0,J478&lt;&gt;0),J478,0)</f>
        <v>0</v>
      </c>
      <c r="K479" s="680">
        <f t="shared" si="162"/>
        <v>0</v>
      </c>
      <c r="L479" s="680">
        <f t="shared" si="162"/>
        <v>0</v>
      </c>
      <c r="M479" s="680">
        <f t="shared" si="162"/>
        <v>0</v>
      </c>
      <c r="N479" s="680">
        <f t="shared" si="162"/>
        <v>0</v>
      </c>
      <c r="O479" s="751">
        <f t="shared" si="162"/>
        <v>0</v>
      </c>
      <c r="P479" s="748"/>
      <c r="Q479" s="678"/>
      <c r="R479" s="783"/>
      <c r="S479" s="783"/>
      <c r="T479" s="783"/>
      <c r="U479" s="783"/>
      <c r="V479" s="783"/>
      <c r="W479" s="783"/>
      <c r="X479" s="783"/>
      <c r="Y479" s="783"/>
    </row>
    <row r="480" spans="1:25" hidden="1" x14ac:dyDescent="0.25">
      <c r="A480" s="670">
        <v>69</v>
      </c>
      <c r="B480" s="752" t="s">
        <v>186</v>
      </c>
      <c r="C480" s="680"/>
      <c r="D480" s="746">
        <f>D475-D477</f>
        <v>0</v>
      </c>
      <c r="E480" s="746">
        <f t="shared" ref="E480:O480" si="163">IF(E479=0,0,E475-E477)</f>
        <v>0</v>
      </c>
      <c r="F480" s="746">
        <f t="shared" si="163"/>
        <v>0</v>
      </c>
      <c r="G480" s="746">
        <f t="shared" si="163"/>
        <v>0</v>
      </c>
      <c r="H480" s="746">
        <f t="shared" si="163"/>
        <v>0</v>
      </c>
      <c r="I480" s="746">
        <f t="shared" si="163"/>
        <v>0</v>
      </c>
      <c r="J480" s="746">
        <f t="shared" si="163"/>
        <v>0</v>
      </c>
      <c r="K480" s="746">
        <f t="shared" si="163"/>
        <v>0</v>
      </c>
      <c r="L480" s="746">
        <f t="shared" si="163"/>
        <v>0</v>
      </c>
      <c r="M480" s="746">
        <f t="shared" si="163"/>
        <v>0</v>
      </c>
      <c r="N480" s="746">
        <f t="shared" si="163"/>
        <v>0</v>
      </c>
      <c r="O480" s="747">
        <f t="shared" si="163"/>
        <v>0</v>
      </c>
      <c r="P480" s="746">
        <f>P474-P481</f>
        <v>0</v>
      </c>
      <c r="Q480" s="753" t="s">
        <v>221</v>
      </c>
      <c r="R480" s="783"/>
      <c r="S480" s="783"/>
      <c r="T480" s="783"/>
      <c r="U480" s="783"/>
      <c r="V480" s="783"/>
      <c r="W480" s="783"/>
      <c r="X480" s="783"/>
      <c r="Y480" s="783"/>
    </row>
    <row r="481" spans="1:25" hidden="1" x14ac:dyDescent="0.25">
      <c r="A481" s="670">
        <v>70</v>
      </c>
      <c r="B481" s="746" t="s">
        <v>187</v>
      </c>
      <c r="C481" s="680"/>
      <c r="D481" s="746">
        <f t="shared" ref="D481:O481" si="164">D476+D480</f>
        <v>0</v>
      </c>
      <c r="E481" s="746">
        <f t="shared" si="164"/>
        <v>0</v>
      </c>
      <c r="F481" s="746">
        <f t="shared" si="164"/>
        <v>0</v>
      </c>
      <c r="G481" s="746">
        <f t="shared" si="164"/>
        <v>0</v>
      </c>
      <c r="H481" s="746">
        <f t="shared" si="164"/>
        <v>0</v>
      </c>
      <c r="I481" s="746">
        <f t="shared" si="164"/>
        <v>0</v>
      </c>
      <c r="J481" s="746">
        <f t="shared" si="164"/>
        <v>0</v>
      </c>
      <c r="K481" s="746">
        <f t="shared" si="164"/>
        <v>0</v>
      </c>
      <c r="L481" s="746">
        <f t="shared" si="164"/>
        <v>0</v>
      </c>
      <c r="M481" s="746">
        <f t="shared" si="164"/>
        <v>0</v>
      </c>
      <c r="N481" s="746">
        <f t="shared" si="164"/>
        <v>0</v>
      </c>
      <c r="O481" s="746">
        <f t="shared" si="164"/>
        <v>0</v>
      </c>
      <c r="P481" s="746">
        <f>SUM(D481:O481)</f>
        <v>0</v>
      </c>
      <c r="Q481" s="678"/>
      <c r="R481" s="783"/>
      <c r="S481" s="783"/>
      <c r="T481" s="783"/>
      <c r="U481" s="783"/>
      <c r="V481" s="783"/>
      <c r="W481" s="783"/>
      <c r="X481" s="783"/>
      <c r="Y481" s="783"/>
    </row>
    <row r="482" spans="1:25" ht="15.75" hidden="1" thickBot="1" x14ac:dyDescent="0.3">
      <c r="A482" s="670">
        <v>71</v>
      </c>
      <c r="B482" s="746" t="s">
        <v>183</v>
      </c>
      <c r="C482" s="754">
        <f>COUNTIF(D478:O478,0)</f>
        <v>12</v>
      </c>
      <c r="D482" s="746">
        <f t="shared" ref="D482:O482" si="165">IF(D478=$P478,$P480,0)+D481</f>
        <v>0</v>
      </c>
      <c r="E482" s="746">
        <f t="shared" si="165"/>
        <v>0</v>
      </c>
      <c r="F482" s="746">
        <f t="shared" si="165"/>
        <v>0</v>
      </c>
      <c r="G482" s="746">
        <f t="shared" si="165"/>
        <v>0</v>
      </c>
      <c r="H482" s="746">
        <f t="shared" si="165"/>
        <v>0</v>
      </c>
      <c r="I482" s="746">
        <f t="shared" si="165"/>
        <v>0</v>
      </c>
      <c r="J482" s="746">
        <f t="shared" si="165"/>
        <v>0</v>
      </c>
      <c r="K482" s="746">
        <f t="shared" si="165"/>
        <v>0</v>
      </c>
      <c r="L482" s="746">
        <f t="shared" si="165"/>
        <v>0</v>
      </c>
      <c r="M482" s="746">
        <f t="shared" si="165"/>
        <v>0</v>
      </c>
      <c r="N482" s="746">
        <f t="shared" si="165"/>
        <v>0</v>
      </c>
      <c r="O482" s="746">
        <f t="shared" si="165"/>
        <v>0</v>
      </c>
      <c r="P482" s="746">
        <f>SUM(D482:O482)</f>
        <v>0</v>
      </c>
      <c r="Q482" s="753" t="s">
        <v>189</v>
      </c>
      <c r="R482" s="783"/>
      <c r="S482" s="783"/>
      <c r="T482" s="783"/>
      <c r="U482" s="783"/>
      <c r="V482" s="783"/>
      <c r="W482" s="783"/>
      <c r="X482" s="783"/>
      <c r="Y482" s="783"/>
    </row>
    <row r="483" spans="1:25" ht="15.75" hidden="1" thickBot="1" x14ac:dyDescent="0.3">
      <c r="A483" s="670">
        <v>72</v>
      </c>
      <c r="B483" s="751" t="s">
        <v>190</v>
      </c>
      <c r="C483" s="755" t="str">
        <f>HLOOKUP(P478,D306:O333,3,FALSE)</f>
        <v/>
      </c>
      <c r="D483" s="228"/>
      <c r="E483" s="228"/>
      <c r="F483" s="228"/>
      <c r="G483" s="228"/>
      <c r="H483" s="228"/>
      <c r="I483" s="228"/>
      <c r="J483" s="228"/>
      <c r="K483" s="228"/>
      <c r="L483" s="228"/>
      <c r="M483" s="228"/>
      <c r="N483" s="228"/>
      <c r="O483" s="228"/>
      <c r="P483" s="300"/>
      <c r="Q483" s="678"/>
      <c r="R483" s="783"/>
      <c r="S483" s="783"/>
      <c r="T483" s="783"/>
      <c r="U483" s="783"/>
      <c r="V483" s="783"/>
      <c r="W483" s="783"/>
      <c r="X483" s="783"/>
      <c r="Y483" s="783"/>
    </row>
    <row r="484" spans="1:25" ht="15.75" hidden="1" thickBot="1" x14ac:dyDescent="0.3">
      <c r="A484" s="670"/>
      <c r="B484" s="751" t="s">
        <v>191</v>
      </c>
      <c r="C484" s="756">
        <f>P308</f>
        <v>0</v>
      </c>
      <c r="D484" s="228"/>
      <c r="E484" s="228"/>
      <c r="F484" s="228"/>
      <c r="G484" s="228"/>
      <c r="H484" s="228"/>
      <c r="I484" s="228"/>
      <c r="J484" s="228"/>
      <c r="K484" s="228"/>
      <c r="L484" s="228"/>
      <c r="M484" s="228"/>
      <c r="N484" s="228"/>
      <c r="O484" s="228"/>
      <c r="P484" s="300"/>
      <c r="Q484" s="678"/>
      <c r="R484" s="783"/>
      <c r="S484" s="783"/>
      <c r="T484" s="783"/>
      <c r="U484" s="783"/>
      <c r="V484" s="783"/>
      <c r="W484" s="783"/>
      <c r="X484" s="783"/>
      <c r="Y484" s="783"/>
    </row>
    <row r="485" spans="1:25" hidden="1" x14ac:dyDescent="0.25">
      <c r="A485" s="670"/>
      <c r="B485" s="224"/>
      <c r="C485" s="228"/>
      <c r="D485" s="228"/>
      <c r="E485" s="228"/>
      <c r="F485" s="228"/>
      <c r="G485" s="228"/>
      <c r="H485" s="228"/>
      <c r="I485" s="228"/>
      <c r="J485" s="228"/>
      <c r="K485" s="228"/>
      <c r="L485" s="228"/>
      <c r="M485" s="228"/>
      <c r="N485" s="228"/>
      <c r="O485" s="228"/>
      <c r="P485" s="300"/>
      <c r="Q485" s="678"/>
      <c r="R485" s="783"/>
      <c r="S485" s="783"/>
      <c r="T485" s="783"/>
      <c r="U485" s="783"/>
      <c r="V485" s="783"/>
      <c r="W485" s="783"/>
      <c r="X485" s="783"/>
      <c r="Y485" s="783"/>
    </row>
    <row r="486" spans="1:25" hidden="1" x14ac:dyDescent="0.25">
      <c r="A486" s="670"/>
      <c r="B486" s="224" t="s">
        <v>13</v>
      </c>
      <c r="C486" s="228"/>
      <c r="D486" s="228"/>
      <c r="E486" s="228"/>
      <c r="F486" s="228"/>
      <c r="G486" s="228"/>
      <c r="H486" s="228"/>
      <c r="I486" s="228"/>
      <c r="J486" s="228"/>
      <c r="K486" s="228"/>
      <c r="L486" s="228"/>
      <c r="M486" s="228"/>
      <c r="N486" s="228"/>
      <c r="O486" s="228"/>
      <c r="P486" s="300"/>
      <c r="Q486" s="678"/>
      <c r="R486" s="783"/>
      <c r="S486" s="783"/>
      <c r="T486" s="783"/>
      <c r="U486" s="783"/>
      <c r="V486" s="783"/>
      <c r="W486" s="783"/>
      <c r="X486" s="783"/>
      <c r="Y486" s="783"/>
    </row>
    <row r="487" spans="1:25" hidden="1" x14ac:dyDescent="0.25">
      <c r="A487" s="670"/>
      <c r="B487" s="739" t="str">
        <f>SAÍDAS!C31</f>
        <v>Mão de Obra</v>
      </c>
      <c r="C487" s="300">
        <f t="shared" ref="C487:C526" si="166">SUM(D487:O487)</f>
        <v>0</v>
      </c>
      <c r="D487" s="300">
        <f>SAÍDAS!E31*(SAÍDAS!$W31/100)</f>
        <v>0</v>
      </c>
      <c r="E487" s="300">
        <f>SAÍDAS!F31*(SAÍDAS!$W31/100)</f>
        <v>0</v>
      </c>
      <c r="F487" s="300">
        <f>SAÍDAS!G31*(SAÍDAS!$W31/100)</f>
        <v>0</v>
      </c>
      <c r="G487" s="300">
        <f>SAÍDAS!H31*(SAÍDAS!$W31/100)</f>
        <v>0</v>
      </c>
      <c r="H487" s="300">
        <f>SAÍDAS!I31*(SAÍDAS!$W31/100)</f>
        <v>0</v>
      </c>
      <c r="I487" s="300">
        <f>SAÍDAS!J31*(SAÍDAS!$W31/100)</f>
        <v>0</v>
      </c>
      <c r="J487" s="300">
        <f>SAÍDAS!K31*(SAÍDAS!$W31/100)</f>
        <v>0</v>
      </c>
      <c r="K487" s="300">
        <f>SAÍDAS!L31*(SAÍDAS!$W31/100)</f>
        <v>0</v>
      </c>
      <c r="L487" s="300">
        <f>SAÍDAS!M31*(SAÍDAS!$W31/100)</f>
        <v>0</v>
      </c>
      <c r="M487" s="300">
        <f>SAÍDAS!N31*(SAÍDAS!$W31/100)</f>
        <v>0</v>
      </c>
      <c r="N487" s="300">
        <f>SAÍDAS!O31*(SAÍDAS!$W31/100)</f>
        <v>0</v>
      </c>
      <c r="O487" s="300">
        <f>SAÍDAS!P31*(SAÍDAS!$W31/100)</f>
        <v>0</v>
      </c>
      <c r="P487" s="224"/>
      <c r="Q487" s="672"/>
      <c r="R487" s="783"/>
      <c r="S487" s="783"/>
      <c r="T487" s="783"/>
      <c r="U487" s="783"/>
      <c r="V487" s="783"/>
      <c r="W487" s="783"/>
      <c r="X487" s="783"/>
      <c r="Y487" s="783"/>
    </row>
    <row r="488" spans="1:25" hidden="1" x14ac:dyDescent="0.25">
      <c r="A488" s="670"/>
      <c r="B488" s="739" t="str">
        <f>SAÍDAS!C32</f>
        <v>Mão de Obra</v>
      </c>
      <c r="C488" s="300">
        <f t="shared" si="166"/>
        <v>0</v>
      </c>
      <c r="D488" s="300">
        <f>SAÍDAS!E32*(SAÍDAS!$W32/100)</f>
        <v>0</v>
      </c>
      <c r="E488" s="300">
        <f>SAÍDAS!F32*(SAÍDAS!$W32/100)</f>
        <v>0</v>
      </c>
      <c r="F488" s="300">
        <f>SAÍDAS!G32*(SAÍDAS!$W32/100)</f>
        <v>0</v>
      </c>
      <c r="G488" s="300">
        <f>SAÍDAS!H32*(SAÍDAS!$W32/100)</f>
        <v>0</v>
      </c>
      <c r="H488" s="300">
        <f>SAÍDAS!I32*(SAÍDAS!$W32/100)</f>
        <v>0</v>
      </c>
      <c r="I488" s="300">
        <f>SAÍDAS!J32*(SAÍDAS!$W32/100)</f>
        <v>0</v>
      </c>
      <c r="J488" s="300">
        <f>SAÍDAS!K32*(SAÍDAS!$W32/100)</f>
        <v>0</v>
      </c>
      <c r="K488" s="300">
        <f>SAÍDAS!L32*(SAÍDAS!$W32/100)</f>
        <v>0</v>
      </c>
      <c r="L488" s="300">
        <f>SAÍDAS!M32*(SAÍDAS!$W32/100)</f>
        <v>0</v>
      </c>
      <c r="M488" s="300">
        <f>SAÍDAS!N32*(SAÍDAS!$W32/100)</f>
        <v>0</v>
      </c>
      <c r="N488" s="300">
        <f>SAÍDAS!O32*(SAÍDAS!$W32/100)</f>
        <v>0</v>
      </c>
      <c r="O488" s="300">
        <f>SAÍDAS!P32*(SAÍDAS!$W32/100)</f>
        <v>0</v>
      </c>
      <c r="P488" s="300"/>
      <c r="Q488" s="672"/>
      <c r="R488" s="783"/>
      <c r="S488" s="783"/>
      <c r="T488" s="783"/>
      <c r="U488" s="783"/>
      <c r="V488" s="783"/>
      <c r="W488" s="783"/>
      <c r="X488" s="783"/>
      <c r="Y488" s="783"/>
    </row>
    <row r="489" spans="1:25" hidden="1" x14ac:dyDescent="0.25">
      <c r="A489" s="670"/>
      <c r="B489" s="739" t="str">
        <f>SAÍDAS!C33</f>
        <v>Mão de Obra</v>
      </c>
      <c r="C489" s="300">
        <f t="shared" si="166"/>
        <v>0</v>
      </c>
      <c r="D489" s="300">
        <f>SAÍDAS!E33*(SAÍDAS!$W33/100)</f>
        <v>0</v>
      </c>
      <c r="E489" s="300">
        <f>SAÍDAS!F33*(SAÍDAS!$W33/100)</f>
        <v>0</v>
      </c>
      <c r="F489" s="300">
        <f>SAÍDAS!G33*(SAÍDAS!$W33/100)</f>
        <v>0</v>
      </c>
      <c r="G489" s="300">
        <f>SAÍDAS!H33*(SAÍDAS!$W33/100)</f>
        <v>0</v>
      </c>
      <c r="H489" s="300">
        <f>SAÍDAS!I33*(SAÍDAS!$W33/100)</f>
        <v>0</v>
      </c>
      <c r="I489" s="300">
        <f>SAÍDAS!J33*(SAÍDAS!$W33/100)</f>
        <v>0</v>
      </c>
      <c r="J489" s="300">
        <f>SAÍDAS!K33*(SAÍDAS!$W33/100)</f>
        <v>0</v>
      </c>
      <c r="K489" s="300">
        <f>SAÍDAS!L33*(SAÍDAS!$W33/100)</f>
        <v>0</v>
      </c>
      <c r="L489" s="300">
        <f>SAÍDAS!M33*(SAÍDAS!$W33/100)</f>
        <v>0</v>
      </c>
      <c r="M489" s="300">
        <f>SAÍDAS!N33*(SAÍDAS!$W33/100)</f>
        <v>0</v>
      </c>
      <c r="N489" s="300">
        <f>SAÍDAS!O33*(SAÍDAS!$W33/100)</f>
        <v>0</v>
      </c>
      <c r="O489" s="300">
        <f>SAÍDAS!P33*(SAÍDAS!$W33/100)</f>
        <v>0</v>
      </c>
      <c r="P489" s="300"/>
      <c r="Q489" s="672"/>
      <c r="R489" s="783"/>
      <c r="S489" s="783"/>
      <c r="T489" s="783"/>
      <c r="U489" s="783"/>
      <c r="V489" s="783"/>
      <c r="W489" s="783"/>
      <c r="X489" s="783"/>
      <c r="Y489" s="783"/>
    </row>
    <row r="490" spans="1:25" hidden="1" x14ac:dyDescent="0.25">
      <c r="A490" s="670"/>
      <c r="B490" s="739" t="str">
        <f>SAÍDAS!C34</f>
        <v>Serviços Terceirizados</v>
      </c>
      <c r="C490" s="300">
        <f t="shared" si="166"/>
        <v>0</v>
      </c>
      <c r="D490" s="300">
        <f>SAÍDAS!E34*(SAÍDAS!$W34/100)</f>
        <v>0</v>
      </c>
      <c r="E490" s="300">
        <f>SAÍDAS!F34*(SAÍDAS!$W34/100)</f>
        <v>0</v>
      </c>
      <c r="F490" s="300">
        <f>SAÍDAS!G34*(SAÍDAS!$W34/100)</f>
        <v>0</v>
      </c>
      <c r="G490" s="300">
        <f>SAÍDAS!H34*(SAÍDAS!$W34/100)</f>
        <v>0</v>
      </c>
      <c r="H490" s="300">
        <f>SAÍDAS!I34*(SAÍDAS!$W34/100)</f>
        <v>0</v>
      </c>
      <c r="I490" s="300">
        <f>SAÍDAS!J34*(SAÍDAS!$W34/100)</f>
        <v>0</v>
      </c>
      <c r="J490" s="300">
        <f>SAÍDAS!K34*(SAÍDAS!$W34/100)</f>
        <v>0</v>
      </c>
      <c r="K490" s="300">
        <f>SAÍDAS!L34*(SAÍDAS!$W34/100)</f>
        <v>0</v>
      </c>
      <c r="L490" s="300">
        <f>SAÍDAS!M34*(SAÍDAS!$W34/100)</f>
        <v>0</v>
      </c>
      <c r="M490" s="300">
        <f>SAÍDAS!N34*(SAÍDAS!$W34/100)</f>
        <v>0</v>
      </c>
      <c r="N490" s="300">
        <f>SAÍDAS!O34*(SAÍDAS!$W34/100)</f>
        <v>0</v>
      </c>
      <c r="O490" s="300">
        <f>SAÍDAS!P34*(SAÍDAS!$W34/100)</f>
        <v>0</v>
      </c>
      <c r="P490" s="300"/>
      <c r="Q490" s="672"/>
      <c r="R490" s="783"/>
      <c r="S490" s="783"/>
      <c r="T490" s="783"/>
      <c r="U490" s="783"/>
      <c r="V490" s="783"/>
      <c r="W490" s="783"/>
      <c r="X490" s="783"/>
      <c r="Y490" s="783"/>
    </row>
    <row r="491" spans="1:25" hidden="1" x14ac:dyDescent="0.25">
      <c r="A491" s="670"/>
      <c r="B491" s="739" t="str">
        <f>SAÍDAS!C35</f>
        <v>Alimentação</v>
      </c>
      <c r="C491" s="300">
        <f t="shared" si="166"/>
        <v>0</v>
      </c>
      <c r="D491" s="300">
        <f>SAÍDAS!E35*(SAÍDAS!$W35/100)</f>
        <v>0</v>
      </c>
      <c r="E491" s="300">
        <f>SAÍDAS!F35*(SAÍDAS!$W35/100)</f>
        <v>0</v>
      </c>
      <c r="F491" s="300">
        <f>SAÍDAS!G35*(SAÍDAS!$W35/100)</f>
        <v>0</v>
      </c>
      <c r="G491" s="300">
        <f>SAÍDAS!H35*(SAÍDAS!$W35/100)</f>
        <v>0</v>
      </c>
      <c r="H491" s="300">
        <f>SAÍDAS!I35*(SAÍDAS!$W35/100)</f>
        <v>0</v>
      </c>
      <c r="I491" s="300">
        <f>SAÍDAS!J35*(SAÍDAS!$W35/100)</f>
        <v>0</v>
      </c>
      <c r="J491" s="300">
        <f>SAÍDAS!K35*(SAÍDAS!$W35/100)</f>
        <v>0</v>
      </c>
      <c r="K491" s="300">
        <f>SAÍDAS!L35*(SAÍDAS!$W35/100)</f>
        <v>0</v>
      </c>
      <c r="L491" s="300">
        <f>SAÍDAS!M35*(SAÍDAS!$W35/100)</f>
        <v>0</v>
      </c>
      <c r="M491" s="300">
        <f>SAÍDAS!N35*(SAÍDAS!$W35/100)</f>
        <v>0</v>
      </c>
      <c r="N491" s="300">
        <f>SAÍDAS!O35*(SAÍDAS!$W35/100)</f>
        <v>0</v>
      </c>
      <c r="O491" s="300">
        <f>SAÍDAS!P35*(SAÍDAS!$W35/100)</f>
        <v>0</v>
      </c>
      <c r="P491" s="300"/>
      <c r="Q491" s="672"/>
      <c r="R491" s="783"/>
      <c r="S491" s="783"/>
      <c r="T491" s="783"/>
      <c r="U491" s="783"/>
      <c r="V491" s="783"/>
      <c r="W491" s="783"/>
      <c r="X491" s="783"/>
      <c r="Y491" s="783"/>
    </row>
    <row r="492" spans="1:25" hidden="1" x14ac:dyDescent="0.25">
      <c r="A492" s="670"/>
      <c r="B492" s="739" t="str">
        <f>SAÍDAS!C36</f>
        <v>Alimentação</v>
      </c>
      <c r="C492" s="300">
        <f t="shared" si="166"/>
        <v>0</v>
      </c>
      <c r="D492" s="300">
        <f>SAÍDAS!E36*(SAÍDAS!$W36/100)</f>
        <v>0</v>
      </c>
      <c r="E492" s="300">
        <f>SAÍDAS!F36*(SAÍDAS!$W36/100)</f>
        <v>0</v>
      </c>
      <c r="F492" s="300">
        <f>SAÍDAS!G36*(SAÍDAS!$W36/100)</f>
        <v>0</v>
      </c>
      <c r="G492" s="300">
        <f>SAÍDAS!H36*(SAÍDAS!$W36/100)</f>
        <v>0</v>
      </c>
      <c r="H492" s="300">
        <f>SAÍDAS!I36*(SAÍDAS!$W36/100)</f>
        <v>0</v>
      </c>
      <c r="I492" s="300">
        <f>SAÍDAS!J36*(SAÍDAS!$W36/100)</f>
        <v>0</v>
      </c>
      <c r="J492" s="300">
        <f>SAÍDAS!K36*(SAÍDAS!$W36/100)</f>
        <v>0</v>
      </c>
      <c r="K492" s="300">
        <f>SAÍDAS!L36*(SAÍDAS!$W36/100)</f>
        <v>0</v>
      </c>
      <c r="L492" s="300">
        <f>SAÍDAS!M36*(SAÍDAS!$W36/100)</f>
        <v>0</v>
      </c>
      <c r="M492" s="300">
        <f>SAÍDAS!N36*(SAÍDAS!$W36/100)</f>
        <v>0</v>
      </c>
      <c r="N492" s="300">
        <f>SAÍDAS!O36*(SAÍDAS!$W36/100)</f>
        <v>0</v>
      </c>
      <c r="O492" s="300">
        <f>SAÍDAS!P36*(SAÍDAS!$W36/100)</f>
        <v>0</v>
      </c>
      <c r="P492" s="300"/>
      <c r="Q492" s="672"/>
      <c r="R492" s="783"/>
      <c r="S492" s="783"/>
      <c r="T492" s="783"/>
      <c r="U492" s="783"/>
      <c r="V492" s="783"/>
      <c r="W492" s="783"/>
      <c r="X492" s="783"/>
      <c r="Y492" s="783"/>
    </row>
    <row r="493" spans="1:25" hidden="1" x14ac:dyDescent="0.25">
      <c r="A493" s="670"/>
      <c r="B493" s="739" t="str">
        <f>SAÍDAS!C37</f>
        <v>Alimentação</v>
      </c>
      <c r="C493" s="300">
        <f t="shared" si="166"/>
        <v>0</v>
      </c>
      <c r="D493" s="300">
        <f>SAÍDAS!E37*(SAÍDAS!$W37/100)</f>
        <v>0</v>
      </c>
      <c r="E493" s="300">
        <f>SAÍDAS!F37*(SAÍDAS!$W37/100)</f>
        <v>0</v>
      </c>
      <c r="F493" s="300">
        <f>SAÍDAS!G37*(SAÍDAS!$W37/100)</f>
        <v>0</v>
      </c>
      <c r="G493" s="300">
        <f>SAÍDAS!H37*(SAÍDAS!$W37/100)</f>
        <v>0</v>
      </c>
      <c r="H493" s="300">
        <f>SAÍDAS!I37*(SAÍDAS!$W37/100)</f>
        <v>0</v>
      </c>
      <c r="I493" s="300">
        <f>SAÍDAS!J37*(SAÍDAS!$W37/100)</f>
        <v>0</v>
      </c>
      <c r="J493" s="300">
        <f>SAÍDAS!K37*(SAÍDAS!$W37/100)</f>
        <v>0</v>
      </c>
      <c r="K493" s="300">
        <f>SAÍDAS!L37*(SAÍDAS!$W37/100)</f>
        <v>0</v>
      </c>
      <c r="L493" s="300">
        <f>SAÍDAS!M37*(SAÍDAS!$W37/100)</f>
        <v>0</v>
      </c>
      <c r="M493" s="300">
        <f>SAÍDAS!N37*(SAÍDAS!$W37/100)</f>
        <v>0</v>
      </c>
      <c r="N493" s="300">
        <f>SAÍDAS!O37*(SAÍDAS!$W37/100)</f>
        <v>0</v>
      </c>
      <c r="O493" s="300">
        <f>SAÍDAS!P37*(SAÍDAS!$W37/100)</f>
        <v>0</v>
      </c>
      <c r="P493" s="300"/>
      <c r="Q493" s="672"/>
      <c r="R493" s="783"/>
      <c r="S493" s="783"/>
      <c r="T493" s="783"/>
      <c r="U493" s="783"/>
      <c r="V493" s="783"/>
      <c r="W493" s="783"/>
      <c r="X493" s="783"/>
      <c r="Y493" s="783"/>
    </row>
    <row r="494" spans="1:25" hidden="1" x14ac:dyDescent="0.25">
      <c r="A494" s="670"/>
      <c r="B494" s="739" t="str">
        <f>SAÍDAS!C38</f>
        <v>Alimentação</v>
      </c>
      <c r="C494" s="300">
        <f t="shared" si="166"/>
        <v>0</v>
      </c>
      <c r="D494" s="300">
        <f>SAÍDAS!E38*(SAÍDAS!$W38/100)</f>
        <v>0</v>
      </c>
      <c r="E494" s="300">
        <f>SAÍDAS!F38*(SAÍDAS!$W38/100)</f>
        <v>0</v>
      </c>
      <c r="F494" s="300">
        <f>SAÍDAS!G38*(SAÍDAS!$W38/100)</f>
        <v>0</v>
      </c>
      <c r="G494" s="300">
        <f>SAÍDAS!H38*(SAÍDAS!$W38/100)</f>
        <v>0</v>
      </c>
      <c r="H494" s="300">
        <f>SAÍDAS!I38*(SAÍDAS!$W38/100)</f>
        <v>0</v>
      </c>
      <c r="I494" s="300">
        <f>SAÍDAS!J38*(SAÍDAS!$W38/100)</f>
        <v>0</v>
      </c>
      <c r="J494" s="300">
        <f>SAÍDAS!K38*(SAÍDAS!$W38/100)</f>
        <v>0</v>
      </c>
      <c r="K494" s="300">
        <f>SAÍDAS!L38*(SAÍDAS!$W38/100)</f>
        <v>0</v>
      </c>
      <c r="L494" s="300">
        <f>SAÍDAS!M38*(SAÍDAS!$W38/100)</f>
        <v>0</v>
      </c>
      <c r="M494" s="300">
        <f>SAÍDAS!N38*(SAÍDAS!$W38/100)</f>
        <v>0</v>
      </c>
      <c r="N494" s="300">
        <f>SAÍDAS!O38*(SAÍDAS!$W38/100)</f>
        <v>0</v>
      </c>
      <c r="O494" s="300">
        <f>SAÍDAS!P38*(SAÍDAS!$W38/100)</f>
        <v>0</v>
      </c>
      <c r="P494" s="300"/>
      <c r="Q494" s="672"/>
      <c r="R494" s="783"/>
      <c r="S494" s="783"/>
      <c r="T494" s="783"/>
      <c r="U494" s="783"/>
      <c r="V494" s="783"/>
      <c r="W494" s="783"/>
      <c r="X494" s="783"/>
      <c r="Y494" s="783"/>
    </row>
    <row r="495" spans="1:25" hidden="1" x14ac:dyDescent="0.25">
      <c r="A495" s="670"/>
      <c r="B495" s="739" t="str">
        <f>SAÍDAS!C39</f>
        <v>Alimentação</v>
      </c>
      <c r="C495" s="300">
        <f t="shared" si="166"/>
        <v>0</v>
      </c>
      <c r="D495" s="300">
        <f>SAÍDAS!E39*(SAÍDAS!$W39/100)</f>
        <v>0</v>
      </c>
      <c r="E495" s="300">
        <f>SAÍDAS!F39*(SAÍDAS!$W39/100)</f>
        <v>0</v>
      </c>
      <c r="F495" s="300">
        <f>SAÍDAS!G39*(SAÍDAS!$W39/100)</f>
        <v>0</v>
      </c>
      <c r="G495" s="300">
        <f>SAÍDAS!H39*(SAÍDAS!$W39/100)</f>
        <v>0</v>
      </c>
      <c r="H495" s="300">
        <f>SAÍDAS!I39*(SAÍDAS!$W39/100)</f>
        <v>0</v>
      </c>
      <c r="I495" s="300">
        <f>SAÍDAS!J39*(SAÍDAS!$W39/100)</f>
        <v>0</v>
      </c>
      <c r="J495" s="300">
        <f>SAÍDAS!K39*(SAÍDAS!$W39/100)</f>
        <v>0</v>
      </c>
      <c r="K495" s="300">
        <f>SAÍDAS!L39*(SAÍDAS!$W39/100)</f>
        <v>0</v>
      </c>
      <c r="L495" s="300">
        <f>SAÍDAS!M39*(SAÍDAS!$W39/100)</f>
        <v>0</v>
      </c>
      <c r="M495" s="300">
        <f>SAÍDAS!N39*(SAÍDAS!$W39/100)</f>
        <v>0</v>
      </c>
      <c r="N495" s="300">
        <f>SAÍDAS!O39*(SAÍDAS!$W39/100)</f>
        <v>0</v>
      </c>
      <c r="O495" s="300">
        <f>SAÍDAS!P39*(SAÍDAS!$W39/100)</f>
        <v>0</v>
      </c>
      <c r="P495" s="300"/>
      <c r="Q495" s="672"/>
      <c r="R495" s="783"/>
      <c r="S495" s="783"/>
      <c r="T495" s="783"/>
      <c r="U495" s="783"/>
      <c r="V495" s="783"/>
      <c r="W495" s="783"/>
      <c r="X495" s="783"/>
      <c r="Y495" s="783"/>
    </row>
    <row r="496" spans="1:25" hidden="1" x14ac:dyDescent="0.25">
      <c r="A496" s="670"/>
      <c r="B496" s="739" t="str">
        <f>SAÍDAS!C40</f>
        <v>Alimentação</v>
      </c>
      <c r="C496" s="300">
        <f t="shared" si="166"/>
        <v>0</v>
      </c>
      <c r="D496" s="300">
        <f>SAÍDAS!E40*(SAÍDAS!$W40/100)</f>
        <v>0</v>
      </c>
      <c r="E496" s="300">
        <f>SAÍDAS!F40*(SAÍDAS!$W40/100)</f>
        <v>0</v>
      </c>
      <c r="F496" s="300">
        <f>SAÍDAS!G40*(SAÍDAS!$W40/100)</f>
        <v>0</v>
      </c>
      <c r="G496" s="300">
        <f>SAÍDAS!H40*(SAÍDAS!$W40/100)</f>
        <v>0</v>
      </c>
      <c r="H496" s="300">
        <f>SAÍDAS!I40*(SAÍDAS!$W40/100)</f>
        <v>0</v>
      </c>
      <c r="I496" s="300">
        <f>SAÍDAS!J40*(SAÍDAS!$W40/100)</f>
        <v>0</v>
      </c>
      <c r="J496" s="300">
        <f>SAÍDAS!K40*(SAÍDAS!$W40/100)</f>
        <v>0</v>
      </c>
      <c r="K496" s="300">
        <f>SAÍDAS!L40*(SAÍDAS!$W40/100)</f>
        <v>0</v>
      </c>
      <c r="L496" s="300">
        <f>SAÍDAS!M40*(SAÍDAS!$W40/100)</f>
        <v>0</v>
      </c>
      <c r="M496" s="300">
        <f>SAÍDAS!N40*(SAÍDAS!$W40/100)</f>
        <v>0</v>
      </c>
      <c r="N496" s="300">
        <f>SAÍDAS!O40*(SAÍDAS!$W40/100)</f>
        <v>0</v>
      </c>
      <c r="O496" s="300">
        <f>SAÍDAS!P40*(SAÍDAS!$W40/100)</f>
        <v>0</v>
      </c>
      <c r="P496" s="300"/>
      <c r="Q496" s="672"/>
      <c r="R496" s="783"/>
      <c r="S496" s="783"/>
      <c r="T496" s="783"/>
      <c r="U496" s="783"/>
      <c r="V496" s="783"/>
      <c r="W496" s="783"/>
      <c r="X496" s="783"/>
      <c r="Y496" s="783"/>
    </row>
    <row r="497" spans="1:25" hidden="1" x14ac:dyDescent="0.25">
      <c r="A497" s="670"/>
      <c r="B497" s="739" t="str">
        <f>SAÍDAS!C41</f>
        <v>Alimentação</v>
      </c>
      <c r="C497" s="300">
        <f t="shared" si="166"/>
        <v>0</v>
      </c>
      <c r="D497" s="300">
        <f>SAÍDAS!E41*(SAÍDAS!$W41/100)</f>
        <v>0</v>
      </c>
      <c r="E497" s="300">
        <f>SAÍDAS!F41*(SAÍDAS!$W41/100)</f>
        <v>0</v>
      </c>
      <c r="F497" s="300">
        <f>SAÍDAS!G41*(SAÍDAS!$W41/100)</f>
        <v>0</v>
      </c>
      <c r="G497" s="300">
        <f>SAÍDAS!H41*(SAÍDAS!$W41/100)</f>
        <v>0</v>
      </c>
      <c r="H497" s="300">
        <f>SAÍDAS!I41*(SAÍDAS!$W41/100)</f>
        <v>0</v>
      </c>
      <c r="I497" s="300">
        <f>SAÍDAS!J41*(SAÍDAS!$W41/100)</f>
        <v>0</v>
      </c>
      <c r="J497" s="300">
        <f>SAÍDAS!K41*(SAÍDAS!$W41/100)</f>
        <v>0</v>
      </c>
      <c r="K497" s="300">
        <f>SAÍDAS!L41*(SAÍDAS!$W41/100)</f>
        <v>0</v>
      </c>
      <c r="L497" s="300">
        <f>SAÍDAS!M41*(SAÍDAS!$W41/100)</f>
        <v>0</v>
      </c>
      <c r="M497" s="300">
        <f>SAÍDAS!N41*(SAÍDAS!$W41/100)</f>
        <v>0</v>
      </c>
      <c r="N497" s="300">
        <f>SAÍDAS!O41*(SAÍDAS!$W41/100)</f>
        <v>0</v>
      </c>
      <c r="O497" s="300">
        <f>SAÍDAS!P41*(SAÍDAS!$W41/100)</f>
        <v>0</v>
      </c>
      <c r="P497" s="300"/>
      <c r="Q497" s="672"/>
      <c r="R497" s="783"/>
      <c r="S497" s="783"/>
      <c r="T497" s="783"/>
      <c r="U497" s="783"/>
      <c r="V497" s="783"/>
      <c r="W497" s="783"/>
      <c r="X497" s="783"/>
      <c r="Y497" s="783"/>
    </row>
    <row r="498" spans="1:25" hidden="1" x14ac:dyDescent="0.25">
      <c r="A498" s="670"/>
      <c r="B498" s="739" t="str">
        <f>SAÍDAS!C42</f>
        <v>Alimentação</v>
      </c>
      <c r="C498" s="300">
        <f t="shared" si="166"/>
        <v>0</v>
      </c>
      <c r="D498" s="300">
        <f>SAÍDAS!E42*(SAÍDAS!$W42/100)</f>
        <v>0</v>
      </c>
      <c r="E498" s="300">
        <f>SAÍDAS!F42*(SAÍDAS!$W42/100)</f>
        <v>0</v>
      </c>
      <c r="F498" s="300">
        <f>SAÍDAS!G42*(SAÍDAS!$W42/100)</f>
        <v>0</v>
      </c>
      <c r="G498" s="300">
        <f>SAÍDAS!H42*(SAÍDAS!$W42/100)</f>
        <v>0</v>
      </c>
      <c r="H498" s="300">
        <f>SAÍDAS!I42*(SAÍDAS!$W42/100)</f>
        <v>0</v>
      </c>
      <c r="I498" s="300">
        <f>SAÍDAS!J42*(SAÍDAS!$W42/100)</f>
        <v>0</v>
      </c>
      <c r="J498" s="300">
        <f>SAÍDAS!K42*(SAÍDAS!$W42/100)</f>
        <v>0</v>
      </c>
      <c r="K498" s="300">
        <f>SAÍDAS!L42*(SAÍDAS!$W42/100)</f>
        <v>0</v>
      </c>
      <c r="L498" s="300">
        <f>SAÍDAS!M42*(SAÍDAS!$W42/100)</f>
        <v>0</v>
      </c>
      <c r="M498" s="300">
        <f>SAÍDAS!N42*(SAÍDAS!$W42/100)</f>
        <v>0</v>
      </c>
      <c r="N498" s="300">
        <f>SAÍDAS!O42*(SAÍDAS!$W42/100)</f>
        <v>0</v>
      </c>
      <c r="O498" s="300">
        <f>SAÍDAS!P42*(SAÍDAS!$W42/100)</f>
        <v>0</v>
      </c>
      <c r="P498" s="300"/>
      <c r="Q498" s="672"/>
      <c r="R498" s="783"/>
      <c r="S498" s="783"/>
      <c r="T498" s="783"/>
      <c r="U498" s="783"/>
      <c r="V498" s="783"/>
      <c r="W498" s="783"/>
      <c r="X498" s="783"/>
      <c r="Y498" s="783"/>
    </row>
    <row r="499" spans="1:25" hidden="1" x14ac:dyDescent="0.25">
      <c r="A499" s="670"/>
      <c r="B499" s="739" t="str">
        <f>SAÍDAS!C43</f>
        <v>Alimentação</v>
      </c>
      <c r="C499" s="300">
        <f t="shared" si="166"/>
        <v>0</v>
      </c>
      <c r="D499" s="300">
        <f>SAÍDAS!E43*(SAÍDAS!$W43/100)</f>
        <v>0</v>
      </c>
      <c r="E499" s="300">
        <f>SAÍDAS!F43*(SAÍDAS!$W43/100)</f>
        <v>0</v>
      </c>
      <c r="F499" s="300">
        <f>SAÍDAS!G43*(SAÍDAS!$W43/100)</f>
        <v>0</v>
      </c>
      <c r="G499" s="300">
        <f>SAÍDAS!H43*(SAÍDAS!$W43/100)</f>
        <v>0</v>
      </c>
      <c r="H499" s="300">
        <f>SAÍDAS!I43*(SAÍDAS!$W43/100)</f>
        <v>0</v>
      </c>
      <c r="I499" s="300">
        <f>SAÍDAS!J43*(SAÍDAS!$W43/100)</f>
        <v>0</v>
      </c>
      <c r="J499" s="300">
        <f>SAÍDAS!K43*(SAÍDAS!$W43/100)</f>
        <v>0</v>
      </c>
      <c r="K499" s="300">
        <f>SAÍDAS!L43*(SAÍDAS!$W43/100)</f>
        <v>0</v>
      </c>
      <c r="L499" s="300">
        <f>SAÍDAS!M43*(SAÍDAS!$W43/100)</f>
        <v>0</v>
      </c>
      <c r="M499" s="300">
        <f>SAÍDAS!N43*(SAÍDAS!$W43/100)</f>
        <v>0</v>
      </c>
      <c r="N499" s="300">
        <f>SAÍDAS!O43*(SAÍDAS!$W43/100)</f>
        <v>0</v>
      </c>
      <c r="O499" s="300">
        <f>SAÍDAS!P43*(SAÍDAS!$W43/100)</f>
        <v>0</v>
      </c>
      <c r="P499" s="300"/>
      <c r="Q499" s="672"/>
      <c r="R499" s="783"/>
      <c r="S499" s="783"/>
      <c r="T499" s="783"/>
      <c r="U499" s="783"/>
      <c r="V499" s="783"/>
      <c r="W499" s="783"/>
      <c r="X499" s="783"/>
      <c r="Y499" s="783"/>
    </row>
    <row r="500" spans="1:25" hidden="1" x14ac:dyDescent="0.25">
      <c r="A500" s="670"/>
      <c r="B500" s="739" t="str">
        <f>SAÍDAS!C44</f>
        <v>Alimentação</v>
      </c>
      <c r="C500" s="300">
        <f t="shared" si="166"/>
        <v>0</v>
      </c>
      <c r="D500" s="300">
        <f>SAÍDAS!E44*(SAÍDAS!$W44/100)</f>
        <v>0</v>
      </c>
      <c r="E500" s="300">
        <f>SAÍDAS!F44*(SAÍDAS!$W44/100)</f>
        <v>0</v>
      </c>
      <c r="F500" s="300">
        <f>SAÍDAS!G44*(SAÍDAS!$W44/100)</f>
        <v>0</v>
      </c>
      <c r="G500" s="300">
        <f>SAÍDAS!H44*(SAÍDAS!$W44/100)</f>
        <v>0</v>
      </c>
      <c r="H500" s="300">
        <f>SAÍDAS!I44*(SAÍDAS!$W44/100)</f>
        <v>0</v>
      </c>
      <c r="I500" s="300">
        <f>SAÍDAS!J44*(SAÍDAS!$W44/100)</f>
        <v>0</v>
      </c>
      <c r="J500" s="300">
        <f>SAÍDAS!K44*(SAÍDAS!$W44/100)</f>
        <v>0</v>
      </c>
      <c r="K500" s="300">
        <f>SAÍDAS!L44*(SAÍDAS!$W44/100)</f>
        <v>0</v>
      </c>
      <c r="L500" s="300">
        <f>SAÍDAS!M44*(SAÍDAS!$W44/100)</f>
        <v>0</v>
      </c>
      <c r="M500" s="300">
        <f>SAÍDAS!N44*(SAÍDAS!$W44/100)</f>
        <v>0</v>
      </c>
      <c r="N500" s="300">
        <f>SAÍDAS!O44*(SAÍDAS!$W44/100)</f>
        <v>0</v>
      </c>
      <c r="O500" s="300">
        <f>SAÍDAS!P44*(SAÍDAS!$W44/100)</f>
        <v>0</v>
      </c>
      <c r="P500" s="300"/>
      <c r="Q500" s="672"/>
      <c r="R500" s="783"/>
      <c r="S500" s="783"/>
      <c r="T500" s="783"/>
      <c r="U500" s="783"/>
      <c r="V500" s="783"/>
      <c r="W500" s="783"/>
      <c r="X500" s="783"/>
      <c r="Y500" s="783"/>
    </row>
    <row r="501" spans="1:25" hidden="1" x14ac:dyDescent="0.25">
      <c r="A501" s="670"/>
      <c r="B501" s="739" t="str">
        <f>SAÍDAS!C45</f>
        <v>Alimentação</v>
      </c>
      <c r="C501" s="300">
        <f t="shared" si="166"/>
        <v>0</v>
      </c>
      <c r="D501" s="300">
        <f>SAÍDAS!E45*(SAÍDAS!$W45/100)</f>
        <v>0</v>
      </c>
      <c r="E501" s="300">
        <f>SAÍDAS!F45*(SAÍDAS!$W45/100)</f>
        <v>0</v>
      </c>
      <c r="F501" s="300">
        <f>SAÍDAS!G45*(SAÍDAS!$W45/100)</f>
        <v>0</v>
      </c>
      <c r="G501" s="300">
        <f>SAÍDAS!H45*(SAÍDAS!$W45/100)</f>
        <v>0</v>
      </c>
      <c r="H501" s="300">
        <f>SAÍDAS!I45*(SAÍDAS!$W45/100)</f>
        <v>0</v>
      </c>
      <c r="I501" s="300">
        <f>SAÍDAS!J45*(SAÍDAS!$W45/100)</f>
        <v>0</v>
      </c>
      <c r="J501" s="300">
        <f>SAÍDAS!K45*(SAÍDAS!$W45/100)</f>
        <v>0</v>
      </c>
      <c r="K501" s="300">
        <f>SAÍDAS!L45*(SAÍDAS!$W45/100)</f>
        <v>0</v>
      </c>
      <c r="L501" s="300">
        <f>SAÍDAS!M45*(SAÍDAS!$W45/100)</f>
        <v>0</v>
      </c>
      <c r="M501" s="300">
        <f>SAÍDAS!N45*(SAÍDAS!$W45/100)</f>
        <v>0</v>
      </c>
      <c r="N501" s="300">
        <f>SAÍDAS!O45*(SAÍDAS!$W45/100)</f>
        <v>0</v>
      </c>
      <c r="O501" s="300">
        <f>SAÍDAS!P45*(SAÍDAS!$W45/100)</f>
        <v>0</v>
      </c>
      <c r="P501" s="300"/>
      <c r="Q501" s="672"/>
      <c r="R501" s="783"/>
      <c r="S501" s="783"/>
      <c r="T501" s="783"/>
      <c r="U501" s="783"/>
      <c r="V501" s="783"/>
      <c r="W501" s="783"/>
      <c r="X501" s="783"/>
      <c r="Y501" s="783"/>
    </row>
    <row r="502" spans="1:25" hidden="1" x14ac:dyDescent="0.25">
      <c r="A502" s="670"/>
      <c r="B502" s="739" t="str">
        <f>SAÍDAS!C46</f>
        <v>Manutenção de Forragem</v>
      </c>
      <c r="C502" s="300">
        <f t="shared" si="166"/>
        <v>0</v>
      </c>
      <c r="D502" s="300">
        <f>SAÍDAS!E46*(SAÍDAS!$W46/100)</f>
        <v>0</v>
      </c>
      <c r="E502" s="300">
        <f>SAÍDAS!F46*(SAÍDAS!$W46/100)</f>
        <v>0</v>
      </c>
      <c r="F502" s="300">
        <f>SAÍDAS!G46*(SAÍDAS!$W46/100)</f>
        <v>0</v>
      </c>
      <c r="G502" s="300">
        <f>SAÍDAS!H46*(SAÍDAS!$W46/100)</f>
        <v>0</v>
      </c>
      <c r="H502" s="300">
        <f>SAÍDAS!I46*(SAÍDAS!$W46/100)</f>
        <v>0</v>
      </c>
      <c r="I502" s="300">
        <f>SAÍDAS!J46*(SAÍDAS!$W46/100)</f>
        <v>0</v>
      </c>
      <c r="J502" s="300">
        <f>SAÍDAS!K46*(SAÍDAS!$W46/100)</f>
        <v>0</v>
      </c>
      <c r="K502" s="300">
        <f>SAÍDAS!L46*(SAÍDAS!$W46/100)</f>
        <v>0</v>
      </c>
      <c r="L502" s="300">
        <f>SAÍDAS!M46*(SAÍDAS!$W46/100)</f>
        <v>0</v>
      </c>
      <c r="M502" s="300">
        <f>SAÍDAS!N46*(SAÍDAS!$W46/100)</f>
        <v>0</v>
      </c>
      <c r="N502" s="300">
        <f>SAÍDAS!O46*(SAÍDAS!$W46/100)</f>
        <v>0</v>
      </c>
      <c r="O502" s="300">
        <f>SAÍDAS!P46*(SAÍDAS!$W46/100)</f>
        <v>0</v>
      </c>
      <c r="P502" s="300"/>
      <c r="Q502" s="672"/>
      <c r="R502" s="783"/>
      <c r="S502" s="783"/>
      <c r="T502" s="783"/>
      <c r="U502" s="783"/>
      <c r="V502" s="783"/>
      <c r="W502" s="783"/>
      <c r="X502" s="783"/>
      <c r="Y502" s="783"/>
    </row>
    <row r="503" spans="1:25" hidden="1" x14ac:dyDescent="0.25">
      <c r="A503" s="670"/>
      <c r="B503" s="739" t="str">
        <f>SAÍDAS!C47</f>
        <v>Manutenção de Forragem</v>
      </c>
      <c r="C503" s="300">
        <f t="shared" si="166"/>
        <v>0</v>
      </c>
      <c r="D503" s="300">
        <f>SAÍDAS!E47*(SAÍDAS!$W47/100)</f>
        <v>0</v>
      </c>
      <c r="E503" s="300">
        <f>SAÍDAS!F47*(SAÍDAS!$W47/100)</f>
        <v>0</v>
      </c>
      <c r="F503" s="300">
        <f>SAÍDAS!G47*(SAÍDAS!$W47/100)</f>
        <v>0</v>
      </c>
      <c r="G503" s="300">
        <f>SAÍDAS!H47*(SAÍDAS!$W47/100)</f>
        <v>0</v>
      </c>
      <c r="H503" s="300">
        <f>SAÍDAS!I47*(SAÍDAS!$W47/100)</f>
        <v>0</v>
      </c>
      <c r="I503" s="300">
        <f>SAÍDAS!J47*(SAÍDAS!$W47/100)</f>
        <v>0</v>
      </c>
      <c r="J503" s="300">
        <f>SAÍDAS!K47*(SAÍDAS!$W47/100)</f>
        <v>0</v>
      </c>
      <c r="K503" s="300">
        <f>SAÍDAS!L47*(SAÍDAS!$W47/100)</f>
        <v>0</v>
      </c>
      <c r="L503" s="300">
        <f>SAÍDAS!M47*(SAÍDAS!$W47/100)</f>
        <v>0</v>
      </c>
      <c r="M503" s="300">
        <f>SAÍDAS!N47*(SAÍDAS!$W47/100)</f>
        <v>0</v>
      </c>
      <c r="N503" s="300">
        <f>SAÍDAS!O47*(SAÍDAS!$W47/100)</f>
        <v>0</v>
      </c>
      <c r="O503" s="300">
        <f>SAÍDAS!P47*(SAÍDAS!$W47/100)</f>
        <v>0</v>
      </c>
      <c r="P503" s="300"/>
      <c r="Q503" s="672"/>
      <c r="R503" s="783"/>
      <c r="S503" s="783"/>
      <c r="T503" s="783"/>
      <c r="U503" s="783"/>
      <c r="V503" s="783"/>
      <c r="W503" s="783"/>
      <c r="X503" s="783"/>
      <c r="Y503" s="783"/>
    </row>
    <row r="504" spans="1:25" hidden="1" x14ac:dyDescent="0.25">
      <c r="A504" s="670"/>
      <c r="B504" s="739" t="str">
        <f>SAÍDAS!C48</f>
        <v>Manutenção de Forragem</v>
      </c>
      <c r="C504" s="300">
        <f t="shared" si="166"/>
        <v>0</v>
      </c>
      <c r="D504" s="300">
        <f>SAÍDAS!E48*(SAÍDAS!$W48/100)</f>
        <v>0</v>
      </c>
      <c r="E504" s="300">
        <f>SAÍDAS!F48*(SAÍDAS!$W48/100)</f>
        <v>0</v>
      </c>
      <c r="F504" s="300">
        <f>SAÍDAS!G48*(SAÍDAS!$W48/100)</f>
        <v>0</v>
      </c>
      <c r="G504" s="300">
        <f>SAÍDAS!H48*(SAÍDAS!$W48/100)</f>
        <v>0</v>
      </c>
      <c r="H504" s="300">
        <f>SAÍDAS!I48*(SAÍDAS!$W48/100)</f>
        <v>0</v>
      </c>
      <c r="I504" s="300">
        <f>SAÍDAS!J48*(SAÍDAS!$W48/100)</f>
        <v>0</v>
      </c>
      <c r="J504" s="300">
        <f>SAÍDAS!K48*(SAÍDAS!$W48/100)</f>
        <v>0</v>
      </c>
      <c r="K504" s="300">
        <f>SAÍDAS!L48*(SAÍDAS!$W48/100)</f>
        <v>0</v>
      </c>
      <c r="L504" s="300">
        <f>SAÍDAS!M48*(SAÍDAS!$W48/100)</f>
        <v>0</v>
      </c>
      <c r="M504" s="300">
        <f>SAÍDAS!N48*(SAÍDAS!$W48/100)</f>
        <v>0</v>
      </c>
      <c r="N504" s="300">
        <f>SAÍDAS!O48*(SAÍDAS!$W48/100)</f>
        <v>0</v>
      </c>
      <c r="O504" s="300">
        <f>SAÍDAS!P48*(SAÍDAS!$W48/100)</f>
        <v>0</v>
      </c>
      <c r="P504" s="300"/>
      <c r="Q504" s="672"/>
      <c r="R504" s="783"/>
      <c r="S504" s="783"/>
      <c r="T504" s="783"/>
      <c r="U504" s="783"/>
      <c r="V504" s="783"/>
      <c r="W504" s="783"/>
      <c r="X504" s="783"/>
      <c r="Y504" s="783"/>
    </row>
    <row r="505" spans="1:25" hidden="1" x14ac:dyDescent="0.25">
      <c r="A505" s="670"/>
      <c r="B505" s="739" t="str">
        <f>SAÍDAS!C49</f>
        <v>Manutenção de Forragem</v>
      </c>
      <c r="C505" s="300">
        <f t="shared" si="166"/>
        <v>0</v>
      </c>
      <c r="D505" s="300">
        <f>SAÍDAS!E49*(SAÍDAS!$W49/100)</f>
        <v>0</v>
      </c>
      <c r="E505" s="300">
        <f>SAÍDAS!F49*(SAÍDAS!$W49/100)</f>
        <v>0</v>
      </c>
      <c r="F505" s="300">
        <f>SAÍDAS!G49*(SAÍDAS!$W49/100)</f>
        <v>0</v>
      </c>
      <c r="G505" s="300">
        <f>SAÍDAS!H49*(SAÍDAS!$W49/100)</f>
        <v>0</v>
      </c>
      <c r="H505" s="300">
        <f>SAÍDAS!I49*(SAÍDAS!$W49/100)</f>
        <v>0</v>
      </c>
      <c r="I505" s="300">
        <f>SAÍDAS!J49*(SAÍDAS!$W49/100)</f>
        <v>0</v>
      </c>
      <c r="J505" s="300">
        <f>SAÍDAS!K49*(SAÍDAS!$W49/100)</f>
        <v>0</v>
      </c>
      <c r="K505" s="300">
        <f>SAÍDAS!L49*(SAÍDAS!$W49/100)</f>
        <v>0</v>
      </c>
      <c r="L505" s="300">
        <f>SAÍDAS!M49*(SAÍDAS!$W49/100)</f>
        <v>0</v>
      </c>
      <c r="M505" s="300">
        <f>SAÍDAS!N49*(SAÍDAS!$W49/100)</f>
        <v>0</v>
      </c>
      <c r="N505" s="300">
        <f>SAÍDAS!O49*(SAÍDAS!$W49/100)</f>
        <v>0</v>
      </c>
      <c r="O505" s="300">
        <f>SAÍDAS!P49*(SAÍDAS!$W49/100)</f>
        <v>0</v>
      </c>
      <c r="P505" s="300"/>
      <c r="Q505" s="672"/>
      <c r="R505" s="783"/>
      <c r="S505" s="783"/>
      <c r="T505" s="783"/>
      <c r="U505" s="783"/>
      <c r="V505" s="783"/>
      <c r="W505" s="783"/>
      <c r="X505" s="783"/>
      <c r="Y505" s="783"/>
    </row>
    <row r="506" spans="1:25" hidden="1" x14ac:dyDescent="0.25">
      <c r="A506" s="670"/>
      <c r="B506" s="739" t="str">
        <f>SAÍDAS!C50</f>
        <v>Reprodução</v>
      </c>
      <c r="C506" s="300">
        <f t="shared" si="166"/>
        <v>0</v>
      </c>
      <c r="D506" s="300">
        <f>SAÍDAS!E50*(SAÍDAS!$W50/100)</f>
        <v>0</v>
      </c>
      <c r="E506" s="300">
        <f>SAÍDAS!F50*(SAÍDAS!$W50/100)</f>
        <v>0</v>
      </c>
      <c r="F506" s="300">
        <f>SAÍDAS!G50*(SAÍDAS!$W50/100)</f>
        <v>0</v>
      </c>
      <c r="G506" s="300">
        <f>SAÍDAS!H50*(SAÍDAS!$W50/100)</f>
        <v>0</v>
      </c>
      <c r="H506" s="300">
        <f>SAÍDAS!I50*(SAÍDAS!$W50/100)</f>
        <v>0</v>
      </c>
      <c r="I506" s="300">
        <f>SAÍDAS!J50*(SAÍDAS!$W50/100)</f>
        <v>0</v>
      </c>
      <c r="J506" s="300">
        <f>SAÍDAS!K50*(SAÍDAS!$W50/100)</f>
        <v>0</v>
      </c>
      <c r="K506" s="300">
        <f>SAÍDAS!L50*(SAÍDAS!$W50/100)</f>
        <v>0</v>
      </c>
      <c r="L506" s="300">
        <f>SAÍDAS!M50*(SAÍDAS!$W50/100)</f>
        <v>0</v>
      </c>
      <c r="M506" s="300">
        <f>SAÍDAS!N50*(SAÍDAS!$W50/100)</f>
        <v>0</v>
      </c>
      <c r="N506" s="300">
        <f>SAÍDAS!O50*(SAÍDAS!$W50/100)</f>
        <v>0</v>
      </c>
      <c r="O506" s="300">
        <f>SAÍDAS!P50*(SAÍDAS!$W50/100)</f>
        <v>0</v>
      </c>
      <c r="P506" s="300"/>
      <c r="Q506" s="672"/>
      <c r="R506" s="783"/>
      <c r="S506" s="783"/>
      <c r="T506" s="783"/>
      <c r="U506" s="783"/>
      <c r="V506" s="783"/>
      <c r="W506" s="783"/>
      <c r="X506" s="783"/>
      <c r="Y506" s="783"/>
    </row>
    <row r="507" spans="1:25" hidden="1" x14ac:dyDescent="0.25">
      <c r="A507" s="670"/>
      <c r="B507" s="739" t="str">
        <f>SAÍDAS!C51</f>
        <v>Reprodução</v>
      </c>
      <c r="C507" s="300">
        <f t="shared" si="166"/>
        <v>0</v>
      </c>
      <c r="D507" s="300">
        <f>SAÍDAS!E51*(SAÍDAS!$W51/100)</f>
        <v>0</v>
      </c>
      <c r="E507" s="300">
        <f>SAÍDAS!F51*(SAÍDAS!$W51/100)</f>
        <v>0</v>
      </c>
      <c r="F507" s="300">
        <f>SAÍDAS!G51*(SAÍDAS!$W51/100)</f>
        <v>0</v>
      </c>
      <c r="G507" s="300">
        <f>SAÍDAS!H51*(SAÍDAS!$W51/100)</f>
        <v>0</v>
      </c>
      <c r="H507" s="300">
        <f>SAÍDAS!I51*(SAÍDAS!$W51/100)</f>
        <v>0</v>
      </c>
      <c r="I507" s="300">
        <f>SAÍDAS!J51*(SAÍDAS!$W51/100)</f>
        <v>0</v>
      </c>
      <c r="J507" s="300">
        <f>SAÍDAS!K51*(SAÍDAS!$W51/100)</f>
        <v>0</v>
      </c>
      <c r="K507" s="300">
        <f>SAÍDAS!L51*(SAÍDAS!$W51/100)</f>
        <v>0</v>
      </c>
      <c r="L507" s="300">
        <f>SAÍDAS!M51*(SAÍDAS!$W51/100)</f>
        <v>0</v>
      </c>
      <c r="M507" s="300">
        <f>SAÍDAS!N51*(SAÍDAS!$W51/100)</f>
        <v>0</v>
      </c>
      <c r="N507" s="300">
        <f>SAÍDAS!O51*(SAÍDAS!$W51/100)</f>
        <v>0</v>
      </c>
      <c r="O507" s="300">
        <f>SAÍDAS!P51*(SAÍDAS!$W51/100)</f>
        <v>0</v>
      </c>
      <c r="P507" s="300"/>
      <c r="Q507" s="672"/>
      <c r="R507" s="783"/>
      <c r="S507" s="783"/>
      <c r="T507" s="783"/>
      <c r="U507" s="783"/>
      <c r="V507" s="783"/>
      <c r="W507" s="783"/>
      <c r="X507" s="783"/>
      <c r="Y507" s="783"/>
    </row>
    <row r="508" spans="1:25" hidden="1" x14ac:dyDescent="0.25">
      <c r="A508" s="670"/>
      <c r="B508" s="739" t="str">
        <f>SAÍDAS!C52</f>
        <v>Sanidade</v>
      </c>
      <c r="C508" s="300">
        <f t="shared" si="166"/>
        <v>0</v>
      </c>
      <c r="D508" s="300">
        <f>SAÍDAS!E52*(SAÍDAS!$W52/100)</f>
        <v>0</v>
      </c>
      <c r="E508" s="300">
        <f>SAÍDAS!F52*(SAÍDAS!$W52/100)</f>
        <v>0</v>
      </c>
      <c r="F508" s="300">
        <f>SAÍDAS!G52*(SAÍDAS!$W52/100)</f>
        <v>0</v>
      </c>
      <c r="G508" s="300">
        <f>SAÍDAS!H52*(SAÍDAS!$W52/100)</f>
        <v>0</v>
      </c>
      <c r="H508" s="300">
        <f>SAÍDAS!I52*(SAÍDAS!$W52/100)</f>
        <v>0</v>
      </c>
      <c r="I508" s="300">
        <f>SAÍDAS!J52*(SAÍDAS!$W52/100)</f>
        <v>0</v>
      </c>
      <c r="J508" s="300">
        <f>SAÍDAS!K52*(SAÍDAS!$W52/100)</f>
        <v>0</v>
      </c>
      <c r="K508" s="300">
        <f>SAÍDAS!L52*(SAÍDAS!$W52/100)</f>
        <v>0</v>
      </c>
      <c r="L508" s="300">
        <f>SAÍDAS!M52*(SAÍDAS!$W52/100)</f>
        <v>0</v>
      </c>
      <c r="M508" s="300">
        <f>SAÍDAS!N52*(SAÍDAS!$W52/100)</f>
        <v>0</v>
      </c>
      <c r="N508" s="300">
        <f>SAÍDAS!O52*(SAÍDAS!$W52/100)</f>
        <v>0</v>
      </c>
      <c r="O508" s="300">
        <f>SAÍDAS!P52*(SAÍDAS!$W52/100)</f>
        <v>0</v>
      </c>
      <c r="P508" s="300"/>
      <c r="Q508" s="672"/>
      <c r="R508" s="783"/>
      <c r="S508" s="783"/>
      <c r="T508" s="783"/>
      <c r="U508" s="783"/>
      <c r="V508" s="783"/>
      <c r="W508" s="783"/>
      <c r="X508" s="783"/>
      <c r="Y508" s="783"/>
    </row>
    <row r="509" spans="1:25" hidden="1" x14ac:dyDescent="0.25">
      <c r="A509" s="670"/>
      <c r="B509" s="739" t="str">
        <f>SAÍDAS!C53</f>
        <v>Sanidade</v>
      </c>
      <c r="C509" s="300">
        <f t="shared" si="166"/>
        <v>0</v>
      </c>
      <c r="D509" s="300">
        <f>SAÍDAS!E53*(SAÍDAS!$W53/100)</f>
        <v>0</v>
      </c>
      <c r="E509" s="300">
        <f>SAÍDAS!F53*(SAÍDAS!$W53/100)</f>
        <v>0</v>
      </c>
      <c r="F509" s="300">
        <f>SAÍDAS!G53*(SAÍDAS!$W53/100)</f>
        <v>0</v>
      </c>
      <c r="G509" s="300">
        <f>SAÍDAS!H53*(SAÍDAS!$W53/100)</f>
        <v>0</v>
      </c>
      <c r="H509" s="300">
        <f>SAÍDAS!I53*(SAÍDAS!$W53/100)</f>
        <v>0</v>
      </c>
      <c r="I509" s="300">
        <f>SAÍDAS!J53*(SAÍDAS!$W53/100)</f>
        <v>0</v>
      </c>
      <c r="J509" s="300">
        <f>SAÍDAS!K53*(SAÍDAS!$W53/100)</f>
        <v>0</v>
      </c>
      <c r="K509" s="300">
        <f>SAÍDAS!L53*(SAÍDAS!$W53/100)</f>
        <v>0</v>
      </c>
      <c r="L509" s="300">
        <f>SAÍDAS!M53*(SAÍDAS!$W53/100)</f>
        <v>0</v>
      </c>
      <c r="M509" s="300">
        <f>SAÍDAS!N53*(SAÍDAS!$W53/100)</f>
        <v>0</v>
      </c>
      <c r="N509" s="300">
        <f>SAÍDAS!O53*(SAÍDAS!$W53/100)</f>
        <v>0</v>
      </c>
      <c r="O509" s="300">
        <f>SAÍDAS!P53*(SAÍDAS!$W53/100)</f>
        <v>0</v>
      </c>
      <c r="P509" s="300"/>
      <c r="Q509" s="672"/>
      <c r="R509" s="783"/>
      <c r="S509" s="783"/>
      <c r="T509" s="783"/>
      <c r="U509" s="783"/>
      <c r="V509" s="783"/>
      <c r="W509" s="783"/>
      <c r="X509" s="783"/>
      <c r="Y509" s="783"/>
    </row>
    <row r="510" spans="1:25" hidden="1" x14ac:dyDescent="0.25">
      <c r="A510" s="670"/>
      <c r="B510" s="739" t="str">
        <f>SAÍDAS!C54</f>
        <v>Sanidade</v>
      </c>
      <c r="C510" s="300">
        <f t="shared" si="166"/>
        <v>0</v>
      </c>
      <c r="D510" s="300">
        <f>SAÍDAS!E54*(SAÍDAS!$W54/100)</f>
        <v>0</v>
      </c>
      <c r="E510" s="300">
        <f>SAÍDAS!F54*(SAÍDAS!$W54/100)</f>
        <v>0</v>
      </c>
      <c r="F510" s="300">
        <f>SAÍDAS!G54*(SAÍDAS!$W54/100)</f>
        <v>0</v>
      </c>
      <c r="G510" s="300">
        <f>SAÍDAS!H54*(SAÍDAS!$W54/100)</f>
        <v>0</v>
      </c>
      <c r="H510" s="300">
        <f>SAÍDAS!I54*(SAÍDAS!$W54/100)</f>
        <v>0</v>
      </c>
      <c r="I510" s="300">
        <f>SAÍDAS!J54*(SAÍDAS!$W54/100)</f>
        <v>0</v>
      </c>
      <c r="J510" s="300">
        <f>SAÍDAS!K54*(SAÍDAS!$W54/100)</f>
        <v>0</v>
      </c>
      <c r="K510" s="300">
        <f>SAÍDAS!L54*(SAÍDAS!$W54/100)</f>
        <v>0</v>
      </c>
      <c r="L510" s="300">
        <f>SAÍDAS!M54*(SAÍDAS!$W54/100)</f>
        <v>0</v>
      </c>
      <c r="M510" s="300">
        <f>SAÍDAS!N54*(SAÍDAS!$W54/100)</f>
        <v>0</v>
      </c>
      <c r="N510" s="300">
        <f>SAÍDAS!O54*(SAÍDAS!$W54/100)</f>
        <v>0</v>
      </c>
      <c r="O510" s="300">
        <f>SAÍDAS!P54*(SAÍDAS!$W54/100)</f>
        <v>0</v>
      </c>
      <c r="P510" s="300"/>
      <c r="Q510" s="672"/>
      <c r="R510" s="783"/>
      <c r="S510" s="783"/>
      <c r="T510" s="783"/>
      <c r="U510" s="783"/>
      <c r="V510" s="783"/>
      <c r="W510" s="783"/>
      <c r="X510" s="783"/>
      <c r="Y510" s="783"/>
    </row>
    <row r="511" spans="1:25" hidden="1" x14ac:dyDescent="0.25">
      <c r="A511" s="670"/>
      <c r="B511" s="739" t="str">
        <f>SAÍDAS!C55</f>
        <v>Manutenção de Máquinas e Instalações</v>
      </c>
      <c r="C511" s="300">
        <f t="shared" si="166"/>
        <v>0</v>
      </c>
      <c r="D511" s="300">
        <f>SAÍDAS!E55*(SAÍDAS!$W55/100)</f>
        <v>0</v>
      </c>
      <c r="E511" s="300">
        <f>SAÍDAS!F55*(SAÍDAS!$W55/100)</f>
        <v>0</v>
      </c>
      <c r="F511" s="300">
        <f>SAÍDAS!G55*(SAÍDAS!$W55/100)</f>
        <v>0</v>
      </c>
      <c r="G511" s="300">
        <f>SAÍDAS!H55*(SAÍDAS!$W55/100)</f>
        <v>0</v>
      </c>
      <c r="H511" s="300">
        <f>SAÍDAS!I55*(SAÍDAS!$W55/100)</f>
        <v>0</v>
      </c>
      <c r="I511" s="300">
        <f>SAÍDAS!J55*(SAÍDAS!$W55/100)</f>
        <v>0</v>
      </c>
      <c r="J511" s="300">
        <f>SAÍDAS!K55*(SAÍDAS!$W55/100)</f>
        <v>0</v>
      </c>
      <c r="K511" s="300">
        <f>SAÍDAS!L55*(SAÍDAS!$W55/100)</f>
        <v>0</v>
      </c>
      <c r="L511" s="300">
        <f>SAÍDAS!M55*(SAÍDAS!$W55/100)</f>
        <v>0</v>
      </c>
      <c r="M511" s="300">
        <f>SAÍDAS!N55*(SAÍDAS!$W55/100)</f>
        <v>0</v>
      </c>
      <c r="N511" s="300">
        <f>SAÍDAS!O55*(SAÍDAS!$W55/100)</f>
        <v>0</v>
      </c>
      <c r="O511" s="300">
        <f>SAÍDAS!P55*(SAÍDAS!$W55/100)</f>
        <v>0</v>
      </c>
      <c r="P511" s="300"/>
      <c r="Q511" s="672"/>
      <c r="R511" s="783"/>
      <c r="S511" s="783"/>
      <c r="T511" s="783"/>
      <c r="U511" s="783"/>
      <c r="V511" s="783"/>
      <c r="W511" s="783"/>
      <c r="X511" s="783"/>
      <c r="Y511" s="783"/>
    </row>
    <row r="512" spans="1:25" hidden="1" x14ac:dyDescent="0.25">
      <c r="A512" s="670"/>
      <c r="B512" s="739" t="str">
        <f>SAÍDAS!C56</f>
        <v>Combustível e Energia</v>
      </c>
      <c r="C512" s="300">
        <f t="shared" si="166"/>
        <v>0</v>
      </c>
      <c r="D512" s="300">
        <f>SAÍDAS!E56*(SAÍDAS!$W56/100)</f>
        <v>0</v>
      </c>
      <c r="E512" s="300">
        <f>SAÍDAS!F56*(SAÍDAS!$W56/100)</f>
        <v>0</v>
      </c>
      <c r="F512" s="300">
        <f>SAÍDAS!G56*(SAÍDAS!$W56/100)</f>
        <v>0</v>
      </c>
      <c r="G512" s="300">
        <f>SAÍDAS!H56*(SAÍDAS!$W56/100)</f>
        <v>0</v>
      </c>
      <c r="H512" s="300">
        <f>SAÍDAS!I56*(SAÍDAS!$W56/100)</f>
        <v>0</v>
      </c>
      <c r="I512" s="300">
        <f>SAÍDAS!J56*(SAÍDAS!$W56/100)</f>
        <v>0</v>
      </c>
      <c r="J512" s="300">
        <f>SAÍDAS!K56*(SAÍDAS!$W56/100)</f>
        <v>0</v>
      </c>
      <c r="K512" s="300">
        <f>SAÍDAS!L56*(SAÍDAS!$W56/100)</f>
        <v>0</v>
      </c>
      <c r="L512" s="300">
        <f>SAÍDAS!M56*(SAÍDAS!$W56/100)</f>
        <v>0</v>
      </c>
      <c r="M512" s="300">
        <f>SAÍDAS!N56*(SAÍDAS!$W56/100)</f>
        <v>0</v>
      </c>
      <c r="N512" s="300">
        <f>SAÍDAS!O56*(SAÍDAS!$W56/100)</f>
        <v>0</v>
      </c>
      <c r="O512" s="300">
        <f>SAÍDAS!P56*(SAÍDAS!$W56/100)</f>
        <v>0</v>
      </c>
      <c r="P512" s="300"/>
      <c r="Q512" s="672"/>
      <c r="R512" s="783"/>
      <c r="S512" s="783"/>
      <c r="T512" s="783"/>
      <c r="U512" s="783"/>
      <c r="V512" s="783"/>
      <c r="W512" s="783"/>
      <c r="X512" s="783"/>
      <c r="Y512" s="783"/>
    </row>
    <row r="513" spans="1:25" hidden="1" x14ac:dyDescent="0.25">
      <c r="A513" s="670"/>
      <c r="B513" s="739" t="str">
        <f>SAÍDAS!C57</f>
        <v>Serviços Terceirizados</v>
      </c>
      <c r="C513" s="300">
        <f t="shared" si="166"/>
        <v>0</v>
      </c>
      <c r="D513" s="300">
        <f>SAÍDAS!E57*(SAÍDAS!$W57/100)</f>
        <v>0</v>
      </c>
      <c r="E513" s="300">
        <f>SAÍDAS!F57*(SAÍDAS!$W57/100)</f>
        <v>0</v>
      </c>
      <c r="F513" s="300">
        <f>SAÍDAS!G57*(SAÍDAS!$W57/100)</f>
        <v>0</v>
      </c>
      <c r="G513" s="300">
        <f>SAÍDAS!H57*(SAÍDAS!$W57/100)</f>
        <v>0</v>
      </c>
      <c r="H513" s="300">
        <f>SAÍDAS!I57*(SAÍDAS!$W57/100)</f>
        <v>0</v>
      </c>
      <c r="I513" s="300">
        <f>SAÍDAS!J57*(SAÍDAS!$W57/100)</f>
        <v>0</v>
      </c>
      <c r="J513" s="300">
        <f>SAÍDAS!K57*(SAÍDAS!$W57/100)</f>
        <v>0</v>
      </c>
      <c r="K513" s="300">
        <f>SAÍDAS!L57*(SAÍDAS!$W57/100)</f>
        <v>0</v>
      </c>
      <c r="L513" s="300">
        <f>SAÍDAS!M57*(SAÍDAS!$W57/100)</f>
        <v>0</v>
      </c>
      <c r="M513" s="300">
        <f>SAÍDAS!N57*(SAÍDAS!$W57/100)</f>
        <v>0</v>
      </c>
      <c r="N513" s="300">
        <f>SAÍDAS!O57*(SAÍDAS!$W57/100)</f>
        <v>0</v>
      </c>
      <c r="O513" s="300">
        <f>SAÍDAS!P57*(SAÍDAS!$W57/100)</f>
        <v>0</v>
      </c>
      <c r="P513" s="300"/>
      <c r="Q513" s="672"/>
      <c r="R513" s="783"/>
      <c r="S513" s="783"/>
      <c r="T513" s="783"/>
      <c r="U513" s="783"/>
      <c r="V513" s="783"/>
      <c r="W513" s="783"/>
      <c r="X513" s="783"/>
      <c r="Y513" s="783"/>
    </row>
    <row r="514" spans="1:25" hidden="1" x14ac:dyDescent="0.25">
      <c r="A514" s="670"/>
      <c r="B514" s="739" t="str">
        <f>SAÍDAS!C58</f>
        <v>Manutenção de Máquinas e Instalações</v>
      </c>
      <c r="C514" s="300">
        <f t="shared" si="166"/>
        <v>0</v>
      </c>
      <c r="D514" s="300">
        <f>SAÍDAS!E58*(SAÍDAS!$W58/100)</f>
        <v>0</v>
      </c>
      <c r="E514" s="300">
        <f>SAÍDAS!F58*(SAÍDAS!$W58/100)</f>
        <v>0</v>
      </c>
      <c r="F514" s="300">
        <f>SAÍDAS!G58*(SAÍDAS!$W58/100)</f>
        <v>0</v>
      </c>
      <c r="G514" s="300">
        <f>SAÍDAS!H58*(SAÍDAS!$W58/100)</f>
        <v>0</v>
      </c>
      <c r="H514" s="300">
        <f>SAÍDAS!I58*(SAÍDAS!$W58/100)</f>
        <v>0</v>
      </c>
      <c r="I514" s="300">
        <f>SAÍDAS!J58*(SAÍDAS!$W58/100)</f>
        <v>0</v>
      </c>
      <c r="J514" s="300">
        <f>SAÍDAS!K58*(SAÍDAS!$W58/100)</f>
        <v>0</v>
      </c>
      <c r="K514" s="300">
        <f>SAÍDAS!L58*(SAÍDAS!$W58/100)</f>
        <v>0</v>
      </c>
      <c r="L514" s="300">
        <f>SAÍDAS!M58*(SAÍDAS!$W58/100)</f>
        <v>0</v>
      </c>
      <c r="M514" s="300">
        <f>SAÍDAS!N58*(SAÍDAS!$W58/100)</f>
        <v>0</v>
      </c>
      <c r="N514" s="300">
        <f>SAÍDAS!O58*(SAÍDAS!$W58/100)</f>
        <v>0</v>
      </c>
      <c r="O514" s="300">
        <f>SAÍDAS!P58*(SAÍDAS!$W58/100)</f>
        <v>0</v>
      </c>
      <c r="P514" s="300"/>
      <c r="Q514" s="672"/>
      <c r="R514" s="783"/>
      <c r="S514" s="783"/>
      <c r="T514" s="783"/>
      <c r="U514" s="783"/>
      <c r="V514" s="783"/>
      <c r="W514" s="783"/>
      <c r="X514" s="783"/>
      <c r="Y514" s="783"/>
    </row>
    <row r="515" spans="1:25" hidden="1" x14ac:dyDescent="0.25">
      <c r="A515" s="670"/>
      <c r="B515" s="739" t="str">
        <f>SAÍDAS!C59</f>
        <v>Manutenção de Máquinas e Instalações</v>
      </c>
      <c r="C515" s="300">
        <f t="shared" si="166"/>
        <v>0</v>
      </c>
      <c r="D515" s="300">
        <f>SAÍDAS!E59*(SAÍDAS!$W59/100)</f>
        <v>0</v>
      </c>
      <c r="E515" s="300">
        <f>SAÍDAS!F59*(SAÍDAS!$W59/100)</f>
        <v>0</v>
      </c>
      <c r="F515" s="300">
        <f>SAÍDAS!G59*(SAÍDAS!$W59/100)</f>
        <v>0</v>
      </c>
      <c r="G515" s="300">
        <f>SAÍDAS!H59*(SAÍDAS!$W59/100)</f>
        <v>0</v>
      </c>
      <c r="H515" s="300">
        <f>SAÍDAS!I59*(SAÍDAS!$W59/100)</f>
        <v>0</v>
      </c>
      <c r="I515" s="300">
        <f>SAÍDAS!J59*(SAÍDAS!$W59/100)</f>
        <v>0</v>
      </c>
      <c r="J515" s="300">
        <f>SAÍDAS!K59*(SAÍDAS!$W59/100)</f>
        <v>0</v>
      </c>
      <c r="K515" s="300">
        <f>SAÍDAS!L59*(SAÍDAS!$W59/100)</f>
        <v>0</v>
      </c>
      <c r="L515" s="300">
        <f>SAÍDAS!M59*(SAÍDAS!$W59/100)</f>
        <v>0</v>
      </c>
      <c r="M515" s="300">
        <f>SAÍDAS!N59*(SAÍDAS!$W59/100)</f>
        <v>0</v>
      </c>
      <c r="N515" s="300">
        <f>SAÍDAS!O59*(SAÍDAS!$W59/100)</f>
        <v>0</v>
      </c>
      <c r="O515" s="300">
        <f>SAÍDAS!P59*(SAÍDAS!$W59/100)</f>
        <v>0</v>
      </c>
      <c r="P515" s="300"/>
      <c r="Q515" s="672"/>
      <c r="R515" s="783"/>
      <c r="S515" s="783"/>
      <c r="T515" s="783"/>
      <c r="U515" s="783"/>
      <c r="V515" s="783"/>
      <c r="W515" s="783"/>
      <c r="X515" s="783"/>
      <c r="Y515" s="783"/>
    </row>
    <row r="516" spans="1:25" hidden="1" x14ac:dyDescent="0.25">
      <c r="A516" s="670"/>
      <c r="B516" s="739" t="str">
        <f>SAÍDAS!C60</f>
        <v>Combustível e Energia</v>
      </c>
      <c r="C516" s="300">
        <f t="shared" si="166"/>
        <v>0</v>
      </c>
      <c r="D516" s="300">
        <f>SAÍDAS!E60*(SAÍDAS!$W60/100)</f>
        <v>0</v>
      </c>
      <c r="E516" s="300">
        <f>SAÍDAS!F60*(SAÍDAS!$W60/100)</f>
        <v>0</v>
      </c>
      <c r="F516" s="300">
        <f>SAÍDAS!G60*(SAÍDAS!$W60/100)</f>
        <v>0</v>
      </c>
      <c r="G516" s="300">
        <f>SAÍDAS!H60*(SAÍDAS!$W60/100)</f>
        <v>0</v>
      </c>
      <c r="H516" s="300">
        <f>SAÍDAS!I60*(SAÍDAS!$W60/100)</f>
        <v>0</v>
      </c>
      <c r="I516" s="300">
        <f>SAÍDAS!J60*(SAÍDAS!$W60/100)</f>
        <v>0</v>
      </c>
      <c r="J516" s="300">
        <f>SAÍDAS!K60*(SAÍDAS!$W60/100)</f>
        <v>0</v>
      </c>
      <c r="K516" s="300">
        <f>SAÍDAS!L60*(SAÍDAS!$W60/100)</f>
        <v>0</v>
      </c>
      <c r="L516" s="300">
        <f>SAÍDAS!M60*(SAÍDAS!$W60/100)</f>
        <v>0</v>
      </c>
      <c r="M516" s="300">
        <f>SAÍDAS!N60*(SAÍDAS!$W60/100)</f>
        <v>0</v>
      </c>
      <c r="N516" s="300">
        <f>SAÍDAS!O60*(SAÍDAS!$W60/100)</f>
        <v>0</v>
      </c>
      <c r="O516" s="300">
        <f>SAÍDAS!P60*(SAÍDAS!$W60/100)</f>
        <v>0</v>
      </c>
      <c r="P516" s="300"/>
      <c r="Q516" s="672"/>
      <c r="R516" s="783"/>
      <c r="S516" s="783"/>
      <c r="T516" s="783"/>
      <c r="U516" s="783"/>
      <c r="V516" s="783"/>
      <c r="W516" s="783"/>
      <c r="X516" s="783"/>
      <c r="Y516" s="783"/>
    </row>
    <row r="517" spans="1:25" hidden="1" x14ac:dyDescent="0.25">
      <c r="A517" s="670"/>
      <c r="B517" s="739" t="str">
        <f>SAÍDAS!C61</f>
        <v>Tarifas e Impostos</v>
      </c>
      <c r="C517" s="300">
        <f t="shared" si="166"/>
        <v>0</v>
      </c>
      <c r="D517" s="300">
        <f>SAÍDAS!E61*(SAÍDAS!$W61/100)</f>
        <v>0</v>
      </c>
      <c r="E517" s="300">
        <f>SAÍDAS!F61*(SAÍDAS!$W61/100)</f>
        <v>0</v>
      </c>
      <c r="F517" s="300">
        <f>SAÍDAS!G61*(SAÍDAS!$W61/100)</f>
        <v>0</v>
      </c>
      <c r="G517" s="300">
        <f>SAÍDAS!H61*(SAÍDAS!$W61/100)</f>
        <v>0</v>
      </c>
      <c r="H517" s="300">
        <f>SAÍDAS!I61*(SAÍDAS!$W61/100)</f>
        <v>0</v>
      </c>
      <c r="I517" s="300">
        <f>SAÍDAS!J61*(SAÍDAS!$W61/100)</f>
        <v>0</v>
      </c>
      <c r="J517" s="300">
        <f>SAÍDAS!K61*(SAÍDAS!$W61/100)</f>
        <v>0</v>
      </c>
      <c r="K517" s="300">
        <f>SAÍDAS!L61*(SAÍDAS!$W61/100)</f>
        <v>0</v>
      </c>
      <c r="L517" s="300">
        <f>SAÍDAS!M61*(SAÍDAS!$W61/100)</f>
        <v>0</v>
      </c>
      <c r="M517" s="300">
        <f>SAÍDAS!N61*(SAÍDAS!$W61/100)</f>
        <v>0</v>
      </c>
      <c r="N517" s="300">
        <f>SAÍDAS!O61*(SAÍDAS!$W61/100)</f>
        <v>0</v>
      </c>
      <c r="O517" s="300">
        <f>SAÍDAS!P61*(SAÍDAS!$W61/100)</f>
        <v>0</v>
      </c>
      <c r="P517" s="300"/>
      <c r="Q517" s="672"/>
      <c r="R517" s="783"/>
      <c r="S517" s="783"/>
      <c r="T517" s="783"/>
      <c r="U517" s="783"/>
      <c r="V517" s="783"/>
      <c r="W517" s="783"/>
      <c r="X517" s="783"/>
      <c r="Y517" s="783"/>
    </row>
    <row r="518" spans="1:25" hidden="1" x14ac:dyDescent="0.25">
      <c r="A518" s="670"/>
      <c r="B518" s="739" t="str">
        <f>SAÍDAS!C62</f>
        <v>Tarifas e Impostos</v>
      </c>
      <c r="C518" s="300">
        <f t="shared" si="166"/>
        <v>0</v>
      </c>
      <c r="D518" s="300">
        <f>SAÍDAS!E62*(SAÍDAS!$W62/100)</f>
        <v>0</v>
      </c>
      <c r="E518" s="300">
        <f>SAÍDAS!F62*(SAÍDAS!$W62/100)</f>
        <v>0</v>
      </c>
      <c r="F518" s="300">
        <f>SAÍDAS!G62*(SAÍDAS!$W62/100)</f>
        <v>0</v>
      </c>
      <c r="G518" s="300">
        <f>SAÍDAS!H62*(SAÍDAS!$W62/100)</f>
        <v>0</v>
      </c>
      <c r="H518" s="300">
        <f>SAÍDAS!I62*(SAÍDAS!$W62/100)</f>
        <v>0</v>
      </c>
      <c r="I518" s="300">
        <f>SAÍDAS!J62*(SAÍDAS!$W62/100)</f>
        <v>0</v>
      </c>
      <c r="J518" s="300">
        <f>SAÍDAS!K62*(SAÍDAS!$W62/100)</f>
        <v>0</v>
      </c>
      <c r="K518" s="300">
        <f>SAÍDAS!L62*(SAÍDAS!$W62/100)</f>
        <v>0</v>
      </c>
      <c r="L518" s="300">
        <f>SAÍDAS!M62*(SAÍDAS!$W62/100)</f>
        <v>0</v>
      </c>
      <c r="M518" s="300">
        <f>SAÍDAS!N62*(SAÍDAS!$W62/100)</f>
        <v>0</v>
      </c>
      <c r="N518" s="300">
        <f>SAÍDAS!O62*(SAÍDAS!$W62/100)</f>
        <v>0</v>
      </c>
      <c r="O518" s="300">
        <f>SAÍDAS!P62*(SAÍDAS!$W62/100)</f>
        <v>0</v>
      </c>
      <c r="P518" s="300"/>
      <c r="Q518" s="672"/>
      <c r="R518" s="783"/>
      <c r="S518" s="783"/>
      <c r="T518" s="783"/>
      <c r="U518" s="783"/>
      <c r="V518" s="783"/>
      <c r="W518" s="783"/>
      <c r="X518" s="783"/>
      <c r="Y518" s="783"/>
    </row>
    <row r="519" spans="1:25" hidden="1" x14ac:dyDescent="0.25">
      <c r="A519" s="670"/>
      <c r="B519" s="739" t="str">
        <f>SAÍDAS!C63</f>
        <v>Tarifas e Impostos</v>
      </c>
      <c r="C519" s="300">
        <f t="shared" si="166"/>
        <v>0</v>
      </c>
      <c r="D519" s="300">
        <f>SAÍDAS!E63*(SAÍDAS!$W63/100)</f>
        <v>0</v>
      </c>
      <c r="E519" s="300">
        <f>SAÍDAS!F63*(SAÍDAS!$W63/100)</f>
        <v>0</v>
      </c>
      <c r="F519" s="300">
        <f>SAÍDAS!G63*(SAÍDAS!$W63/100)</f>
        <v>0</v>
      </c>
      <c r="G519" s="300">
        <f>SAÍDAS!H63*(SAÍDAS!$W63/100)</f>
        <v>0</v>
      </c>
      <c r="H519" s="300">
        <f>SAÍDAS!I63*(SAÍDAS!$W63/100)</f>
        <v>0</v>
      </c>
      <c r="I519" s="300">
        <f>SAÍDAS!J63*(SAÍDAS!$W63/100)</f>
        <v>0</v>
      </c>
      <c r="J519" s="300">
        <f>SAÍDAS!K63*(SAÍDAS!$W63/100)</f>
        <v>0</v>
      </c>
      <c r="K519" s="300">
        <f>SAÍDAS!L63*(SAÍDAS!$W63/100)</f>
        <v>0</v>
      </c>
      <c r="L519" s="300">
        <f>SAÍDAS!M63*(SAÍDAS!$W63/100)</f>
        <v>0</v>
      </c>
      <c r="M519" s="300">
        <f>SAÍDAS!N63*(SAÍDAS!$W63/100)</f>
        <v>0</v>
      </c>
      <c r="N519" s="300">
        <f>SAÍDAS!O63*(SAÍDAS!$W63/100)</f>
        <v>0</v>
      </c>
      <c r="O519" s="300">
        <f>SAÍDAS!P63*(SAÍDAS!$W63/100)</f>
        <v>0</v>
      </c>
      <c r="P519" s="300"/>
      <c r="Q519" s="672"/>
      <c r="R519" s="783"/>
      <c r="S519" s="783"/>
      <c r="T519" s="783"/>
      <c r="U519" s="783"/>
      <c r="V519" s="783"/>
      <c r="W519" s="783"/>
      <c r="X519" s="783"/>
      <c r="Y519" s="783"/>
    </row>
    <row r="520" spans="1:25" hidden="1" x14ac:dyDescent="0.25">
      <c r="A520" s="670"/>
      <c r="B520" s="739" t="str">
        <f>SAÍDAS!C64</f>
        <v>Tarifas e Impostos</v>
      </c>
      <c r="C520" s="300">
        <f t="shared" si="166"/>
        <v>0</v>
      </c>
      <c r="D520" s="300">
        <f>SAÍDAS!E64*(SAÍDAS!$W64/100)</f>
        <v>0</v>
      </c>
      <c r="E520" s="300">
        <f>SAÍDAS!F64*(SAÍDAS!$W64/100)</f>
        <v>0</v>
      </c>
      <c r="F520" s="300">
        <f>SAÍDAS!G64*(SAÍDAS!$W64/100)</f>
        <v>0</v>
      </c>
      <c r="G520" s="300">
        <f>SAÍDAS!H64*(SAÍDAS!$W64/100)</f>
        <v>0</v>
      </c>
      <c r="H520" s="300">
        <f>SAÍDAS!I64*(SAÍDAS!$W64/100)</f>
        <v>0</v>
      </c>
      <c r="I520" s="300">
        <f>SAÍDAS!J64*(SAÍDAS!$W64/100)</f>
        <v>0</v>
      </c>
      <c r="J520" s="300">
        <f>SAÍDAS!K64*(SAÍDAS!$W64/100)</f>
        <v>0</v>
      </c>
      <c r="K520" s="300">
        <f>SAÍDAS!L64*(SAÍDAS!$W64/100)</f>
        <v>0</v>
      </c>
      <c r="L520" s="300">
        <f>SAÍDAS!M64*(SAÍDAS!$W64/100)</f>
        <v>0</v>
      </c>
      <c r="M520" s="300">
        <f>SAÍDAS!N64*(SAÍDAS!$W64/100)</f>
        <v>0</v>
      </c>
      <c r="N520" s="300">
        <f>SAÍDAS!O64*(SAÍDAS!$W64/100)</f>
        <v>0</v>
      </c>
      <c r="O520" s="300">
        <f>SAÍDAS!P64*(SAÍDAS!$W64/100)</f>
        <v>0</v>
      </c>
      <c r="P520" s="300"/>
      <c r="Q520" s="672"/>
      <c r="R520" s="783"/>
      <c r="S520" s="783"/>
      <c r="T520" s="783"/>
      <c r="U520" s="783"/>
      <c r="V520" s="783"/>
      <c r="W520" s="783"/>
      <c r="X520" s="783"/>
      <c r="Y520" s="783"/>
    </row>
    <row r="521" spans="1:25" hidden="1" x14ac:dyDescent="0.25">
      <c r="A521" s="670"/>
      <c r="B521" s="739" t="str">
        <f>SAÍDAS!C65</f>
        <v>Outros</v>
      </c>
      <c r="C521" s="300">
        <f t="shared" si="166"/>
        <v>0</v>
      </c>
      <c r="D521" s="300">
        <f>SAÍDAS!E65*(SAÍDAS!$W65/100)</f>
        <v>0</v>
      </c>
      <c r="E521" s="300">
        <f>SAÍDAS!F65*(SAÍDAS!$W65/100)</f>
        <v>0</v>
      </c>
      <c r="F521" s="300">
        <f>SAÍDAS!G65*(SAÍDAS!$W65/100)</f>
        <v>0</v>
      </c>
      <c r="G521" s="300">
        <f>SAÍDAS!H65*(SAÍDAS!$W65/100)</f>
        <v>0</v>
      </c>
      <c r="H521" s="300">
        <f>SAÍDAS!I65*(SAÍDAS!$W65/100)</f>
        <v>0</v>
      </c>
      <c r="I521" s="300">
        <f>SAÍDAS!J65*(SAÍDAS!$W65/100)</f>
        <v>0</v>
      </c>
      <c r="J521" s="300">
        <f>SAÍDAS!K65*(SAÍDAS!$W65/100)</f>
        <v>0</v>
      </c>
      <c r="K521" s="300">
        <f>SAÍDAS!L65*(SAÍDAS!$W65/100)</f>
        <v>0</v>
      </c>
      <c r="L521" s="300">
        <f>SAÍDAS!M65*(SAÍDAS!$W65/100)</f>
        <v>0</v>
      </c>
      <c r="M521" s="300">
        <f>SAÍDAS!N65*(SAÍDAS!$W65/100)</f>
        <v>0</v>
      </c>
      <c r="N521" s="300">
        <f>SAÍDAS!O65*(SAÍDAS!$W65/100)</f>
        <v>0</v>
      </c>
      <c r="O521" s="300">
        <f>SAÍDAS!P65*(SAÍDAS!$W65/100)</f>
        <v>0</v>
      </c>
      <c r="P521" s="300"/>
      <c r="Q521" s="672"/>
      <c r="R521" s="783"/>
      <c r="S521" s="783"/>
      <c r="T521" s="783"/>
      <c r="U521" s="783"/>
      <c r="V521" s="783"/>
      <c r="W521" s="783"/>
      <c r="X521" s="783"/>
      <c r="Y521" s="783"/>
    </row>
    <row r="522" spans="1:25" hidden="1" x14ac:dyDescent="0.25">
      <c r="A522" s="670"/>
      <c r="B522" s="739" t="str">
        <f>SAÍDAS!C66</f>
        <v>Parceria em Confinamento Chaparral</v>
      </c>
      <c r="C522" s="300">
        <f t="shared" si="166"/>
        <v>0</v>
      </c>
      <c r="D522" s="300">
        <f>SAÍDAS!E66*(SAÍDAS!$W66/100)</f>
        <v>0</v>
      </c>
      <c r="E522" s="300">
        <f>SAÍDAS!F66*(SAÍDAS!$W66/100)</f>
        <v>0</v>
      </c>
      <c r="F522" s="300">
        <f>SAÍDAS!G66*(SAÍDAS!$W66/100)</f>
        <v>0</v>
      </c>
      <c r="G522" s="300">
        <f>SAÍDAS!H66*(SAÍDAS!$W66/100)</f>
        <v>0</v>
      </c>
      <c r="H522" s="300">
        <f>SAÍDAS!I66*(SAÍDAS!$W66/100)</f>
        <v>0</v>
      </c>
      <c r="I522" s="300">
        <f>SAÍDAS!J66*(SAÍDAS!$W66/100)</f>
        <v>0</v>
      </c>
      <c r="J522" s="300">
        <f>SAÍDAS!K66*(SAÍDAS!$W66/100)</f>
        <v>0</v>
      </c>
      <c r="K522" s="300">
        <f>SAÍDAS!L66*(SAÍDAS!$W66/100)</f>
        <v>0</v>
      </c>
      <c r="L522" s="300">
        <f>SAÍDAS!M66*(SAÍDAS!$W66/100)</f>
        <v>0</v>
      </c>
      <c r="M522" s="300">
        <f>SAÍDAS!N66*(SAÍDAS!$W66/100)</f>
        <v>0</v>
      </c>
      <c r="N522" s="300">
        <f>SAÍDAS!O66*(SAÍDAS!$W66/100)</f>
        <v>0</v>
      </c>
      <c r="O522" s="300">
        <f>SAÍDAS!P66*(SAÍDAS!$W66/100)</f>
        <v>0</v>
      </c>
      <c r="P522" s="300"/>
      <c r="Q522" s="672"/>
      <c r="R522" s="783"/>
      <c r="S522" s="783"/>
      <c r="T522" s="783"/>
      <c r="U522" s="783"/>
      <c r="V522" s="783"/>
      <c r="W522" s="783"/>
      <c r="X522" s="783"/>
      <c r="Y522" s="783"/>
    </row>
    <row r="523" spans="1:25" hidden="1" x14ac:dyDescent="0.25">
      <c r="A523" s="670"/>
      <c r="B523" s="739" t="str">
        <f>SAÍDAS!C67</f>
        <v>Outros</v>
      </c>
      <c r="C523" s="300">
        <f t="shared" si="166"/>
        <v>0</v>
      </c>
      <c r="D523" s="300">
        <f>SAÍDAS!E67*(SAÍDAS!$W67/100)</f>
        <v>0</v>
      </c>
      <c r="E523" s="300">
        <f>SAÍDAS!F67*(SAÍDAS!$W67/100)</f>
        <v>0</v>
      </c>
      <c r="F523" s="300">
        <f>SAÍDAS!G67*(SAÍDAS!$W67/100)</f>
        <v>0</v>
      </c>
      <c r="G523" s="300">
        <f>SAÍDAS!H67*(SAÍDAS!$W67/100)</f>
        <v>0</v>
      </c>
      <c r="H523" s="300">
        <f>SAÍDAS!I67*(SAÍDAS!$W67/100)</f>
        <v>0</v>
      </c>
      <c r="I523" s="300">
        <f>SAÍDAS!J67*(SAÍDAS!$W67/100)</f>
        <v>0</v>
      </c>
      <c r="J523" s="300">
        <f>SAÍDAS!K67*(SAÍDAS!$W67/100)</f>
        <v>0</v>
      </c>
      <c r="K523" s="300">
        <f>SAÍDAS!L67*(SAÍDAS!$W67/100)</f>
        <v>0</v>
      </c>
      <c r="L523" s="300">
        <f>SAÍDAS!M67*(SAÍDAS!$W67/100)</f>
        <v>0</v>
      </c>
      <c r="M523" s="300">
        <f>SAÍDAS!N67*(SAÍDAS!$W67/100)</f>
        <v>0</v>
      </c>
      <c r="N523" s="300">
        <f>SAÍDAS!O67*(SAÍDAS!$W67/100)</f>
        <v>0</v>
      </c>
      <c r="O523" s="300">
        <f>SAÍDAS!P67*(SAÍDAS!$W67/100)</f>
        <v>0</v>
      </c>
      <c r="P523" s="300"/>
      <c r="Q523" s="672"/>
      <c r="R523" s="783"/>
      <c r="S523" s="783"/>
      <c r="T523" s="783"/>
      <c r="U523" s="783"/>
      <c r="V523" s="783"/>
      <c r="W523" s="783"/>
      <c r="X523" s="783"/>
      <c r="Y523" s="783"/>
    </row>
    <row r="524" spans="1:25" hidden="1" x14ac:dyDescent="0.25">
      <c r="A524" s="670"/>
      <c r="B524" s="739" t="str">
        <f>SAÍDAS!C68</f>
        <v>Outros</v>
      </c>
      <c r="C524" s="300">
        <f t="shared" si="166"/>
        <v>0</v>
      </c>
      <c r="D524" s="300">
        <f>SAÍDAS!E68*(SAÍDAS!$W68/100)</f>
        <v>0</v>
      </c>
      <c r="E524" s="300">
        <f>SAÍDAS!F68*(SAÍDAS!$W68/100)</f>
        <v>0</v>
      </c>
      <c r="F524" s="300">
        <f>SAÍDAS!G68*(SAÍDAS!$W68/100)</f>
        <v>0</v>
      </c>
      <c r="G524" s="300">
        <f>SAÍDAS!H68*(SAÍDAS!$W68/100)</f>
        <v>0</v>
      </c>
      <c r="H524" s="300">
        <f>SAÍDAS!I68*(SAÍDAS!$W68/100)</f>
        <v>0</v>
      </c>
      <c r="I524" s="300">
        <f>SAÍDAS!J68*(SAÍDAS!$W68/100)</f>
        <v>0</v>
      </c>
      <c r="J524" s="300">
        <f>SAÍDAS!K68*(SAÍDAS!$W68/100)</f>
        <v>0</v>
      </c>
      <c r="K524" s="300">
        <f>SAÍDAS!L68*(SAÍDAS!$W68/100)</f>
        <v>0</v>
      </c>
      <c r="L524" s="300">
        <f>SAÍDAS!M68*(SAÍDAS!$W68/100)</f>
        <v>0</v>
      </c>
      <c r="M524" s="300">
        <f>SAÍDAS!N68*(SAÍDAS!$W68/100)</f>
        <v>0</v>
      </c>
      <c r="N524" s="300">
        <f>SAÍDAS!O68*(SAÍDAS!$W68/100)</f>
        <v>0</v>
      </c>
      <c r="O524" s="300">
        <f>SAÍDAS!P68*(SAÍDAS!$W68/100)</f>
        <v>0</v>
      </c>
      <c r="P524" s="300"/>
      <c r="Q524" s="672"/>
      <c r="R524" s="783"/>
      <c r="S524" s="783"/>
      <c r="T524" s="783"/>
      <c r="U524" s="783"/>
      <c r="V524" s="783"/>
      <c r="W524" s="783"/>
      <c r="X524" s="783"/>
      <c r="Y524" s="783"/>
    </row>
    <row r="525" spans="1:25" hidden="1" x14ac:dyDescent="0.25">
      <c r="A525" s="670"/>
      <c r="B525" s="739" t="str">
        <f>SAÍDAS!C69</f>
        <v>Animais</v>
      </c>
      <c r="C525" s="300">
        <f t="shared" si="166"/>
        <v>334635</v>
      </c>
      <c r="D525" s="300">
        <f>SAÍDAS!E69*(SAÍDAS!$W69/100)</f>
        <v>0</v>
      </c>
      <c r="E525" s="300">
        <f>SAÍDAS!F69*(SAÍDAS!$W69/100)</f>
        <v>0</v>
      </c>
      <c r="F525" s="300">
        <f>SAÍDAS!G69*(SAÍDAS!$W69/100)</f>
        <v>180000</v>
      </c>
      <c r="G525" s="300">
        <f>SAÍDAS!H69*(SAÍDAS!$W69/100)</f>
        <v>0</v>
      </c>
      <c r="H525" s="300">
        <f>SAÍDAS!I69*(SAÍDAS!$W69/100)</f>
        <v>0</v>
      </c>
      <c r="I525" s="300">
        <f>SAÍDAS!J69*(SAÍDAS!$W69/100)</f>
        <v>0</v>
      </c>
      <c r="J525" s="300">
        <f>SAÍDAS!K69*(SAÍDAS!$W69/100)</f>
        <v>112785</v>
      </c>
      <c r="K525" s="300">
        <f>SAÍDAS!L69*(SAÍDAS!$W69/100)</f>
        <v>41850</v>
      </c>
      <c r="L525" s="300">
        <f>SAÍDAS!M69*(SAÍDAS!$W69/100)</f>
        <v>0</v>
      </c>
      <c r="M525" s="300">
        <f>SAÍDAS!N69*(SAÍDAS!$W69/100)</f>
        <v>0</v>
      </c>
      <c r="N525" s="300">
        <f>SAÍDAS!O69*(SAÍDAS!$W69/100)</f>
        <v>0</v>
      </c>
      <c r="O525" s="300">
        <f>SAÍDAS!P69*(SAÍDAS!$W69/100)</f>
        <v>0</v>
      </c>
      <c r="P525" s="300"/>
      <c r="Q525" s="672"/>
      <c r="R525" s="783"/>
      <c r="S525" s="783"/>
      <c r="T525" s="783"/>
      <c r="U525" s="783"/>
      <c r="V525" s="783"/>
      <c r="W525" s="783"/>
      <c r="X525" s="783"/>
      <c r="Y525" s="783"/>
    </row>
    <row r="526" spans="1:25" hidden="1" x14ac:dyDescent="0.25">
      <c r="A526" s="670"/>
      <c r="B526" s="740" t="s">
        <v>179</v>
      </c>
      <c r="C526" s="300">
        <f t="shared" si="166"/>
        <v>334635</v>
      </c>
      <c r="D526" s="300">
        <f t="shared" ref="D526:O526" si="167">SUM(D487:D525)</f>
        <v>0</v>
      </c>
      <c r="E526" s="300">
        <f t="shared" si="167"/>
        <v>0</v>
      </c>
      <c r="F526" s="300">
        <f t="shared" si="167"/>
        <v>180000</v>
      </c>
      <c r="G526" s="300">
        <f t="shared" si="167"/>
        <v>0</v>
      </c>
      <c r="H526" s="300">
        <f t="shared" si="167"/>
        <v>0</v>
      </c>
      <c r="I526" s="300">
        <f t="shared" si="167"/>
        <v>0</v>
      </c>
      <c r="J526" s="300">
        <f t="shared" si="167"/>
        <v>112785</v>
      </c>
      <c r="K526" s="300">
        <f t="shared" si="167"/>
        <v>41850</v>
      </c>
      <c r="L526" s="300">
        <f t="shared" si="167"/>
        <v>0</v>
      </c>
      <c r="M526" s="300">
        <f t="shared" si="167"/>
        <v>0</v>
      </c>
      <c r="N526" s="300">
        <f t="shared" si="167"/>
        <v>0</v>
      </c>
      <c r="O526" s="300">
        <f t="shared" si="167"/>
        <v>0</v>
      </c>
      <c r="P526" s="300"/>
      <c r="Q526" s="672"/>
      <c r="R526" s="783"/>
      <c r="S526" s="783"/>
      <c r="T526" s="783"/>
      <c r="U526" s="783"/>
      <c r="V526" s="783"/>
      <c r="W526" s="783"/>
      <c r="X526" s="783"/>
      <c r="Y526" s="783"/>
    </row>
    <row r="527" spans="1:25" ht="15.75" hidden="1" thickBot="1" x14ac:dyDescent="0.3">
      <c r="A527" s="670"/>
      <c r="B527" s="740"/>
      <c r="C527" s="300"/>
      <c r="D527" s="300"/>
      <c r="E527" s="300"/>
      <c r="F527" s="300"/>
      <c r="G527" s="300"/>
      <c r="H527" s="300"/>
      <c r="I527" s="300"/>
      <c r="J527" s="300"/>
      <c r="K527" s="300"/>
      <c r="L527" s="300"/>
      <c r="M527" s="300"/>
      <c r="N527" s="300"/>
      <c r="O527" s="300"/>
      <c r="P527" s="300"/>
      <c r="Q527" s="672"/>
      <c r="R527" s="783"/>
      <c r="S527" s="783"/>
      <c r="T527" s="783"/>
      <c r="U527" s="783"/>
      <c r="V527" s="783"/>
      <c r="W527" s="783"/>
      <c r="X527" s="783"/>
      <c r="Y527" s="783"/>
    </row>
    <row r="528" spans="1:25" ht="15.75" hidden="1" thickTop="1" x14ac:dyDescent="0.25">
      <c r="A528" s="670"/>
      <c r="B528" s="789" t="str">
        <f>SAÍDAS!C73</f>
        <v>Tarifas e Impostos</v>
      </c>
      <c r="C528" s="300">
        <f t="shared" ref="C528:C545" si="168">SUM(D528:O528)</f>
        <v>0</v>
      </c>
      <c r="D528" s="300">
        <f>SAÍDAS!E73*(SAÍDAS!$W73/100)</f>
        <v>0</v>
      </c>
      <c r="E528" s="300">
        <f>SAÍDAS!F73*(SAÍDAS!$W73/100)</f>
        <v>0</v>
      </c>
      <c r="F528" s="300">
        <f>SAÍDAS!G73*(SAÍDAS!$W73/100)</f>
        <v>0</v>
      </c>
      <c r="G528" s="300">
        <f>SAÍDAS!H73*(SAÍDAS!$W73/100)</f>
        <v>0</v>
      </c>
      <c r="H528" s="300">
        <f>SAÍDAS!I73*(SAÍDAS!$W73/100)</f>
        <v>0</v>
      </c>
      <c r="I528" s="300">
        <f>SAÍDAS!J73*(SAÍDAS!$W73/100)</f>
        <v>0</v>
      </c>
      <c r="J528" s="300">
        <f>SAÍDAS!K73*(SAÍDAS!$W73/100)</f>
        <v>0</v>
      </c>
      <c r="K528" s="300">
        <f>SAÍDAS!L73*(SAÍDAS!$W73/100)</f>
        <v>0</v>
      </c>
      <c r="L528" s="300">
        <f>SAÍDAS!M73*(SAÍDAS!$W73/100)</f>
        <v>0</v>
      </c>
      <c r="M528" s="300">
        <f>SAÍDAS!N73*(SAÍDAS!$W73/100)</f>
        <v>0</v>
      </c>
      <c r="N528" s="300">
        <f>SAÍDAS!O73*(SAÍDAS!$W73/100)</f>
        <v>0</v>
      </c>
      <c r="O528" s="300">
        <f>SAÍDAS!P73*(SAÍDAS!$W73/100)</f>
        <v>0</v>
      </c>
      <c r="P528" s="300"/>
      <c r="Q528" s="672"/>
      <c r="R528" s="783"/>
      <c r="S528" s="783"/>
      <c r="T528" s="783"/>
      <c r="U528" s="783"/>
      <c r="V528" s="783"/>
      <c r="W528" s="783"/>
      <c r="X528" s="783"/>
      <c r="Y528" s="783"/>
    </row>
    <row r="529" spans="1:25" hidden="1" x14ac:dyDescent="0.25">
      <c r="A529" s="670"/>
      <c r="B529" s="790" t="str">
        <f>SAÍDAS!C74</f>
        <v>Tarifas e Impostos</v>
      </c>
      <c r="C529" s="300">
        <f t="shared" si="168"/>
        <v>0</v>
      </c>
      <c r="D529" s="300">
        <f>SAÍDAS!E74*(SAÍDAS!$W74/100)</f>
        <v>0</v>
      </c>
      <c r="E529" s="300">
        <f>SAÍDAS!F74*(SAÍDAS!$W74/100)</f>
        <v>0</v>
      </c>
      <c r="F529" s="300">
        <f>SAÍDAS!G74*(SAÍDAS!$W74/100)</f>
        <v>0</v>
      </c>
      <c r="G529" s="300">
        <f>SAÍDAS!H74*(SAÍDAS!$W74/100)</f>
        <v>0</v>
      </c>
      <c r="H529" s="300">
        <f>SAÍDAS!I74*(SAÍDAS!$W74/100)</f>
        <v>0</v>
      </c>
      <c r="I529" s="300">
        <f>SAÍDAS!J74*(SAÍDAS!$W74/100)</f>
        <v>0</v>
      </c>
      <c r="J529" s="300">
        <f>SAÍDAS!K74*(SAÍDAS!$W74/100)</f>
        <v>0</v>
      </c>
      <c r="K529" s="300">
        <f>SAÍDAS!L74*(SAÍDAS!$W74/100)</f>
        <v>0</v>
      </c>
      <c r="L529" s="300">
        <f>SAÍDAS!M74*(SAÍDAS!$W74/100)</f>
        <v>0</v>
      </c>
      <c r="M529" s="300">
        <f>SAÍDAS!N74*(SAÍDAS!$W74/100)</f>
        <v>0</v>
      </c>
      <c r="N529" s="300">
        <f>SAÍDAS!O74*(SAÍDAS!$W74/100)</f>
        <v>0</v>
      </c>
      <c r="O529" s="300">
        <f>SAÍDAS!P74*(SAÍDAS!$W74/100)</f>
        <v>0</v>
      </c>
      <c r="P529" s="300"/>
      <c r="Q529" s="672"/>
      <c r="R529" s="783"/>
      <c r="S529" s="783"/>
      <c r="T529" s="783"/>
      <c r="U529" s="783"/>
      <c r="V529" s="783"/>
      <c r="W529" s="783"/>
      <c r="X529" s="783"/>
      <c r="Y529" s="783"/>
    </row>
    <row r="530" spans="1:25" hidden="1" x14ac:dyDescent="0.25">
      <c r="A530" s="670"/>
      <c r="B530" s="790" t="str">
        <f>SAÍDAS!C75</f>
        <v>Tarifas e Impostos</v>
      </c>
      <c r="C530" s="300">
        <f t="shared" si="168"/>
        <v>0</v>
      </c>
      <c r="D530" s="300">
        <f>SAÍDAS!E75*(SAÍDAS!$W75/100)</f>
        <v>0</v>
      </c>
      <c r="E530" s="300">
        <f>SAÍDAS!F75*(SAÍDAS!$W75/100)</f>
        <v>0</v>
      </c>
      <c r="F530" s="300">
        <f>SAÍDAS!G75*(SAÍDAS!$W75/100)</f>
        <v>0</v>
      </c>
      <c r="G530" s="300">
        <f>SAÍDAS!H75*(SAÍDAS!$W75/100)</f>
        <v>0</v>
      </c>
      <c r="H530" s="300">
        <f>SAÍDAS!I75*(SAÍDAS!$W75/100)</f>
        <v>0</v>
      </c>
      <c r="I530" s="300">
        <f>SAÍDAS!J75*(SAÍDAS!$W75/100)</f>
        <v>0</v>
      </c>
      <c r="J530" s="300">
        <f>SAÍDAS!K75*(SAÍDAS!$W75/100)</f>
        <v>0</v>
      </c>
      <c r="K530" s="300">
        <f>SAÍDAS!L75*(SAÍDAS!$W75/100)</f>
        <v>0</v>
      </c>
      <c r="L530" s="300">
        <f>SAÍDAS!M75*(SAÍDAS!$W75/100)</f>
        <v>0</v>
      </c>
      <c r="M530" s="300">
        <f>SAÍDAS!N75*(SAÍDAS!$W75/100)</f>
        <v>0</v>
      </c>
      <c r="N530" s="300">
        <f>SAÍDAS!O75*(SAÍDAS!$W75/100)</f>
        <v>0</v>
      </c>
      <c r="O530" s="300">
        <f>SAÍDAS!P75*(SAÍDAS!$W75/100)</f>
        <v>0</v>
      </c>
      <c r="P530" s="300"/>
      <c r="Q530" s="672"/>
      <c r="R530" s="783"/>
      <c r="S530" s="783"/>
      <c r="T530" s="783"/>
      <c r="U530" s="783"/>
      <c r="V530" s="783"/>
      <c r="W530" s="783"/>
      <c r="X530" s="783"/>
      <c r="Y530" s="783"/>
    </row>
    <row r="531" spans="1:25" hidden="1" x14ac:dyDescent="0.25">
      <c r="A531" s="670"/>
      <c r="B531" s="790" t="str">
        <f>SAÍDAS!C76</f>
        <v>Tarifas e Impostos</v>
      </c>
      <c r="C531" s="300">
        <f t="shared" si="168"/>
        <v>0</v>
      </c>
      <c r="D531" s="300">
        <f>SAÍDAS!E76*(SAÍDAS!$W76/100)</f>
        <v>0</v>
      </c>
      <c r="E531" s="300">
        <f>SAÍDAS!F76*(SAÍDAS!$W76/100)</f>
        <v>0</v>
      </c>
      <c r="F531" s="300">
        <f>SAÍDAS!G76*(SAÍDAS!$W76/100)</f>
        <v>0</v>
      </c>
      <c r="G531" s="300">
        <f>SAÍDAS!H76*(SAÍDAS!$W76/100)</f>
        <v>0</v>
      </c>
      <c r="H531" s="300">
        <f>SAÍDAS!I76*(SAÍDAS!$W76/100)</f>
        <v>0</v>
      </c>
      <c r="I531" s="300">
        <f>SAÍDAS!J76*(SAÍDAS!$W76/100)</f>
        <v>0</v>
      </c>
      <c r="J531" s="300">
        <f>SAÍDAS!K76*(SAÍDAS!$W76/100)</f>
        <v>0</v>
      </c>
      <c r="K531" s="300">
        <f>SAÍDAS!L76*(SAÍDAS!$W76/100)</f>
        <v>0</v>
      </c>
      <c r="L531" s="300">
        <f>SAÍDAS!M76*(SAÍDAS!$W76/100)</f>
        <v>0</v>
      </c>
      <c r="M531" s="300">
        <f>SAÍDAS!N76*(SAÍDAS!$W76/100)</f>
        <v>0</v>
      </c>
      <c r="N531" s="300">
        <f>SAÍDAS!O76*(SAÍDAS!$W76/100)</f>
        <v>0</v>
      </c>
      <c r="O531" s="300">
        <f>SAÍDAS!P76*(SAÍDAS!$W76/100)</f>
        <v>0</v>
      </c>
      <c r="P531" s="300"/>
      <c r="Q531" s="672"/>
      <c r="R531" s="783"/>
      <c r="S531" s="783"/>
      <c r="T531" s="783"/>
      <c r="U531" s="783"/>
      <c r="V531" s="783"/>
      <c r="W531" s="783"/>
      <c r="X531" s="783"/>
      <c r="Y531" s="783"/>
    </row>
    <row r="532" spans="1:25" hidden="1" x14ac:dyDescent="0.25">
      <c r="A532" s="670"/>
      <c r="B532" s="790" t="str">
        <f>SAÍDAS!C77</f>
        <v>Tarifas e Impostos</v>
      </c>
      <c r="C532" s="300">
        <f t="shared" si="168"/>
        <v>0</v>
      </c>
      <c r="D532" s="300">
        <f>SAÍDAS!E77*(SAÍDAS!$W77/100)</f>
        <v>0</v>
      </c>
      <c r="E532" s="300">
        <f>SAÍDAS!F77*(SAÍDAS!$W77/100)</f>
        <v>0</v>
      </c>
      <c r="F532" s="300">
        <f>SAÍDAS!G77*(SAÍDAS!$W77/100)</f>
        <v>0</v>
      </c>
      <c r="G532" s="300">
        <f>SAÍDAS!H77*(SAÍDAS!$W77/100)</f>
        <v>0</v>
      </c>
      <c r="H532" s="300">
        <f>SAÍDAS!I77*(SAÍDAS!$W77/100)</f>
        <v>0</v>
      </c>
      <c r="I532" s="300">
        <f>SAÍDAS!J77*(SAÍDAS!$W77/100)</f>
        <v>0</v>
      </c>
      <c r="J532" s="300">
        <f>SAÍDAS!K77*(SAÍDAS!$W77/100)</f>
        <v>0</v>
      </c>
      <c r="K532" s="300">
        <f>SAÍDAS!L77*(SAÍDAS!$W77/100)</f>
        <v>0</v>
      </c>
      <c r="L532" s="300">
        <f>SAÍDAS!M77*(SAÍDAS!$W77/100)</f>
        <v>0</v>
      </c>
      <c r="M532" s="300">
        <f>SAÍDAS!N77*(SAÍDAS!$W77/100)</f>
        <v>0</v>
      </c>
      <c r="N532" s="300">
        <f>SAÍDAS!O77*(SAÍDAS!$W77/100)</f>
        <v>0</v>
      </c>
      <c r="O532" s="300">
        <f>SAÍDAS!P77*(SAÍDAS!$W77/100)</f>
        <v>0</v>
      </c>
      <c r="P532" s="300"/>
      <c r="Q532" s="672"/>
      <c r="R532" s="783"/>
      <c r="S532" s="783"/>
      <c r="T532" s="783"/>
      <c r="U532" s="783"/>
      <c r="V532" s="783"/>
      <c r="W532" s="783"/>
      <c r="X532" s="783"/>
      <c r="Y532" s="783"/>
    </row>
    <row r="533" spans="1:25" hidden="1" x14ac:dyDescent="0.25">
      <c r="A533" s="670"/>
      <c r="B533" s="790" t="str">
        <f>SAÍDAS!C78</f>
        <v>Administrativo</v>
      </c>
      <c r="C533" s="300">
        <f t="shared" si="168"/>
        <v>0</v>
      </c>
      <c r="D533" s="300">
        <f>SAÍDAS!E78*(SAÍDAS!$W78/100)</f>
        <v>0</v>
      </c>
      <c r="E533" s="300">
        <f>SAÍDAS!F78*(SAÍDAS!$W78/100)</f>
        <v>0</v>
      </c>
      <c r="F533" s="300">
        <f>SAÍDAS!G78*(SAÍDAS!$W78/100)</f>
        <v>0</v>
      </c>
      <c r="G533" s="300">
        <f>SAÍDAS!H78*(SAÍDAS!$W78/100)</f>
        <v>0</v>
      </c>
      <c r="H533" s="300">
        <f>SAÍDAS!I78*(SAÍDAS!$W78/100)</f>
        <v>0</v>
      </c>
      <c r="I533" s="300">
        <f>SAÍDAS!J78*(SAÍDAS!$W78/100)</f>
        <v>0</v>
      </c>
      <c r="J533" s="300">
        <f>SAÍDAS!K78*(SAÍDAS!$W78/100)</f>
        <v>0</v>
      </c>
      <c r="K533" s="300">
        <f>SAÍDAS!L78*(SAÍDAS!$W78/100)</f>
        <v>0</v>
      </c>
      <c r="L533" s="300">
        <f>SAÍDAS!M78*(SAÍDAS!$W78/100)</f>
        <v>0</v>
      </c>
      <c r="M533" s="300">
        <f>SAÍDAS!N78*(SAÍDAS!$W78/100)</f>
        <v>0</v>
      </c>
      <c r="N533" s="300">
        <f>SAÍDAS!O78*(SAÍDAS!$W78/100)</f>
        <v>0</v>
      </c>
      <c r="O533" s="300">
        <f>SAÍDAS!P78*(SAÍDAS!$W78/100)</f>
        <v>0</v>
      </c>
      <c r="P533" s="300"/>
      <c r="Q533" s="672"/>
      <c r="R533" s="783"/>
      <c r="S533" s="783"/>
      <c r="T533" s="783"/>
      <c r="U533" s="783"/>
      <c r="V533" s="783"/>
      <c r="W533" s="783"/>
      <c r="X533" s="783"/>
      <c r="Y533" s="783"/>
    </row>
    <row r="534" spans="1:25" hidden="1" x14ac:dyDescent="0.25">
      <c r="A534" s="670"/>
      <c r="B534" s="790" t="str">
        <f>SAÍDAS!C79</f>
        <v>Administrativo</v>
      </c>
      <c r="C534" s="300">
        <f t="shared" si="168"/>
        <v>0</v>
      </c>
      <c r="D534" s="300">
        <f>SAÍDAS!E79*(SAÍDAS!$W79/100)</f>
        <v>0</v>
      </c>
      <c r="E534" s="300">
        <f>SAÍDAS!F79*(SAÍDAS!$W79/100)</f>
        <v>0</v>
      </c>
      <c r="F534" s="300">
        <f>SAÍDAS!G79*(SAÍDAS!$W79/100)</f>
        <v>0</v>
      </c>
      <c r="G534" s="300">
        <f>SAÍDAS!H79*(SAÍDAS!$W79/100)</f>
        <v>0</v>
      </c>
      <c r="H534" s="300">
        <f>SAÍDAS!I79*(SAÍDAS!$W79/100)</f>
        <v>0</v>
      </c>
      <c r="I534" s="300">
        <f>SAÍDAS!J79*(SAÍDAS!$W79/100)</f>
        <v>0</v>
      </c>
      <c r="J534" s="300">
        <f>SAÍDAS!K79*(SAÍDAS!$W79/100)</f>
        <v>0</v>
      </c>
      <c r="K534" s="300">
        <f>SAÍDAS!L79*(SAÍDAS!$W79/100)</f>
        <v>0</v>
      </c>
      <c r="L534" s="300">
        <f>SAÍDAS!M79*(SAÍDAS!$W79/100)</f>
        <v>0</v>
      </c>
      <c r="M534" s="300">
        <f>SAÍDAS!N79*(SAÍDAS!$W79/100)</f>
        <v>0</v>
      </c>
      <c r="N534" s="300">
        <f>SAÍDAS!O79*(SAÍDAS!$W79/100)</f>
        <v>0</v>
      </c>
      <c r="O534" s="300">
        <f>SAÍDAS!P79*(SAÍDAS!$W79/100)</f>
        <v>0</v>
      </c>
      <c r="P534" s="300"/>
      <c r="Q534" s="672"/>
      <c r="R534" s="783"/>
      <c r="S534" s="783"/>
      <c r="T534" s="783"/>
      <c r="U534" s="783"/>
      <c r="V534" s="783"/>
      <c r="W534" s="783"/>
      <c r="X534" s="783"/>
      <c r="Y534" s="783"/>
    </row>
    <row r="535" spans="1:25" hidden="1" x14ac:dyDescent="0.25">
      <c r="A535" s="670"/>
      <c r="B535" s="790" t="str">
        <f>SAÍDAS!C80</f>
        <v>Mão de Obra</v>
      </c>
      <c r="C535" s="300">
        <f t="shared" si="168"/>
        <v>0</v>
      </c>
      <c r="D535" s="300">
        <f>SAÍDAS!E80*(SAÍDAS!$W80/100)</f>
        <v>0</v>
      </c>
      <c r="E535" s="300">
        <f>SAÍDAS!F80*(SAÍDAS!$W80/100)</f>
        <v>0</v>
      </c>
      <c r="F535" s="300">
        <f>SAÍDAS!G80*(SAÍDAS!$W80/100)</f>
        <v>0</v>
      </c>
      <c r="G535" s="300">
        <f>SAÍDAS!H80*(SAÍDAS!$W80/100)</f>
        <v>0</v>
      </c>
      <c r="H535" s="300">
        <f>SAÍDAS!I80*(SAÍDAS!$W80/100)</f>
        <v>0</v>
      </c>
      <c r="I535" s="300">
        <f>SAÍDAS!J80*(SAÍDAS!$W80/100)</f>
        <v>0</v>
      </c>
      <c r="J535" s="300">
        <f>SAÍDAS!K80*(SAÍDAS!$W80/100)</f>
        <v>0</v>
      </c>
      <c r="K535" s="300">
        <f>SAÍDAS!L80*(SAÍDAS!$W80/100)</f>
        <v>0</v>
      </c>
      <c r="L535" s="300">
        <f>SAÍDAS!M80*(SAÍDAS!$W80/100)</f>
        <v>0</v>
      </c>
      <c r="M535" s="300">
        <f>SAÍDAS!N80*(SAÍDAS!$W80/100)</f>
        <v>0</v>
      </c>
      <c r="N535" s="300">
        <f>SAÍDAS!O80*(SAÍDAS!$W80/100)</f>
        <v>0</v>
      </c>
      <c r="O535" s="300">
        <f>SAÍDAS!P80*(SAÍDAS!$W80/100)</f>
        <v>0</v>
      </c>
      <c r="P535" s="300"/>
      <c r="Q535" s="672"/>
      <c r="R535" s="783"/>
      <c r="S535" s="783"/>
      <c r="T535" s="783"/>
      <c r="U535" s="783"/>
      <c r="V535" s="783"/>
      <c r="W535" s="783"/>
      <c r="X535" s="783"/>
      <c r="Y535" s="783"/>
    </row>
    <row r="536" spans="1:25" hidden="1" x14ac:dyDescent="0.25">
      <c r="A536" s="670"/>
      <c r="B536" s="790" t="str">
        <f>SAÍDAS!C81</f>
        <v>Mão de Obra</v>
      </c>
      <c r="C536" s="300">
        <f t="shared" si="168"/>
        <v>0</v>
      </c>
      <c r="D536" s="300">
        <f>SAÍDAS!E81*(SAÍDAS!$W81/100)</f>
        <v>0</v>
      </c>
      <c r="E536" s="300">
        <f>SAÍDAS!F81*(SAÍDAS!$W81/100)</f>
        <v>0</v>
      </c>
      <c r="F536" s="300">
        <f>SAÍDAS!G81*(SAÍDAS!$W81/100)</f>
        <v>0</v>
      </c>
      <c r="G536" s="300">
        <f>SAÍDAS!H81*(SAÍDAS!$W81/100)</f>
        <v>0</v>
      </c>
      <c r="H536" s="300">
        <f>SAÍDAS!I81*(SAÍDAS!$W81/100)</f>
        <v>0</v>
      </c>
      <c r="I536" s="300">
        <f>SAÍDAS!J81*(SAÍDAS!$W81/100)</f>
        <v>0</v>
      </c>
      <c r="J536" s="300">
        <f>SAÍDAS!K81*(SAÍDAS!$W81/100)</f>
        <v>0</v>
      </c>
      <c r="K536" s="300">
        <f>SAÍDAS!L81*(SAÍDAS!$W81/100)</f>
        <v>0</v>
      </c>
      <c r="L536" s="300">
        <f>SAÍDAS!M81*(SAÍDAS!$W81/100)</f>
        <v>0</v>
      </c>
      <c r="M536" s="300">
        <f>SAÍDAS!N81*(SAÍDAS!$W81/100)</f>
        <v>0</v>
      </c>
      <c r="N536" s="300">
        <f>SAÍDAS!O81*(SAÍDAS!$W81/100)</f>
        <v>0</v>
      </c>
      <c r="O536" s="300">
        <f>SAÍDAS!P81*(SAÍDAS!$W81/100)</f>
        <v>0</v>
      </c>
      <c r="P536" s="300"/>
      <c r="Q536" s="672"/>
      <c r="R536" s="783"/>
      <c r="S536" s="783"/>
      <c r="T536" s="783"/>
      <c r="U536" s="783"/>
      <c r="V536" s="783"/>
      <c r="W536" s="783"/>
      <c r="X536" s="783"/>
      <c r="Y536" s="783"/>
    </row>
    <row r="537" spans="1:25" hidden="1" x14ac:dyDescent="0.25">
      <c r="A537" s="670"/>
      <c r="B537" s="790" t="str">
        <f>SAÍDAS!C82</f>
        <v>Despesas com viajens Consultor</v>
      </c>
      <c r="C537" s="300">
        <f t="shared" si="168"/>
        <v>0</v>
      </c>
      <c r="D537" s="300">
        <f>SAÍDAS!E82*(SAÍDAS!$W82/100)</f>
        <v>0</v>
      </c>
      <c r="E537" s="300">
        <f>SAÍDAS!F82*(SAÍDAS!$W82/100)</f>
        <v>0</v>
      </c>
      <c r="F537" s="300">
        <f>SAÍDAS!G82*(SAÍDAS!$W82/100)</f>
        <v>0</v>
      </c>
      <c r="G537" s="300">
        <f>SAÍDAS!H82*(SAÍDAS!$W82/100)</f>
        <v>0</v>
      </c>
      <c r="H537" s="300">
        <f>SAÍDAS!I82*(SAÍDAS!$W82/100)</f>
        <v>0</v>
      </c>
      <c r="I537" s="300">
        <f>SAÍDAS!J82*(SAÍDAS!$W82/100)</f>
        <v>0</v>
      </c>
      <c r="J537" s="300">
        <f>SAÍDAS!K82*(SAÍDAS!$W82/100)</f>
        <v>0</v>
      </c>
      <c r="K537" s="300">
        <f>SAÍDAS!L82*(SAÍDAS!$W82/100)</f>
        <v>0</v>
      </c>
      <c r="L537" s="300">
        <f>SAÍDAS!M82*(SAÍDAS!$W82/100)</f>
        <v>0</v>
      </c>
      <c r="M537" s="300">
        <f>SAÍDAS!N82*(SAÍDAS!$W82/100)</f>
        <v>0</v>
      </c>
      <c r="N537" s="300">
        <f>SAÍDAS!O82*(SAÍDAS!$W82/100)</f>
        <v>0</v>
      </c>
      <c r="O537" s="300">
        <f>SAÍDAS!P82*(SAÍDAS!$W82/100)</f>
        <v>0</v>
      </c>
      <c r="P537" s="300"/>
      <c r="Q537" s="672"/>
      <c r="R537" s="783"/>
      <c r="S537" s="783"/>
      <c r="T537" s="783"/>
      <c r="U537" s="783"/>
      <c r="V537" s="783"/>
      <c r="W537" s="783"/>
      <c r="X537" s="783"/>
      <c r="Y537" s="783"/>
    </row>
    <row r="538" spans="1:25" hidden="1" x14ac:dyDescent="0.25">
      <c r="A538" s="670"/>
      <c r="B538" s="790" t="str">
        <f>SAÍDAS!C83</f>
        <v>Consultoria</v>
      </c>
      <c r="C538" s="300">
        <f t="shared" si="168"/>
        <v>0</v>
      </c>
      <c r="D538" s="300">
        <f>SAÍDAS!E83*(SAÍDAS!$W83/100)</f>
        <v>0</v>
      </c>
      <c r="E538" s="300">
        <f>SAÍDAS!F83*(SAÍDAS!$W83/100)</f>
        <v>0</v>
      </c>
      <c r="F538" s="300">
        <f>SAÍDAS!G83*(SAÍDAS!$W83/100)</f>
        <v>0</v>
      </c>
      <c r="G538" s="300">
        <f>SAÍDAS!H83*(SAÍDAS!$W83/100)</f>
        <v>0</v>
      </c>
      <c r="H538" s="300">
        <f>SAÍDAS!I83*(SAÍDAS!$W83/100)</f>
        <v>0</v>
      </c>
      <c r="I538" s="300">
        <f>SAÍDAS!J83*(SAÍDAS!$W83/100)</f>
        <v>0</v>
      </c>
      <c r="J538" s="300">
        <f>SAÍDAS!K83*(SAÍDAS!$W83/100)</f>
        <v>0</v>
      </c>
      <c r="K538" s="300">
        <f>SAÍDAS!L83*(SAÍDAS!$W83/100)</f>
        <v>0</v>
      </c>
      <c r="L538" s="300">
        <f>SAÍDAS!M83*(SAÍDAS!$W83/100)</f>
        <v>0</v>
      </c>
      <c r="M538" s="300">
        <f>SAÍDAS!N83*(SAÍDAS!$W83/100)</f>
        <v>0</v>
      </c>
      <c r="N538" s="300">
        <f>SAÍDAS!O83*(SAÍDAS!$W83/100)</f>
        <v>0</v>
      </c>
      <c r="O538" s="300">
        <f>SAÍDAS!P83*(SAÍDAS!$W83/100)</f>
        <v>0</v>
      </c>
      <c r="P538" s="300"/>
      <c r="Q538" s="672"/>
      <c r="R538" s="783"/>
      <c r="S538" s="783"/>
      <c r="T538" s="783"/>
      <c r="U538" s="783"/>
      <c r="V538" s="783"/>
      <c r="W538" s="783"/>
      <c r="X538" s="783"/>
      <c r="Y538" s="783"/>
    </row>
    <row r="539" spans="1:25" hidden="1" x14ac:dyDescent="0.25">
      <c r="A539" s="670"/>
      <c r="B539" s="790" t="str">
        <f>SAÍDAS!C84</f>
        <v>Consultor</v>
      </c>
      <c r="C539" s="300">
        <f t="shared" si="168"/>
        <v>0</v>
      </c>
      <c r="D539" s="300">
        <f>SAÍDAS!E84*(SAÍDAS!$W84/100)</f>
        <v>0</v>
      </c>
      <c r="E539" s="300">
        <f>SAÍDAS!F84*(SAÍDAS!$W84/100)</f>
        <v>0</v>
      </c>
      <c r="F539" s="300">
        <f>SAÍDAS!G84*(SAÍDAS!$W84/100)</f>
        <v>0</v>
      </c>
      <c r="G539" s="300">
        <f>SAÍDAS!H84*(SAÍDAS!$W84/100)</f>
        <v>0</v>
      </c>
      <c r="H539" s="300">
        <f>SAÍDAS!I84*(SAÍDAS!$W84/100)</f>
        <v>0</v>
      </c>
      <c r="I539" s="300">
        <f>SAÍDAS!J84*(SAÍDAS!$W84/100)</f>
        <v>0</v>
      </c>
      <c r="J539" s="300">
        <f>SAÍDAS!K84*(SAÍDAS!$W84/100)</f>
        <v>0</v>
      </c>
      <c r="K539" s="300">
        <f>SAÍDAS!L84*(SAÍDAS!$W84/100)</f>
        <v>0</v>
      </c>
      <c r="L539" s="300">
        <f>SAÍDAS!M84*(SAÍDAS!$W84/100)</f>
        <v>0</v>
      </c>
      <c r="M539" s="300">
        <f>SAÍDAS!N84*(SAÍDAS!$W84/100)</f>
        <v>0</v>
      </c>
      <c r="N539" s="300">
        <f>SAÍDAS!O84*(SAÍDAS!$W84/100)</f>
        <v>0</v>
      </c>
      <c r="O539" s="300">
        <f>SAÍDAS!P84*(SAÍDAS!$W84/100)</f>
        <v>0</v>
      </c>
      <c r="P539" s="300"/>
      <c r="Q539" s="672"/>
      <c r="R539" s="783"/>
      <c r="S539" s="783"/>
      <c r="T539" s="783"/>
      <c r="U539" s="783"/>
      <c r="V539" s="783"/>
      <c r="W539" s="783"/>
      <c r="X539" s="783"/>
      <c r="Y539" s="783"/>
    </row>
    <row r="540" spans="1:25" hidden="1" x14ac:dyDescent="0.25">
      <c r="A540" s="670"/>
      <c r="B540" s="790" t="str">
        <f>SAÍDAS!C85</f>
        <v>Cassio</v>
      </c>
      <c r="C540" s="300">
        <f t="shared" si="168"/>
        <v>0</v>
      </c>
      <c r="D540" s="300">
        <f>SAÍDAS!E85*(SAÍDAS!$W85/100)</f>
        <v>0</v>
      </c>
      <c r="E540" s="300">
        <f>SAÍDAS!F85*(SAÍDAS!$W85/100)</f>
        <v>0</v>
      </c>
      <c r="F540" s="300">
        <f>SAÍDAS!G85*(SAÍDAS!$W85/100)</f>
        <v>0</v>
      </c>
      <c r="G540" s="300">
        <f>SAÍDAS!H85*(SAÍDAS!$W85/100)</f>
        <v>0</v>
      </c>
      <c r="H540" s="300">
        <f>SAÍDAS!I85*(SAÍDAS!$W85/100)</f>
        <v>0</v>
      </c>
      <c r="I540" s="300">
        <f>SAÍDAS!J85*(SAÍDAS!$W85/100)</f>
        <v>0</v>
      </c>
      <c r="J540" s="300">
        <f>SAÍDAS!K85*(SAÍDAS!$W85/100)</f>
        <v>0</v>
      </c>
      <c r="K540" s="300">
        <f>SAÍDAS!L85*(SAÍDAS!$W85/100)</f>
        <v>0</v>
      </c>
      <c r="L540" s="300">
        <f>SAÍDAS!M85*(SAÍDAS!$W85/100)</f>
        <v>0</v>
      </c>
      <c r="M540" s="300">
        <f>SAÍDAS!N85*(SAÍDAS!$W85/100)</f>
        <v>0</v>
      </c>
      <c r="N540" s="300">
        <f>SAÍDAS!O85*(SAÍDAS!$W85/100)</f>
        <v>0</v>
      </c>
      <c r="O540" s="300">
        <f>SAÍDAS!P85*(SAÍDAS!$W85/100)</f>
        <v>0</v>
      </c>
      <c r="P540" s="300"/>
      <c r="Q540" s="672"/>
      <c r="R540" s="783"/>
      <c r="S540" s="783"/>
      <c r="T540" s="783"/>
      <c r="U540" s="783"/>
      <c r="V540" s="783"/>
      <c r="W540" s="783"/>
      <c r="X540" s="783"/>
      <c r="Y540" s="783"/>
    </row>
    <row r="541" spans="1:25" hidden="1" x14ac:dyDescent="0.25">
      <c r="A541" s="670"/>
      <c r="B541" s="790" t="str">
        <f>SAÍDAS!C86</f>
        <v>material limpeza, vidro</v>
      </c>
      <c r="C541" s="300">
        <f t="shared" si="168"/>
        <v>0</v>
      </c>
      <c r="D541" s="300">
        <f>SAÍDAS!E86*(SAÍDAS!$W86/100)</f>
        <v>0</v>
      </c>
      <c r="E541" s="300">
        <f>SAÍDAS!F86*(SAÍDAS!$W86/100)</f>
        <v>0</v>
      </c>
      <c r="F541" s="300">
        <f>SAÍDAS!G86*(SAÍDAS!$W86/100)</f>
        <v>0</v>
      </c>
      <c r="G541" s="300">
        <f>SAÍDAS!H86*(SAÍDAS!$W86/100)</f>
        <v>0</v>
      </c>
      <c r="H541" s="300">
        <f>SAÍDAS!I86*(SAÍDAS!$W86/100)</f>
        <v>0</v>
      </c>
      <c r="I541" s="300">
        <f>SAÍDAS!J86*(SAÍDAS!$W86/100)</f>
        <v>0</v>
      </c>
      <c r="J541" s="300">
        <f>SAÍDAS!K86*(SAÍDAS!$W86/100)</f>
        <v>0</v>
      </c>
      <c r="K541" s="300">
        <f>SAÍDAS!L86*(SAÍDAS!$W86/100)</f>
        <v>0</v>
      </c>
      <c r="L541" s="300">
        <f>SAÍDAS!M86*(SAÍDAS!$W86/100)</f>
        <v>0</v>
      </c>
      <c r="M541" s="300">
        <f>SAÍDAS!N86*(SAÍDAS!$W86/100)</f>
        <v>0</v>
      </c>
      <c r="N541" s="300">
        <f>SAÍDAS!O86*(SAÍDAS!$W86/100)</f>
        <v>0</v>
      </c>
      <c r="O541" s="300">
        <f>SAÍDAS!P86*(SAÍDAS!$W86/100)</f>
        <v>0</v>
      </c>
      <c r="P541" s="300"/>
      <c r="Q541" s="672"/>
      <c r="R541" s="783"/>
      <c r="S541" s="783"/>
      <c r="T541" s="783"/>
      <c r="U541" s="783"/>
      <c r="V541" s="783"/>
      <c r="W541" s="783"/>
      <c r="X541" s="783"/>
      <c r="Y541" s="783"/>
    </row>
    <row r="542" spans="1:25" hidden="1" x14ac:dyDescent="0.25">
      <c r="A542" s="670"/>
      <c r="B542" s="790" t="str">
        <f>SAÍDAS!C87</f>
        <v>madeiras manutencao</v>
      </c>
      <c r="C542" s="300">
        <f t="shared" si="168"/>
        <v>0</v>
      </c>
      <c r="D542" s="300">
        <f>SAÍDAS!E87*(SAÍDAS!$W87/100)</f>
        <v>0</v>
      </c>
      <c r="E542" s="300">
        <f>SAÍDAS!F87*(SAÍDAS!$W87/100)</f>
        <v>0</v>
      </c>
      <c r="F542" s="300">
        <f>SAÍDAS!G87*(SAÍDAS!$W87/100)</f>
        <v>0</v>
      </c>
      <c r="G542" s="300">
        <f>SAÍDAS!H87*(SAÍDAS!$W87/100)</f>
        <v>0</v>
      </c>
      <c r="H542" s="300">
        <f>SAÍDAS!I87*(SAÍDAS!$W87/100)</f>
        <v>0</v>
      </c>
      <c r="I542" s="300">
        <f>SAÍDAS!J87*(SAÍDAS!$W87/100)</f>
        <v>0</v>
      </c>
      <c r="J542" s="300">
        <f>SAÍDAS!K87*(SAÍDAS!$W87/100)</f>
        <v>0</v>
      </c>
      <c r="K542" s="300">
        <f>SAÍDAS!L87*(SAÍDAS!$W87/100)</f>
        <v>0</v>
      </c>
      <c r="L542" s="300">
        <f>SAÍDAS!M87*(SAÍDAS!$W87/100)</f>
        <v>0</v>
      </c>
      <c r="M542" s="300">
        <f>SAÍDAS!N87*(SAÍDAS!$W87/100)</f>
        <v>0</v>
      </c>
      <c r="N542" s="300">
        <f>SAÍDAS!O87*(SAÍDAS!$W87/100)</f>
        <v>0</v>
      </c>
      <c r="O542" s="300">
        <f>SAÍDAS!P87*(SAÍDAS!$W87/100)</f>
        <v>0</v>
      </c>
      <c r="P542" s="300"/>
      <c r="Q542" s="672"/>
      <c r="R542" s="783"/>
      <c r="S542" s="783"/>
      <c r="T542" s="783"/>
      <c r="U542" s="783"/>
      <c r="V542" s="783"/>
      <c r="W542" s="783"/>
      <c r="X542" s="783"/>
      <c r="Y542" s="783"/>
    </row>
    <row r="543" spans="1:25" hidden="1" x14ac:dyDescent="0.25">
      <c r="A543" s="670"/>
      <c r="B543" s="790" t="str">
        <f>SAÍDAS!C88</f>
        <v>Outros</v>
      </c>
      <c r="C543" s="300">
        <f t="shared" si="168"/>
        <v>0</v>
      </c>
      <c r="D543" s="300">
        <f>SAÍDAS!E88*(SAÍDAS!$W88/100)</f>
        <v>0</v>
      </c>
      <c r="E543" s="300">
        <f>SAÍDAS!F88*(SAÍDAS!$W88/100)</f>
        <v>0</v>
      </c>
      <c r="F543" s="300">
        <f>SAÍDAS!G88*(SAÍDAS!$W88/100)</f>
        <v>0</v>
      </c>
      <c r="G543" s="300">
        <f>SAÍDAS!H88*(SAÍDAS!$W88/100)</f>
        <v>0</v>
      </c>
      <c r="H543" s="300">
        <f>SAÍDAS!I88*(SAÍDAS!$W88/100)</f>
        <v>0</v>
      </c>
      <c r="I543" s="300">
        <f>SAÍDAS!J88*(SAÍDAS!$W88/100)</f>
        <v>0</v>
      </c>
      <c r="J543" s="300">
        <f>SAÍDAS!K88*(SAÍDAS!$W88/100)</f>
        <v>0</v>
      </c>
      <c r="K543" s="300">
        <f>SAÍDAS!L88*(SAÍDAS!$W88/100)</f>
        <v>0</v>
      </c>
      <c r="L543" s="300">
        <f>SAÍDAS!M88*(SAÍDAS!$W88/100)</f>
        <v>0</v>
      </c>
      <c r="M543" s="300">
        <f>SAÍDAS!N88*(SAÍDAS!$W88/100)</f>
        <v>0</v>
      </c>
      <c r="N543" s="300">
        <f>SAÍDAS!O88*(SAÍDAS!$W88/100)</f>
        <v>0</v>
      </c>
      <c r="O543" s="300">
        <f>SAÍDAS!P88*(SAÍDAS!$W88/100)</f>
        <v>0</v>
      </c>
      <c r="P543" s="300"/>
      <c r="Q543" s="672"/>
      <c r="R543" s="783"/>
      <c r="S543" s="783"/>
      <c r="T543" s="783"/>
      <c r="U543" s="783"/>
      <c r="V543" s="783"/>
      <c r="W543" s="783"/>
      <c r="X543" s="783"/>
      <c r="Y543" s="783"/>
    </row>
    <row r="544" spans="1:25" hidden="1" x14ac:dyDescent="0.25">
      <c r="A544" s="670"/>
      <c r="B544" s="790" t="str">
        <f>SAÍDAS!C89</f>
        <v>frete</v>
      </c>
      <c r="C544" s="300">
        <f t="shared" si="168"/>
        <v>0</v>
      </c>
      <c r="D544" s="300">
        <f>SAÍDAS!E89*(SAÍDAS!$W89/100)</f>
        <v>0</v>
      </c>
      <c r="E544" s="300">
        <f>SAÍDAS!F89*(SAÍDAS!$W89/100)</f>
        <v>0</v>
      </c>
      <c r="F544" s="300">
        <f>SAÍDAS!G89*(SAÍDAS!$W89/100)</f>
        <v>0</v>
      </c>
      <c r="G544" s="300">
        <f>SAÍDAS!H89*(SAÍDAS!$W89/100)</f>
        <v>0</v>
      </c>
      <c r="H544" s="300">
        <f>SAÍDAS!I89*(SAÍDAS!$W89/100)</f>
        <v>0</v>
      </c>
      <c r="I544" s="300">
        <f>SAÍDAS!J89*(SAÍDAS!$W89/100)</f>
        <v>0</v>
      </c>
      <c r="J544" s="300">
        <f>SAÍDAS!K89*(SAÍDAS!$W89/100)</f>
        <v>0</v>
      </c>
      <c r="K544" s="300">
        <f>SAÍDAS!L89*(SAÍDAS!$W89/100)</f>
        <v>0</v>
      </c>
      <c r="L544" s="300">
        <f>SAÍDAS!M89*(SAÍDAS!$W89/100)</f>
        <v>0</v>
      </c>
      <c r="M544" s="300">
        <f>SAÍDAS!N89*(SAÍDAS!$W89/100)</f>
        <v>0</v>
      </c>
      <c r="N544" s="300">
        <f>SAÍDAS!O89*(SAÍDAS!$W89/100)</f>
        <v>0</v>
      </c>
      <c r="O544" s="300">
        <f>SAÍDAS!P89*(SAÍDAS!$W89/100)</f>
        <v>0</v>
      </c>
      <c r="P544" s="300"/>
      <c r="Q544" s="672"/>
      <c r="R544" s="783"/>
      <c r="S544" s="783"/>
      <c r="T544" s="783"/>
      <c r="U544" s="783"/>
      <c r="V544" s="783"/>
      <c r="W544" s="783"/>
      <c r="X544" s="783"/>
      <c r="Y544" s="783"/>
    </row>
    <row r="545" spans="1:25" hidden="1" x14ac:dyDescent="0.25">
      <c r="A545" s="670"/>
      <c r="B545" s="791" t="str">
        <f>SAÍDAS!C90</f>
        <v>Depreciação</v>
      </c>
      <c r="C545" s="300">
        <f t="shared" si="168"/>
        <v>0</v>
      </c>
      <c r="D545" s="300">
        <f>SAÍDAS!E90*(SAÍDAS!$W90/100)</f>
        <v>0</v>
      </c>
      <c r="E545" s="300">
        <f>SAÍDAS!F90*(SAÍDAS!$W90/100)</f>
        <v>0</v>
      </c>
      <c r="F545" s="300">
        <f>SAÍDAS!G90*(SAÍDAS!$W90/100)</f>
        <v>0</v>
      </c>
      <c r="G545" s="300">
        <f>SAÍDAS!H90*(SAÍDAS!$W90/100)</f>
        <v>0</v>
      </c>
      <c r="H545" s="300">
        <f>SAÍDAS!I90*(SAÍDAS!$W90/100)</f>
        <v>0</v>
      </c>
      <c r="I545" s="300">
        <f>SAÍDAS!J90*(SAÍDAS!$W90/100)</f>
        <v>0</v>
      </c>
      <c r="J545" s="300">
        <f>SAÍDAS!K90*(SAÍDAS!$W90/100)</f>
        <v>0</v>
      </c>
      <c r="K545" s="300">
        <f>SAÍDAS!L90*(SAÍDAS!$W90/100)</f>
        <v>0</v>
      </c>
      <c r="L545" s="300">
        <f>SAÍDAS!M90*(SAÍDAS!$W90/100)</f>
        <v>0</v>
      </c>
      <c r="M545" s="300">
        <f>SAÍDAS!N90*(SAÍDAS!$W90/100)</f>
        <v>0</v>
      </c>
      <c r="N545" s="300">
        <f>SAÍDAS!O90*(SAÍDAS!$W90/100)</f>
        <v>0</v>
      </c>
      <c r="O545" s="300">
        <f>SAÍDAS!P90*(SAÍDAS!$W90/100)</f>
        <v>0</v>
      </c>
      <c r="P545" s="300"/>
      <c r="Q545" s="672"/>
      <c r="R545" s="783"/>
      <c r="S545" s="783"/>
      <c r="T545" s="783"/>
      <c r="U545" s="783"/>
      <c r="V545" s="783"/>
      <c r="W545" s="783"/>
      <c r="X545" s="783"/>
      <c r="Y545" s="783"/>
    </row>
    <row r="546" spans="1:25" hidden="1" x14ac:dyDescent="0.25">
      <c r="A546" s="670"/>
      <c r="B546" s="740"/>
      <c r="C546" s="300"/>
      <c r="D546" s="300"/>
      <c r="E546" s="300"/>
      <c r="F546" s="300"/>
      <c r="G546" s="300"/>
      <c r="H546" s="300"/>
      <c r="I546" s="300"/>
      <c r="J546" s="300"/>
      <c r="K546" s="300"/>
      <c r="L546" s="300"/>
      <c r="M546" s="300"/>
      <c r="N546" s="300"/>
      <c r="O546" s="300"/>
      <c r="P546" s="300"/>
      <c r="Q546" s="672"/>
      <c r="R546" s="783"/>
      <c r="S546" s="783"/>
      <c r="T546" s="783"/>
      <c r="U546" s="783"/>
      <c r="V546" s="783"/>
      <c r="W546" s="783"/>
      <c r="X546" s="783"/>
      <c r="Y546" s="783"/>
    </row>
    <row r="547" spans="1:25" hidden="1" x14ac:dyDescent="0.25">
      <c r="A547" s="670"/>
      <c r="B547" s="741" t="s">
        <v>180</v>
      </c>
      <c r="C547" s="300">
        <f>SUM(D547:O547)</f>
        <v>0</v>
      </c>
      <c r="D547" s="300">
        <f>SUM(D528:D544)</f>
        <v>0</v>
      </c>
      <c r="E547" s="300">
        <f t="shared" ref="E547:O547" si="169">SUM(E528:E544)</f>
        <v>0</v>
      </c>
      <c r="F547" s="300">
        <f t="shared" si="169"/>
        <v>0</v>
      </c>
      <c r="G547" s="300">
        <f t="shared" si="169"/>
        <v>0</v>
      </c>
      <c r="H547" s="300">
        <f t="shared" si="169"/>
        <v>0</v>
      </c>
      <c r="I547" s="300">
        <f t="shared" si="169"/>
        <v>0</v>
      </c>
      <c r="J547" s="300">
        <f t="shared" si="169"/>
        <v>0</v>
      </c>
      <c r="K547" s="300">
        <f t="shared" si="169"/>
        <v>0</v>
      </c>
      <c r="L547" s="300">
        <f t="shared" si="169"/>
        <v>0</v>
      </c>
      <c r="M547" s="300">
        <f t="shared" si="169"/>
        <v>0</v>
      </c>
      <c r="N547" s="300">
        <f t="shared" si="169"/>
        <v>0</v>
      </c>
      <c r="O547" s="300">
        <f t="shared" si="169"/>
        <v>0</v>
      </c>
      <c r="P547" s="300"/>
      <c r="Q547" s="672"/>
      <c r="R547" s="783"/>
      <c r="S547" s="783"/>
      <c r="T547" s="783"/>
      <c r="U547" s="783"/>
      <c r="V547" s="783"/>
      <c r="W547" s="783"/>
      <c r="X547" s="783"/>
      <c r="Y547" s="783"/>
    </row>
    <row r="548" spans="1:25" hidden="1" x14ac:dyDescent="0.25">
      <c r="A548" s="670"/>
      <c r="B548" s="741"/>
      <c r="C548" s="228"/>
      <c r="D548" s="300"/>
      <c r="E548" s="300"/>
      <c r="F548" s="300"/>
      <c r="G548" s="300"/>
      <c r="H548" s="300"/>
      <c r="I548" s="300"/>
      <c r="J548" s="300"/>
      <c r="K548" s="300"/>
      <c r="L548" s="300"/>
      <c r="M548" s="300"/>
      <c r="N548" s="300"/>
      <c r="O548" s="300"/>
      <c r="P548" s="300"/>
      <c r="Q548" s="672"/>
      <c r="R548" s="783"/>
      <c r="S548" s="783"/>
      <c r="T548" s="783"/>
      <c r="U548" s="783"/>
      <c r="V548" s="783"/>
      <c r="W548" s="783"/>
      <c r="X548" s="783"/>
      <c r="Y548" s="783"/>
    </row>
    <row r="549" spans="1:25" hidden="1" x14ac:dyDescent="0.25">
      <c r="A549" s="670"/>
      <c r="B549" s="742" t="s">
        <v>17</v>
      </c>
      <c r="C549" s="743"/>
      <c r="D549" s="744">
        <f t="shared" ref="D549:O549" si="170">D547+D526</f>
        <v>0</v>
      </c>
      <c r="E549" s="744">
        <f t="shared" si="170"/>
        <v>0</v>
      </c>
      <c r="F549" s="744">
        <f t="shared" si="170"/>
        <v>180000</v>
      </c>
      <c r="G549" s="744">
        <f t="shared" si="170"/>
        <v>0</v>
      </c>
      <c r="H549" s="744">
        <f t="shared" si="170"/>
        <v>0</v>
      </c>
      <c r="I549" s="744">
        <f t="shared" si="170"/>
        <v>0</v>
      </c>
      <c r="J549" s="744">
        <f t="shared" si="170"/>
        <v>112785</v>
      </c>
      <c r="K549" s="744">
        <f t="shared" si="170"/>
        <v>41850</v>
      </c>
      <c r="L549" s="744">
        <f t="shared" si="170"/>
        <v>0</v>
      </c>
      <c r="M549" s="744">
        <f t="shared" si="170"/>
        <v>0</v>
      </c>
      <c r="N549" s="744">
        <f t="shared" si="170"/>
        <v>0</v>
      </c>
      <c r="O549" s="744">
        <f t="shared" si="170"/>
        <v>0</v>
      </c>
      <c r="P549" s="744">
        <f>SUM(D549:O549)</f>
        <v>334635</v>
      </c>
      <c r="Q549" s="672"/>
      <c r="R549" s="783"/>
      <c r="S549" s="783"/>
      <c r="T549" s="783"/>
      <c r="U549" s="783"/>
      <c r="V549" s="783"/>
      <c r="W549" s="783"/>
      <c r="X549" s="783"/>
      <c r="Y549" s="783"/>
    </row>
    <row r="550" spans="1:25" hidden="1" x14ac:dyDescent="0.25">
      <c r="A550" s="670"/>
      <c r="B550" s="745" t="s">
        <v>178</v>
      </c>
      <c r="C550" s="680"/>
      <c r="D550" s="746">
        <f>D549</f>
        <v>0</v>
      </c>
      <c r="E550" s="746">
        <f t="shared" ref="E550:O550" si="171">D550+E549</f>
        <v>0</v>
      </c>
      <c r="F550" s="746">
        <f t="shared" si="171"/>
        <v>180000</v>
      </c>
      <c r="G550" s="746">
        <f>F550+G549</f>
        <v>180000</v>
      </c>
      <c r="H550" s="746">
        <f>G550+H549</f>
        <v>180000</v>
      </c>
      <c r="I550" s="746">
        <f>H550+I549</f>
        <v>180000</v>
      </c>
      <c r="J550" s="746">
        <f>I550+J549</f>
        <v>292785</v>
      </c>
      <c r="K550" s="746">
        <f t="shared" si="171"/>
        <v>334635</v>
      </c>
      <c r="L550" s="746">
        <f t="shared" si="171"/>
        <v>334635</v>
      </c>
      <c r="M550" s="746">
        <f t="shared" si="171"/>
        <v>334635</v>
      </c>
      <c r="N550" s="746">
        <f t="shared" si="171"/>
        <v>334635</v>
      </c>
      <c r="O550" s="747">
        <f t="shared" si="171"/>
        <v>334635</v>
      </c>
      <c r="P550" s="748"/>
      <c r="Q550" s="672"/>
      <c r="R550" s="783"/>
      <c r="S550" s="783"/>
      <c r="T550" s="783"/>
      <c r="U550" s="783"/>
      <c r="V550" s="783"/>
      <c r="W550" s="783"/>
      <c r="X550" s="783"/>
      <c r="Y550" s="783"/>
    </row>
    <row r="551" spans="1:25" hidden="1" x14ac:dyDescent="0.25">
      <c r="A551" s="670"/>
      <c r="B551" s="745" t="s">
        <v>181</v>
      </c>
      <c r="C551" s="680"/>
      <c r="D551" s="749">
        <f t="shared" ref="D551:O551" si="172">IF(D159="",0,D549)</f>
        <v>0</v>
      </c>
      <c r="E551" s="749">
        <f t="shared" si="172"/>
        <v>0</v>
      </c>
      <c r="F551" s="749">
        <f t="shared" si="172"/>
        <v>180000</v>
      </c>
      <c r="G551" s="749">
        <f t="shared" si="172"/>
        <v>0</v>
      </c>
      <c r="H551" s="749">
        <f t="shared" si="172"/>
        <v>0</v>
      </c>
      <c r="I551" s="749">
        <f t="shared" si="172"/>
        <v>0</v>
      </c>
      <c r="J551" s="749">
        <f t="shared" si="172"/>
        <v>112785</v>
      </c>
      <c r="K551" s="749">
        <f t="shared" si="172"/>
        <v>41850</v>
      </c>
      <c r="L551" s="749">
        <f t="shared" si="172"/>
        <v>0</v>
      </c>
      <c r="M551" s="749">
        <f t="shared" si="172"/>
        <v>0</v>
      </c>
      <c r="N551" s="749">
        <f t="shared" si="172"/>
        <v>0</v>
      </c>
      <c r="O551" s="749">
        <f t="shared" si="172"/>
        <v>0</v>
      </c>
      <c r="P551" s="748"/>
      <c r="Q551" s="672"/>
      <c r="R551" s="783"/>
      <c r="S551" s="783"/>
      <c r="T551" s="783"/>
      <c r="U551" s="783"/>
      <c r="V551" s="783"/>
      <c r="W551" s="783"/>
      <c r="X551" s="783"/>
      <c r="Y551" s="783"/>
    </row>
    <row r="552" spans="1:25" hidden="1" x14ac:dyDescent="0.25">
      <c r="A552" s="670"/>
      <c r="B552" s="745" t="s">
        <v>182</v>
      </c>
      <c r="C552" s="680"/>
      <c r="D552" s="680">
        <f>D551</f>
        <v>0</v>
      </c>
      <c r="E552" s="680">
        <f t="shared" ref="E552:O552" si="173">(D552+E551)</f>
        <v>0</v>
      </c>
      <c r="F552" s="680">
        <f t="shared" si="173"/>
        <v>180000</v>
      </c>
      <c r="G552" s="680">
        <f>(F552+G551)</f>
        <v>180000</v>
      </c>
      <c r="H552" s="680">
        <f>(G552+H551)</f>
        <v>180000</v>
      </c>
      <c r="I552" s="680">
        <f>(H552+I551)</f>
        <v>180000</v>
      </c>
      <c r="J552" s="680">
        <f>(I552+J551)</f>
        <v>292785</v>
      </c>
      <c r="K552" s="680">
        <f t="shared" si="173"/>
        <v>334635</v>
      </c>
      <c r="L552" s="680">
        <f t="shared" si="173"/>
        <v>334635</v>
      </c>
      <c r="M552" s="680">
        <f t="shared" si="173"/>
        <v>334635</v>
      </c>
      <c r="N552" s="680">
        <f t="shared" si="173"/>
        <v>334635</v>
      </c>
      <c r="O552" s="751">
        <f t="shared" si="173"/>
        <v>334635</v>
      </c>
      <c r="P552" s="748"/>
      <c r="Q552" s="672"/>
      <c r="R552" s="783"/>
      <c r="S552" s="783"/>
      <c r="T552" s="783"/>
      <c r="U552" s="783"/>
      <c r="V552" s="783"/>
      <c r="W552" s="783"/>
      <c r="X552" s="783"/>
      <c r="Y552" s="783"/>
    </row>
    <row r="553" spans="1:25" hidden="1" x14ac:dyDescent="0.25">
      <c r="A553" s="670"/>
      <c r="B553" s="752" t="s">
        <v>184</v>
      </c>
      <c r="C553" s="680"/>
      <c r="D553" s="749">
        <f>IF(D159="",0,1)</f>
        <v>1</v>
      </c>
      <c r="E553" s="749">
        <f>IF(E159="",0,2)</f>
        <v>2</v>
      </c>
      <c r="F553" s="749">
        <f>IF(F159="",0,3)</f>
        <v>3</v>
      </c>
      <c r="G553" s="749">
        <f>IF(G159="",0,4)</f>
        <v>4</v>
      </c>
      <c r="H553" s="749">
        <f>IF(H159="",0,5)</f>
        <v>5</v>
      </c>
      <c r="I553" s="749">
        <f>IF(I159="",0,6)</f>
        <v>6</v>
      </c>
      <c r="J553" s="749">
        <f>IF(J159="",0,7)</f>
        <v>7</v>
      </c>
      <c r="K553" s="749">
        <f>IF(K159="",0,8)</f>
        <v>8</v>
      </c>
      <c r="L553" s="749">
        <f>IF(L159="",0,9)</f>
        <v>0</v>
      </c>
      <c r="M553" s="749">
        <f>IF(M159="",0,10)</f>
        <v>0</v>
      </c>
      <c r="N553" s="749">
        <f>IF(N159="",0,11)</f>
        <v>0</v>
      </c>
      <c r="O553" s="749">
        <f>IF(O159="",0,12)</f>
        <v>0</v>
      </c>
      <c r="P553" s="680">
        <f>LARGE(D553:O553,1)</f>
        <v>8</v>
      </c>
      <c r="Q553" s="672"/>
      <c r="R553" s="783"/>
      <c r="S553" s="783"/>
      <c r="T553" s="783"/>
      <c r="U553" s="783"/>
      <c r="V553" s="783"/>
      <c r="W553" s="783"/>
      <c r="X553" s="783"/>
      <c r="Y553" s="783"/>
    </row>
    <row r="554" spans="1:25" hidden="1" x14ac:dyDescent="0.25">
      <c r="A554" s="670"/>
      <c r="B554" s="752" t="s">
        <v>185</v>
      </c>
      <c r="C554" s="680"/>
      <c r="D554" s="680">
        <f>IF(D553=0,0,IF(D549=D551,0,1))</f>
        <v>0</v>
      </c>
      <c r="E554" s="680">
        <f t="shared" ref="E554:O554" si="174">IF(AND(D553=0,E553&lt;&gt;0),E553,0)</f>
        <v>0</v>
      </c>
      <c r="F554" s="680">
        <f t="shared" si="174"/>
        <v>0</v>
      </c>
      <c r="G554" s="680">
        <f>IF(AND(F553=0,G553&lt;&gt;0),G553,0)</f>
        <v>0</v>
      </c>
      <c r="H554" s="680">
        <f>IF(AND(G553=0,H553&lt;&gt;0),H553,0)</f>
        <v>0</v>
      </c>
      <c r="I554" s="680">
        <f>IF(AND(H553=0,I553&lt;&gt;0),I553,0)</f>
        <v>0</v>
      </c>
      <c r="J554" s="680">
        <f>IF(AND(I553=0,J553&lt;&gt;0),J553,0)</f>
        <v>0</v>
      </c>
      <c r="K554" s="680">
        <f t="shared" si="174"/>
        <v>0</v>
      </c>
      <c r="L554" s="680">
        <f t="shared" si="174"/>
        <v>0</v>
      </c>
      <c r="M554" s="680">
        <f t="shared" si="174"/>
        <v>0</v>
      </c>
      <c r="N554" s="680">
        <f t="shared" si="174"/>
        <v>0</v>
      </c>
      <c r="O554" s="751">
        <f t="shared" si="174"/>
        <v>0</v>
      </c>
      <c r="P554" s="748"/>
      <c r="Q554" s="678"/>
      <c r="R554" s="783"/>
      <c r="S554" s="783"/>
      <c r="T554" s="783"/>
      <c r="U554" s="783"/>
      <c r="V554" s="783"/>
      <c r="W554" s="783"/>
      <c r="X554" s="783"/>
      <c r="Y554" s="783"/>
    </row>
    <row r="555" spans="1:25" hidden="1" x14ac:dyDescent="0.25">
      <c r="A555" s="670"/>
      <c r="B555" s="752" t="s">
        <v>186</v>
      </c>
      <c r="C555" s="680"/>
      <c r="D555" s="746">
        <f>D550-D552</f>
        <v>0</v>
      </c>
      <c r="E555" s="746">
        <f t="shared" ref="E555:O555" si="175">IF(E554=0,0,E550-E552)</f>
        <v>0</v>
      </c>
      <c r="F555" s="746">
        <f t="shared" si="175"/>
        <v>0</v>
      </c>
      <c r="G555" s="746">
        <f t="shared" si="175"/>
        <v>0</v>
      </c>
      <c r="H555" s="746">
        <f t="shared" si="175"/>
        <v>0</v>
      </c>
      <c r="I555" s="746">
        <f t="shared" si="175"/>
        <v>0</v>
      </c>
      <c r="J555" s="746">
        <f t="shared" si="175"/>
        <v>0</v>
      </c>
      <c r="K555" s="746">
        <f t="shared" si="175"/>
        <v>0</v>
      </c>
      <c r="L555" s="746">
        <f t="shared" si="175"/>
        <v>0</v>
      </c>
      <c r="M555" s="746">
        <f t="shared" si="175"/>
        <v>0</v>
      </c>
      <c r="N555" s="746">
        <f t="shared" si="175"/>
        <v>0</v>
      </c>
      <c r="O555" s="747">
        <f t="shared" si="175"/>
        <v>0</v>
      </c>
      <c r="P555" s="746">
        <f>P549-P556</f>
        <v>0</v>
      </c>
      <c r="Q555" s="678"/>
      <c r="R555" s="783"/>
      <c r="S555" s="783"/>
      <c r="T555" s="783"/>
      <c r="U555" s="783"/>
      <c r="V555" s="783"/>
      <c r="W555" s="783"/>
      <c r="X555" s="783"/>
      <c r="Y555" s="783"/>
    </row>
    <row r="556" spans="1:25" hidden="1" x14ac:dyDescent="0.25">
      <c r="A556" s="670"/>
      <c r="B556" s="746" t="s">
        <v>187</v>
      </c>
      <c r="C556" s="680"/>
      <c r="D556" s="746">
        <f t="shared" ref="D556:O556" si="176">D551+D555</f>
        <v>0</v>
      </c>
      <c r="E556" s="746">
        <f t="shared" si="176"/>
        <v>0</v>
      </c>
      <c r="F556" s="746">
        <f t="shared" si="176"/>
        <v>180000</v>
      </c>
      <c r="G556" s="746">
        <f t="shared" si="176"/>
        <v>0</v>
      </c>
      <c r="H556" s="746">
        <f t="shared" si="176"/>
        <v>0</v>
      </c>
      <c r="I556" s="746">
        <f t="shared" si="176"/>
        <v>0</v>
      </c>
      <c r="J556" s="746">
        <f t="shared" si="176"/>
        <v>112785</v>
      </c>
      <c r="K556" s="746">
        <f t="shared" si="176"/>
        <v>41850</v>
      </c>
      <c r="L556" s="746">
        <f t="shared" si="176"/>
        <v>0</v>
      </c>
      <c r="M556" s="746">
        <f t="shared" si="176"/>
        <v>0</v>
      </c>
      <c r="N556" s="746">
        <f t="shared" si="176"/>
        <v>0</v>
      </c>
      <c r="O556" s="746">
        <f t="shared" si="176"/>
        <v>0</v>
      </c>
      <c r="P556" s="746">
        <f>SUM(D556:O556)</f>
        <v>334635</v>
      </c>
      <c r="Q556" s="678"/>
      <c r="R556" s="783"/>
      <c r="S556" s="783"/>
      <c r="T556" s="783"/>
      <c r="U556" s="783"/>
      <c r="V556" s="783"/>
      <c r="W556" s="783"/>
      <c r="X556" s="783"/>
      <c r="Y556" s="783"/>
    </row>
    <row r="557" spans="1:25" ht="15.75" hidden="1" thickBot="1" x14ac:dyDescent="0.3">
      <c r="A557" s="670"/>
      <c r="B557" s="746" t="s">
        <v>183</v>
      </c>
      <c r="C557" s="754">
        <f>COUNTIF(D553:O553,0)</f>
        <v>4</v>
      </c>
      <c r="D557" s="746">
        <f t="shared" ref="D557:O557" si="177">IF(D553=$P553,$P555,0)+D556</f>
        <v>0</v>
      </c>
      <c r="E557" s="746">
        <f t="shared" si="177"/>
        <v>0</v>
      </c>
      <c r="F557" s="746">
        <f t="shared" si="177"/>
        <v>180000</v>
      </c>
      <c r="G557" s="746">
        <f t="shared" si="177"/>
        <v>0</v>
      </c>
      <c r="H557" s="746">
        <f t="shared" si="177"/>
        <v>0</v>
      </c>
      <c r="I557" s="746">
        <f t="shared" si="177"/>
        <v>0</v>
      </c>
      <c r="J557" s="746">
        <f t="shared" si="177"/>
        <v>112785</v>
      </c>
      <c r="K557" s="746">
        <f t="shared" si="177"/>
        <v>41850</v>
      </c>
      <c r="L557" s="746">
        <f t="shared" si="177"/>
        <v>0</v>
      </c>
      <c r="M557" s="746">
        <f t="shared" si="177"/>
        <v>0</v>
      </c>
      <c r="N557" s="746">
        <f t="shared" si="177"/>
        <v>0</v>
      </c>
      <c r="O557" s="746">
        <f t="shared" si="177"/>
        <v>0</v>
      </c>
      <c r="P557" s="746">
        <f>SUM(D557:O557)</f>
        <v>334635</v>
      </c>
      <c r="Q557" s="753"/>
      <c r="R557" s="783"/>
      <c r="S557" s="783"/>
      <c r="T557" s="783"/>
      <c r="U557" s="783"/>
      <c r="V557" s="783"/>
      <c r="W557" s="783"/>
      <c r="X557" s="783"/>
      <c r="Y557" s="783"/>
    </row>
    <row r="558" spans="1:25" ht="15.75" hidden="1" thickBot="1" x14ac:dyDescent="0.3">
      <c r="A558" s="670"/>
      <c r="B558" s="751" t="s">
        <v>190</v>
      </c>
      <c r="C558" s="757">
        <f>HLOOKUP(P553,D314:O316,3,FALSE)</f>
        <v>204.14634146341464</v>
      </c>
      <c r="D558" s="228"/>
      <c r="E558" s="228"/>
      <c r="F558" s="228"/>
      <c r="G558" s="228"/>
      <c r="H558" s="228"/>
      <c r="I558" s="228"/>
      <c r="J558" s="228"/>
      <c r="K558" s="228"/>
      <c r="L558" s="228"/>
      <c r="M558" s="228"/>
      <c r="N558" s="228"/>
      <c r="O558" s="228"/>
      <c r="P558" s="300"/>
      <c r="Q558" s="678"/>
      <c r="R558" s="783"/>
      <c r="S558" s="783"/>
      <c r="T558" s="783"/>
      <c r="U558" s="783"/>
      <c r="V558" s="783"/>
      <c r="W558" s="783"/>
      <c r="X558" s="783"/>
      <c r="Y558" s="783"/>
    </row>
    <row r="559" spans="1:25" ht="15.75" hidden="1" thickBot="1" x14ac:dyDescent="0.3">
      <c r="A559" s="670"/>
      <c r="B559" s="751" t="s">
        <v>191</v>
      </c>
      <c r="C559" s="758">
        <f>P316</f>
        <v>1615.0478610426082</v>
      </c>
      <c r="D559" s="228"/>
      <c r="E559" s="228"/>
      <c r="F559" s="228"/>
      <c r="G559" s="228"/>
      <c r="H559" s="228"/>
      <c r="I559" s="228"/>
      <c r="J559" s="228"/>
      <c r="K559" s="228"/>
      <c r="L559" s="228"/>
      <c r="M559" s="228"/>
      <c r="N559" s="228"/>
      <c r="O559" s="228"/>
      <c r="P559" s="300"/>
      <c r="Q559" s="678"/>
      <c r="R559" s="783"/>
      <c r="S559" s="783"/>
      <c r="T559" s="783"/>
      <c r="U559" s="783"/>
      <c r="V559" s="783"/>
      <c r="W559" s="783"/>
      <c r="X559" s="783"/>
      <c r="Y559" s="783"/>
    </row>
    <row r="560" spans="1:25" hidden="1" x14ac:dyDescent="0.25">
      <c r="A560" s="670"/>
      <c r="B560" s="224"/>
      <c r="C560" s="228"/>
      <c r="D560" s="228"/>
      <c r="E560" s="228"/>
      <c r="F560" s="228"/>
      <c r="G560" s="228"/>
      <c r="H560" s="228"/>
      <c r="I560" s="228"/>
      <c r="J560" s="228"/>
      <c r="K560" s="228"/>
      <c r="L560" s="228"/>
      <c r="M560" s="228"/>
      <c r="N560" s="228"/>
      <c r="O560" s="228"/>
      <c r="P560" s="300"/>
      <c r="Q560" s="678"/>
      <c r="R560" s="783"/>
      <c r="S560" s="783"/>
      <c r="T560" s="783"/>
      <c r="U560" s="783"/>
      <c r="V560" s="783"/>
      <c r="W560" s="783"/>
      <c r="X560" s="783"/>
      <c r="Y560" s="783"/>
    </row>
    <row r="561" spans="1:25" hidden="1" x14ac:dyDescent="0.25">
      <c r="A561" s="670"/>
      <c r="B561" s="224" t="s">
        <v>14</v>
      </c>
      <c r="C561" s="228"/>
      <c r="D561" s="228"/>
      <c r="E561" s="228"/>
      <c r="F561" s="228"/>
      <c r="G561" s="228"/>
      <c r="H561" s="228"/>
      <c r="I561" s="228"/>
      <c r="J561" s="228"/>
      <c r="K561" s="228"/>
      <c r="L561" s="228"/>
      <c r="M561" s="228"/>
      <c r="N561" s="228"/>
      <c r="O561" s="228"/>
      <c r="P561" s="300"/>
      <c r="Q561" s="678"/>
      <c r="R561" s="783"/>
      <c r="S561" s="783"/>
      <c r="T561" s="783"/>
      <c r="U561" s="783"/>
      <c r="V561" s="783"/>
      <c r="W561" s="783"/>
      <c r="X561" s="783"/>
      <c r="Y561" s="783"/>
    </row>
    <row r="562" spans="1:25" hidden="1" x14ac:dyDescent="0.25">
      <c r="A562" s="670"/>
      <c r="B562" s="739" t="str">
        <f>SAÍDAS!C31</f>
        <v>Mão de Obra</v>
      </c>
      <c r="C562" s="300">
        <f t="shared" ref="C562:C601" si="178">SUM(D562:O562)</f>
        <v>0</v>
      </c>
      <c r="D562" s="300">
        <f>SAÍDAS!E31*(SAÍDAS!$Y31/100)</f>
        <v>0</v>
      </c>
      <c r="E562" s="300">
        <f>SAÍDAS!F31*(SAÍDAS!$Y31/100)</f>
        <v>0</v>
      </c>
      <c r="F562" s="300">
        <f>SAÍDAS!G31*(SAÍDAS!$Y31/100)</f>
        <v>0</v>
      </c>
      <c r="G562" s="300">
        <f>SAÍDAS!H31*(SAÍDAS!$Y31/100)</f>
        <v>0</v>
      </c>
      <c r="H562" s="300">
        <f>SAÍDAS!I31*(SAÍDAS!$Y31/100)</f>
        <v>0</v>
      </c>
      <c r="I562" s="300">
        <f>SAÍDAS!J31*(SAÍDAS!$Y31/100)</f>
        <v>0</v>
      </c>
      <c r="J562" s="300">
        <f>SAÍDAS!K31*(SAÍDAS!$Y31/100)</f>
        <v>0</v>
      </c>
      <c r="K562" s="300">
        <f>SAÍDAS!L31*(SAÍDAS!$Y31/100)</f>
        <v>0</v>
      </c>
      <c r="L562" s="300">
        <f>SAÍDAS!M31*(SAÍDAS!$Y31/100)</f>
        <v>0</v>
      </c>
      <c r="M562" s="300">
        <f>SAÍDAS!N31*(SAÍDAS!$Y31/100)</f>
        <v>0</v>
      </c>
      <c r="N562" s="300">
        <f>SAÍDAS!O31*(SAÍDAS!$Y31/100)</f>
        <v>0</v>
      </c>
      <c r="O562" s="300">
        <f>SAÍDAS!P31*(SAÍDAS!$Y31/100)</f>
        <v>0</v>
      </c>
      <c r="P562" s="224"/>
      <c r="Q562" s="678"/>
      <c r="R562" s="783"/>
      <c r="S562" s="783"/>
      <c r="T562" s="783"/>
      <c r="U562" s="783"/>
      <c r="V562" s="783"/>
      <c r="W562" s="783"/>
      <c r="X562" s="783"/>
      <c r="Y562" s="783"/>
    </row>
    <row r="563" spans="1:25" hidden="1" x14ac:dyDescent="0.25">
      <c r="A563" s="670"/>
      <c r="B563" s="739" t="str">
        <f>SAÍDAS!C32</f>
        <v>Mão de Obra</v>
      </c>
      <c r="C563" s="300">
        <f t="shared" si="178"/>
        <v>0</v>
      </c>
      <c r="D563" s="300">
        <f>SAÍDAS!E32*(SAÍDAS!$Y32/100)</f>
        <v>0</v>
      </c>
      <c r="E563" s="300">
        <f>SAÍDAS!F32*(SAÍDAS!$Y32/100)</f>
        <v>0</v>
      </c>
      <c r="F563" s="300">
        <f>SAÍDAS!G32*(SAÍDAS!$Y32/100)</f>
        <v>0</v>
      </c>
      <c r="G563" s="300">
        <f>SAÍDAS!H32*(SAÍDAS!$Y32/100)</f>
        <v>0</v>
      </c>
      <c r="H563" s="300">
        <f>SAÍDAS!I32*(SAÍDAS!$Y32/100)</f>
        <v>0</v>
      </c>
      <c r="I563" s="300">
        <f>SAÍDAS!J32*(SAÍDAS!$Y32/100)</f>
        <v>0</v>
      </c>
      <c r="J563" s="300">
        <f>SAÍDAS!K32*(SAÍDAS!$Y32/100)</f>
        <v>0</v>
      </c>
      <c r="K563" s="300">
        <f>SAÍDAS!L32*(SAÍDAS!$Y32/100)</f>
        <v>0</v>
      </c>
      <c r="L563" s="300">
        <f>SAÍDAS!M32*(SAÍDAS!$Y32/100)</f>
        <v>0</v>
      </c>
      <c r="M563" s="300">
        <f>SAÍDAS!N32*(SAÍDAS!$Y32/100)</f>
        <v>0</v>
      </c>
      <c r="N563" s="300">
        <f>SAÍDAS!O32*(SAÍDAS!$Y32/100)</f>
        <v>0</v>
      </c>
      <c r="O563" s="300">
        <f>SAÍDAS!P32*(SAÍDAS!$Y32/100)</f>
        <v>0</v>
      </c>
      <c r="P563" s="300"/>
      <c r="Q563" s="678"/>
      <c r="R563" s="783"/>
      <c r="S563" s="783"/>
      <c r="T563" s="783"/>
      <c r="U563" s="783"/>
      <c r="V563" s="783"/>
      <c r="W563" s="783"/>
      <c r="X563" s="783"/>
      <c r="Y563" s="783"/>
    </row>
    <row r="564" spans="1:25" hidden="1" x14ac:dyDescent="0.25">
      <c r="A564" s="670"/>
      <c r="B564" s="739" t="str">
        <f>SAÍDAS!C33</f>
        <v>Mão de Obra</v>
      </c>
      <c r="C564" s="300">
        <f t="shared" si="178"/>
        <v>0</v>
      </c>
      <c r="D564" s="300">
        <f>SAÍDAS!E33*(SAÍDAS!$Y33/100)</f>
        <v>0</v>
      </c>
      <c r="E564" s="300">
        <f>SAÍDAS!F33*(SAÍDAS!$Y33/100)</f>
        <v>0</v>
      </c>
      <c r="F564" s="300">
        <f>SAÍDAS!G33*(SAÍDAS!$Y33/100)</f>
        <v>0</v>
      </c>
      <c r="G564" s="300">
        <f>SAÍDAS!H33*(SAÍDAS!$Y33/100)</f>
        <v>0</v>
      </c>
      <c r="H564" s="300">
        <f>SAÍDAS!I33*(SAÍDAS!$Y33/100)</f>
        <v>0</v>
      </c>
      <c r="I564" s="300">
        <f>SAÍDAS!J33*(SAÍDAS!$Y33/100)</f>
        <v>0</v>
      </c>
      <c r="J564" s="300">
        <f>SAÍDAS!K33*(SAÍDAS!$Y33/100)</f>
        <v>0</v>
      </c>
      <c r="K564" s="300">
        <f>SAÍDAS!L33*(SAÍDAS!$Y33/100)</f>
        <v>0</v>
      </c>
      <c r="L564" s="300">
        <f>SAÍDAS!M33*(SAÍDAS!$Y33/100)</f>
        <v>0</v>
      </c>
      <c r="M564" s="300">
        <f>SAÍDAS!N33*(SAÍDAS!$Y33/100)</f>
        <v>0</v>
      </c>
      <c r="N564" s="300">
        <f>SAÍDAS!O33*(SAÍDAS!$Y33/100)</f>
        <v>0</v>
      </c>
      <c r="O564" s="300">
        <f>SAÍDAS!P33*(SAÍDAS!$Y33/100)</f>
        <v>0</v>
      </c>
      <c r="P564" s="300"/>
      <c r="Q564" s="678"/>
      <c r="R564" s="783"/>
      <c r="S564" s="783"/>
      <c r="T564" s="783"/>
      <c r="U564" s="783"/>
      <c r="V564" s="783"/>
      <c r="W564" s="783"/>
      <c r="X564" s="783"/>
      <c r="Y564" s="783"/>
    </row>
    <row r="565" spans="1:25" hidden="1" x14ac:dyDescent="0.25">
      <c r="A565" s="670"/>
      <c r="B565" s="739" t="str">
        <f>SAÍDAS!C34</f>
        <v>Serviços Terceirizados</v>
      </c>
      <c r="C565" s="300">
        <f t="shared" si="178"/>
        <v>0</v>
      </c>
      <c r="D565" s="300">
        <f>SAÍDAS!E34*(SAÍDAS!$Y34/100)</f>
        <v>0</v>
      </c>
      <c r="E565" s="300">
        <f>SAÍDAS!F34*(SAÍDAS!$Y34/100)</f>
        <v>0</v>
      </c>
      <c r="F565" s="300">
        <f>SAÍDAS!G34*(SAÍDAS!$Y34/100)</f>
        <v>0</v>
      </c>
      <c r="G565" s="300">
        <f>SAÍDAS!H34*(SAÍDAS!$Y34/100)</f>
        <v>0</v>
      </c>
      <c r="H565" s="300">
        <f>SAÍDAS!I34*(SAÍDAS!$Y34/100)</f>
        <v>0</v>
      </c>
      <c r="I565" s="300">
        <f>SAÍDAS!J34*(SAÍDAS!$Y34/100)</f>
        <v>0</v>
      </c>
      <c r="J565" s="300">
        <f>SAÍDAS!K34*(SAÍDAS!$Y34/100)</f>
        <v>0</v>
      </c>
      <c r="K565" s="300">
        <f>SAÍDAS!L34*(SAÍDAS!$Y34/100)</f>
        <v>0</v>
      </c>
      <c r="L565" s="300">
        <f>SAÍDAS!M34*(SAÍDAS!$Y34/100)</f>
        <v>0</v>
      </c>
      <c r="M565" s="300">
        <f>SAÍDAS!N34*(SAÍDAS!$Y34/100)</f>
        <v>0</v>
      </c>
      <c r="N565" s="300">
        <f>SAÍDAS!O34*(SAÍDAS!$Y34/100)</f>
        <v>0</v>
      </c>
      <c r="O565" s="300">
        <f>SAÍDAS!P34*(SAÍDAS!$Y34/100)</f>
        <v>0</v>
      </c>
      <c r="P565" s="300"/>
      <c r="Q565" s="678"/>
      <c r="R565" s="783"/>
      <c r="S565" s="783"/>
      <c r="T565" s="783"/>
      <c r="U565" s="783"/>
      <c r="V565" s="783"/>
      <c r="W565" s="783"/>
      <c r="X565" s="783"/>
      <c r="Y565" s="783"/>
    </row>
    <row r="566" spans="1:25" hidden="1" x14ac:dyDescent="0.25">
      <c r="A566" s="670"/>
      <c r="B566" s="739" t="str">
        <f>SAÍDAS!C35</f>
        <v>Alimentação</v>
      </c>
      <c r="C566" s="300">
        <f t="shared" si="178"/>
        <v>0</v>
      </c>
      <c r="D566" s="300">
        <f>SAÍDAS!E35*(SAÍDAS!$Y35/100)</f>
        <v>0</v>
      </c>
      <c r="E566" s="300">
        <f>SAÍDAS!F35*(SAÍDAS!$Y35/100)</f>
        <v>0</v>
      </c>
      <c r="F566" s="300">
        <f>SAÍDAS!G35*(SAÍDAS!$Y35/100)</f>
        <v>0</v>
      </c>
      <c r="G566" s="300">
        <f>SAÍDAS!H35*(SAÍDAS!$Y35/100)</f>
        <v>0</v>
      </c>
      <c r="H566" s="300">
        <f>SAÍDAS!I35*(SAÍDAS!$Y35/100)</f>
        <v>0</v>
      </c>
      <c r="I566" s="300">
        <f>SAÍDAS!J35*(SAÍDAS!$Y35/100)</f>
        <v>0</v>
      </c>
      <c r="J566" s="300">
        <f>SAÍDAS!K35*(SAÍDAS!$Y35/100)</f>
        <v>0</v>
      </c>
      <c r="K566" s="300">
        <f>SAÍDAS!L35*(SAÍDAS!$Y35/100)</f>
        <v>0</v>
      </c>
      <c r="L566" s="300">
        <f>SAÍDAS!M35*(SAÍDAS!$Y35/100)</f>
        <v>0</v>
      </c>
      <c r="M566" s="300">
        <f>SAÍDAS!N35*(SAÍDAS!$Y35/100)</f>
        <v>0</v>
      </c>
      <c r="N566" s="300">
        <f>SAÍDAS!O35*(SAÍDAS!$Y35/100)</f>
        <v>0</v>
      </c>
      <c r="O566" s="300">
        <f>SAÍDAS!P35*(SAÍDAS!$Y35/100)</f>
        <v>0</v>
      </c>
      <c r="P566" s="300"/>
      <c r="Q566" s="678"/>
      <c r="R566" s="783"/>
      <c r="S566" s="783"/>
      <c r="T566" s="783"/>
      <c r="U566" s="783"/>
      <c r="V566" s="783"/>
      <c r="W566" s="783"/>
      <c r="X566" s="783"/>
      <c r="Y566" s="783"/>
    </row>
    <row r="567" spans="1:25" hidden="1" x14ac:dyDescent="0.25">
      <c r="A567" s="670"/>
      <c r="B567" s="739" t="str">
        <f>SAÍDAS!C36</f>
        <v>Alimentação</v>
      </c>
      <c r="C567" s="300">
        <f t="shared" si="178"/>
        <v>0</v>
      </c>
      <c r="D567" s="300">
        <f>SAÍDAS!E36*(SAÍDAS!$Y36/100)</f>
        <v>0</v>
      </c>
      <c r="E567" s="300">
        <f>SAÍDAS!F36*(SAÍDAS!$Y36/100)</f>
        <v>0</v>
      </c>
      <c r="F567" s="300">
        <f>SAÍDAS!G36*(SAÍDAS!$Y36/100)</f>
        <v>0</v>
      </c>
      <c r="G567" s="300">
        <f>SAÍDAS!H36*(SAÍDAS!$Y36/100)</f>
        <v>0</v>
      </c>
      <c r="H567" s="300">
        <f>SAÍDAS!I36*(SAÍDAS!$Y36/100)</f>
        <v>0</v>
      </c>
      <c r="I567" s="300">
        <f>SAÍDAS!J36*(SAÍDAS!$Y36/100)</f>
        <v>0</v>
      </c>
      <c r="J567" s="300">
        <f>SAÍDAS!K36*(SAÍDAS!$Y36/100)</f>
        <v>0</v>
      </c>
      <c r="K567" s="300">
        <f>SAÍDAS!L36*(SAÍDAS!$Y36/100)</f>
        <v>0</v>
      </c>
      <c r="L567" s="300">
        <f>SAÍDAS!M36*(SAÍDAS!$Y36/100)</f>
        <v>0</v>
      </c>
      <c r="M567" s="300">
        <f>SAÍDAS!N36*(SAÍDAS!$Y36/100)</f>
        <v>0</v>
      </c>
      <c r="N567" s="300">
        <f>SAÍDAS!O36*(SAÍDAS!$Y36/100)</f>
        <v>0</v>
      </c>
      <c r="O567" s="300">
        <f>SAÍDAS!P36*(SAÍDAS!$Y36/100)</f>
        <v>0</v>
      </c>
      <c r="P567" s="300"/>
      <c r="Q567" s="678"/>
      <c r="R567" s="783"/>
      <c r="S567" s="783"/>
      <c r="T567" s="783"/>
      <c r="U567" s="783"/>
      <c r="V567" s="783"/>
      <c r="W567" s="783"/>
      <c r="X567" s="783"/>
      <c r="Y567" s="783"/>
    </row>
    <row r="568" spans="1:25" hidden="1" x14ac:dyDescent="0.25">
      <c r="A568" s="670"/>
      <c r="B568" s="739" t="str">
        <f>SAÍDAS!C37</f>
        <v>Alimentação</v>
      </c>
      <c r="C568" s="300">
        <f t="shared" si="178"/>
        <v>0</v>
      </c>
      <c r="D568" s="300">
        <f>SAÍDAS!E37*(SAÍDAS!$Y37/100)</f>
        <v>0</v>
      </c>
      <c r="E568" s="300">
        <f>SAÍDAS!F37*(SAÍDAS!$Y37/100)</f>
        <v>0</v>
      </c>
      <c r="F568" s="300">
        <f>SAÍDAS!G37*(SAÍDAS!$Y37/100)</f>
        <v>0</v>
      </c>
      <c r="G568" s="300">
        <f>SAÍDAS!H37*(SAÍDAS!$Y37/100)</f>
        <v>0</v>
      </c>
      <c r="H568" s="300">
        <f>SAÍDAS!I37*(SAÍDAS!$Y37/100)</f>
        <v>0</v>
      </c>
      <c r="I568" s="300">
        <f>SAÍDAS!J37*(SAÍDAS!$Y37/100)</f>
        <v>0</v>
      </c>
      <c r="J568" s="300">
        <f>SAÍDAS!K37*(SAÍDAS!$Y37/100)</f>
        <v>0</v>
      </c>
      <c r="K568" s="300">
        <f>SAÍDAS!L37*(SAÍDAS!$Y37/100)</f>
        <v>0</v>
      </c>
      <c r="L568" s="300">
        <f>SAÍDAS!M37*(SAÍDAS!$Y37/100)</f>
        <v>0</v>
      </c>
      <c r="M568" s="300">
        <f>SAÍDAS!N37*(SAÍDAS!$Y37/100)</f>
        <v>0</v>
      </c>
      <c r="N568" s="300">
        <f>SAÍDAS!O37*(SAÍDAS!$Y37/100)</f>
        <v>0</v>
      </c>
      <c r="O568" s="300">
        <f>SAÍDAS!P37*(SAÍDAS!$Y37/100)</f>
        <v>0</v>
      </c>
      <c r="P568" s="300"/>
      <c r="Q568" s="678"/>
      <c r="R568" s="783"/>
      <c r="S568" s="783"/>
      <c r="T568" s="783"/>
      <c r="U568" s="783"/>
      <c r="V568" s="783"/>
      <c r="W568" s="783"/>
      <c r="X568" s="783"/>
      <c r="Y568" s="783"/>
    </row>
    <row r="569" spans="1:25" hidden="1" x14ac:dyDescent="0.25">
      <c r="A569" s="670"/>
      <c r="B569" s="739" t="str">
        <f>SAÍDAS!C38</f>
        <v>Alimentação</v>
      </c>
      <c r="C569" s="300">
        <f t="shared" si="178"/>
        <v>0</v>
      </c>
      <c r="D569" s="300">
        <f>SAÍDAS!E38*(SAÍDAS!$Y38/100)</f>
        <v>0</v>
      </c>
      <c r="E569" s="300">
        <f>SAÍDAS!F38*(SAÍDAS!$Y38/100)</f>
        <v>0</v>
      </c>
      <c r="F569" s="300">
        <f>SAÍDAS!G38*(SAÍDAS!$Y38/100)</f>
        <v>0</v>
      </c>
      <c r="G569" s="300">
        <f>SAÍDAS!H38*(SAÍDAS!$Y38/100)</f>
        <v>0</v>
      </c>
      <c r="H569" s="300">
        <f>SAÍDAS!I38*(SAÍDAS!$Y38/100)</f>
        <v>0</v>
      </c>
      <c r="I569" s="300">
        <f>SAÍDAS!J38*(SAÍDAS!$Y38/100)</f>
        <v>0</v>
      </c>
      <c r="J569" s="300">
        <f>SAÍDAS!K38*(SAÍDAS!$Y38/100)</f>
        <v>0</v>
      </c>
      <c r="K569" s="300">
        <f>SAÍDAS!L38*(SAÍDAS!$Y38/100)</f>
        <v>0</v>
      </c>
      <c r="L569" s="300">
        <f>SAÍDAS!M38*(SAÍDAS!$Y38/100)</f>
        <v>0</v>
      </c>
      <c r="M569" s="300">
        <f>SAÍDAS!N38*(SAÍDAS!$Y38/100)</f>
        <v>0</v>
      </c>
      <c r="N569" s="300">
        <f>SAÍDAS!O38*(SAÍDAS!$Y38/100)</f>
        <v>0</v>
      </c>
      <c r="O569" s="300">
        <f>SAÍDAS!P38*(SAÍDAS!$Y38/100)</f>
        <v>0</v>
      </c>
      <c r="P569" s="300"/>
      <c r="Q569" s="678"/>
      <c r="R569" s="783"/>
      <c r="S569" s="783"/>
      <c r="T569" s="783"/>
      <c r="U569" s="783"/>
      <c r="V569" s="783"/>
      <c r="W569" s="783"/>
      <c r="X569" s="783"/>
      <c r="Y569" s="783"/>
    </row>
    <row r="570" spans="1:25" hidden="1" x14ac:dyDescent="0.25">
      <c r="A570" s="670"/>
      <c r="B570" s="739" t="str">
        <f>SAÍDAS!C39</f>
        <v>Alimentação</v>
      </c>
      <c r="C570" s="300">
        <f t="shared" si="178"/>
        <v>0</v>
      </c>
      <c r="D570" s="300">
        <f>SAÍDAS!E39*(SAÍDAS!$Y39/100)</f>
        <v>0</v>
      </c>
      <c r="E570" s="300">
        <f>SAÍDAS!F39*(SAÍDAS!$Y39/100)</f>
        <v>0</v>
      </c>
      <c r="F570" s="300">
        <f>SAÍDAS!G39*(SAÍDAS!$Y39/100)</f>
        <v>0</v>
      </c>
      <c r="G570" s="300">
        <f>SAÍDAS!H39*(SAÍDAS!$Y39/100)</f>
        <v>0</v>
      </c>
      <c r="H570" s="300">
        <f>SAÍDAS!I39*(SAÍDAS!$Y39/100)</f>
        <v>0</v>
      </c>
      <c r="I570" s="300">
        <f>SAÍDAS!J39*(SAÍDAS!$Y39/100)</f>
        <v>0</v>
      </c>
      <c r="J570" s="300">
        <f>SAÍDAS!K39*(SAÍDAS!$Y39/100)</f>
        <v>0</v>
      </c>
      <c r="K570" s="300">
        <f>SAÍDAS!L39*(SAÍDAS!$Y39/100)</f>
        <v>0</v>
      </c>
      <c r="L570" s="300">
        <f>SAÍDAS!M39*(SAÍDAS!$Y39/100)</f>
        <v>0</v>
      </c>
      <c r="M570" s="300">
        <f>SAÍDAS!N39*(SAÍDAS!$Y39/100)</f>
        <v>0</v>
      </c>
      <c r="N570" s="300">
        <f>SAÍDAS!O39*(SAÍDAS!$Y39/100)</f>
        <v>0</v>
      </c>
      <c r="O570" s="300">
        <f>SAÍDAS!P39*(SAÍDAS!$Y39/100)</f>
        <v>0</v>
      </c>
      <c r="P570" s="300"/>
      <c r="Q570" s="678"/>
      <c r="R570" s="783"/>
      <c r="S570" s="783"/>
      <c r="T570" s="783"/>
      <c r="U570" s="783"/>
      <c r="V570" s="783"/>
      <c r="W570" s="783"/>
      <c r="X570" s="783"/>
      <c r="Y570" s="783"/>
    </row>
    <row r="571" spans="1:25" hidden="1" x14ac:dyDescent="0.25">
      <c r="A571" s="670"/>
      <c r="B571" s="739" t="str">
        <f>SAÍDAS!C40</f>
        <v>Alimentação</v>
      </c>
      <c r="C571" s="300">
        <f t="shared" si="178"/>
        <v>0</v>
      </c>
      <c r="D571" s="300">
        <f>SAÍDAS!E40*(SAÍDAS!$Y40/100)</f>
        <v>0</v>
      </c>
      <c r="E571" s="300">
        <f>SAÍDAS!F40*(SAÍDAS!$Y40/100)</f>
        <v>0</v>
      </c>
      <c r="F571" s="300">
        <f>SAÍDAS!G40*(SAÍDAS!$Y40/100)</f>
        <v>0</v>
      </c>
      <c r="G571" s="300">
        <f>SAÍDAS!H40*(SAÍDAS!$Y40/100)</f>
        <v>0</v>
      </c>
      <c r="H571" s="300">
        <f>SAÍDAS!I40*(SAÍDAS!$Y40/100)</f>
        <v>0</v>
      </c>
      <c r="I571" s="300">
        <f>SAÍDAS!J40*(SAÍDAS!$Y40/100)</f>
        <v>0</v>
      </c>
      <c r="J571" s="300">
        <f>SAÍDAS!K40*(SAÍDAS!$Y40/100)</f>
        <v>0</v>
      </c>
      <c r="K571" s="300">
        <f>SAÍDAS!L40*(SAÍDAS!$Y40/100)</f>
        <v>0</v>
      </c>
      <c r="L571" s="300">
        <f>SAÍDAS!M40*(SAÍDAS!$Y40/100)</f>
        <v>0</v>
      </c>
      <c r="M571" s="300">
        <f>SAÍDAS!N40*(SAÍDAS!$Y40/100)</f>
        <v>0</v>
      </c>
      <c r="N571" s="300">
        <f>SAÍDAS!O40*(SAÍDAS!$Y40/100)</f>
        <v>0</v>
      </c>
      <c r="O571" s="300">
        <f>SAÍDAS!P40*(SAÍDAS!$Y40/100)</f>
        <v>0</v>
      </c>
      <c r="P571" s="300"/>
      <c r="Q571" s="678"/>
      <c r="R571" s="783"/>
      <c r="S571" s="783"/>
      <c r="T571" s="783"/>
      <c r="U571" s="783"/>
      <c r="V571" s="783"/>
      <c r="W571" s="783"/>
      <c r="X571" s="783"/>
      <c r="Y571" s="783"/>
    </row>
    <row r="572" spans="1:25" hidden="1" x14ac:dyDescent="0.25">
      <c r="A572" s="670"/>
      <c r="B572" s="739" t="str">
        <f>SAÍDAS!C41</f>
        <v>Alimentação</v>
      </c>
      <c r="C572" s="300">
        <f t="shared" si="178"/>
        <v>0</v>
      </c>
      <c r="D572" s="300">
        <f>SAÍDAS!E41*(SAÍDAS!$Y41/100)</f>
        <v>0</v>
      </c>
      <c r="E572" s="300">
        <f>SAÍDAS!F41*(SAÍDAS!$Y41/100)</f>
        <v>0</v>
      </c>
      <c r="F572" s="300">
        <f>SAÍDAS!G41*(SAÍDAS!$Y41/100)</f>
        <v>0</v>
      </c>
      <c r="G572" s="300">
        <f>SAÍDAS!H41*(SAÍDAS!$Y41/100)</f>
        <v>0</v>
      </c>
      <c r="H572" s="300">
        <f>SAÍDAS!I41*(SAÍDAS!$Y41/100)</f>
        <v>0</v>
      </c>
      <c r="I572" s="300">
        <f>SAÍDAS!J41*(SAÍDAS!$Y41/100)</f>
        <v>0</v>
      </c>
      <c r="J572" s="300">
        <f>SAÍDAS!K41*(SAÍDAS!$Y41/100)</f>
        <v>0</v>
      </c>
      <c r="K572" s="300">
        <f>SAÍDAS!L41*(SAÍDAS!$Y41/100)</f>
        <v>0</v>
      </c>
      <c r="L572" s="300">
        <f>SAÍDAS!M41*(SAÍDAS!$Y41/100)</f>
        <v>0</v>
      </c>
      <c r="M572" s="300">
        <f>SAÍDAS!N41*(SAÍDAS!$Y41/100)</f>
        <v>0</v>
      </c>
      <c r="N572" s="300">
        <f>SAÍDAS!O41*(SAÍDAS!$Y41/100)</f>
        <v>0</v>
      </c>
      <c r="O572" s="300">
        <f>SAÍDAS!P41*(SAÍDAS!$Y41/100)</f>
        <v>0</v>
      </c>
      <c r="P572" s="300"/>
      <c r="Q572" s="678"/>
      <c r="R572" s="783"/>
      <c r="S572" s="783"/>
      <c r="T572" s="783"/>
      <c r="U572" s="783"/>
      <c r="V572" s="783"/>
      <c r="W572" s="783"/>
      <c r="X572" s="783"/>
      <c r="Y572" s="783"/>
    </row>
    <row r="573" spans="1:25" hidden="1" x14ac:dyDescent="0.25">
      <c r="A573" s="670"/>
      <c r="B573" s="739" t="str">
        <f>SAÍDAS!C42</f>
        <v>Alimentação</v>
      </c>
      <c r="C573" s="300">
        <f t="shared" si="178"/>
        <v>0</v>
      </c>
      <c r="D573" s="300">
        <f>SAÍDAS!E42*(SAÍDAS!$Y42/100)</f>
        <v>0</v>
      </c>
      <c r="E573" s="300">
        <f>SAÍDAS!F42*(SAÍDAS!$Y42/100)</f>
        <v>0</v>
      </c>
      <c r="F573" s="300">
        <f>SAÍDAS!G42*(SAÍDAS!$Y42/100)</f>
        <v>0</v>
      </c>
      <c r="G573" s="300">
        <f>SAÍDAS!H42*(SAÍDAS!$Y42/100)</f>
        <v>0</v>
      </c>
      <c r="H573" s="300">
        <f>SAÍDAS!I42*(SAÍDAS!$Y42/100)</f>
        <v>0</v>
      </c>
      <c r="I573" s="300">
        <f>SAÍDAS!J42*(SAÍDAS!$Y42/100)</f>
        <v>0</v>
      </c>
      <c r="J573" s="300">
        <f>SAÍDAS!K42*(SAÍDAS!$Y42/100)</f>
        <v>0</v>
      </c>
      <c r="K573" s="300">
        <f>SAÍDAS!L42*(SAÍDAS!$Y42/100)</f>
        <v>0</v>
      </c>
      <c r="L573" s="300">
        <f>SAÍDAS!M42*(SAÍDAS!$Y42/100)</f>
        <v>0</v>
      </c>
      <c r="M573" s="300">
        <f>SAÍDAS!N42*(SAÍDAS!$Y42/100)</f>
        <v>0</v>
      </c>
      <c r="N573" s="300">
        <f>SAÍDAS!O42*(SAÍDAS!$Y42/100)</f>
        <v>0</v>
      </c>
      <c r="O573" s="300">
        <f>SAÍDAS!P42*(SAÍDAS!$Y42/100)</f>
        <v>0</v>
      </c>
      <c r="P573" s="300"/>
      <c r="Q573" s="678"/>
      <c r="R573" s="783"/>
      <c r="S573" s="783"/>
      <c r="T573" s="783"/>
      <c r="U573" s="783"/>
      <c r="V573" s="783"/>
      <c r="W573" s="783"/>
      <c r="X573" s="783"/>
      <c r="Y573" s="783"/>
    </row>
    <row r="574" spans="1:25" hidden="1" x14ac:dyDescent="0.25">
      <c r="A574" s="670"/>
      <c r="B574" s="739" t="str">
        <f>SAÍDAS!C43</f>
        <v>Alimentação</v>
      </c>
      <c r="C574" s="300">
        <f t="shared" si="178"/>
        <v>0</v>
      </c>
      <c r="D574" s="300">
        <f>SAÍDAS!E43*(SAÍDAS!$Y43/100)</f>
        <v>0</v>
      </c>
      <c r="E574" s="300">
        <f>SAÍDAS!F43*(SAÍDAS!$Y43/100)</f>
        <v>0</v>
      </c>
      <c r="F574" s="300">
        <f>SAÍDAS!G43*(SAÍDAS!$Y43/100)</f>
        <v>0</v>
      </c>
      <c r="G574" s="300">
        <f>SAÍDAS!H43*(SAÍDAS!$Y43/100)</f>
        <v>0</v>
      </c>
      <c r="H574" s="300">
        <f>SAÍDAS!I43*(SAÍDAS!$Y43/100)</f>
        <v>0</v>
      </c>
      <c r="I574" s="300">
        <f>SAÍDAS!J43*(SAÍDAS!$Y43/100)</f>
        <v>0</v>
      </c>
      <c r="J574" s="300">
        <f>SAÍDAS!K43*(SAÍDAS!$Y43/100)</f>
        <v>0</v>
      </c>
      <c r="K574" s="300">
        <f>SAÍDAS!L43*(SAÍDAS!$Y43/100)</f>
        <v>0</v>
      </c>
      <c r="L574" s="300">
        <f>SAÍDAS!M43*(SAÍDAS!$Y43/100)</f>
        <v>0</v>
      </c>
      <c r="M574" s="300">
        <f>SAÍDAS!N43*(SAÍDAS!$Y43/100)</f>
        <v>0</v>
      </c>
      <c r="N574" s="300">
        <f>SAÍDAS!O43*(SAÍDAS!$Y43/100)</f>
        <v>0</v>
      </c>
      <c r="O574" s="300">
        <f>SAÍDAS!P43*(SAÍDAS!$Y43/100)</f>
        <v>0</v>
      </c>
      <c r="P574" s="300"/>
      <c r="Q574" s="678"/>
      <c r="R574" s="783"/>
      <c r="S574" s="783"/>
      <c r="T574" s="783"/>
      <c r="U574" s="783"/>
      <c r="V574" s="783"/>
      <c r="W574" s="783"/>
      <c r="X574" s="783"/>
      <c r="Y574" s="783"/>
    </row>
    <row r="575" spans="1:25" hidden="1" x14ac:dyDescent="0.25">
      <c r="A575" s="670"/>
      <c r="B575" s="739" t="str">
        <f>SAÍDAS!C44</f>
        <v>Alimentação</v>
      </c>
      <c r="C575" s="300">
        <f t="shared" si="178"/>
        <v>0</v>
      </c>
      <c r="D575" s="300">
        <f>SAÍDAS!E44*(SAÍDAS!$Y44/100)</f>
        <v>0</v>
      </c>
      <c r="E575" s="300">
        <f>SAÍDAS!F44*(SAÍDAS!$Y44/100)</f>
        <v>0</v>
      </c>
      <c r="F575" s="300">
        <f>SAÍDAS!G44*(SAÍDAS!$Y44/100)</f>
        <v>0</v>
      </c>
      <c r="G575" s="300">
        <f>SAÍDAS!H44*(SAÍDAS!$Y44/100)</f>
        <v>0</v>
      </c>
      <c r="H575" s="300">
        <f>SAÍDAS!I44*(SAÍDAS!$Y44/100)</f>
        <v>0</v>
      </c>
      <c r="I575" s="300">
        <f>SAÍDAS!J44*(SAÍDAS!$Y44/100)</f>
        <v>0</v>
      </c>
      <c r="J575" s="300">
        <f>SAÍDAS!K44*(SAÍDAS!$Y44/100)</f>
        <v>0</v>
      </c>
      <c r="K575" s="300">
        <f>SAÍDAS!L44*(SAÍDAS!$Y44/100)</f>
        <v>0</v>
      </c>
      <c r="L575" s="300">
        <f>SAÍDAS!M44*(SAÍDAS!$Y44/100)</f>
        <v>0</v>
      </c>
      <c r="M575" s="300">
        <f>SAÍDAS!N44*(SAÍDAS!$Y44/100)</f>
        <v>0</v>
      </c>
      <c r="N575" s="300">
        <f>SAÍDAS!O44*(SAÍDAS!$Y44/100)</f>
        <v>0</v>
      </c>
      <c r="O575" s="300">
        <f>SAÍDAS!P44*(SAÍDAS!$Y44/100)</f>
        <v>0</v>
      </c>
      <c r="P575" s="300"/>
      <c r="Q575" s="678"/>
      <c r="R575" s="783"/>
      <c r="S575" s="783"/>
      <c r="T575" s="783"/>
      <c r="U575" s="783"/>
      <c r="V575" s="783"/>
      <c r="W575" s="783"/>
      <c r="X575" s="783"/>
      <c r="Y575" s="783"/>
    </row>
    <row r="576" spans="1:25" hidden="1" x14ac:dyDescent="0.25">
      <c r="A576" s="670"/>
      <c r="B576" s="739" t="str">
        <f>SAÍDAS!C45</f>
        <v>Alimentação</v>
      </c>
      <c r="C576" s="300">
        <f t="shared" si="178"/>
        <v>0</v>
      </c>
      <c r="D576" s="300">
        <f>SAÍDAS!E45*(SAÍDAS!$Y45/100)</f>
        <v>0</v>
      </c>
      <c r="E576" s="300">
        <f>SAÍDAS!F45*(SAÍDAS!$Y45/100)</f>
        <v>0</v>
      </c>
      <c r="F576" s="300">
        <f>SAÍDAS!G45*(SAÍDAS!$Y45/100)</f>
        <v>0</v>
      </c>
      <c r="G576" s="300">
        <f>SAÍDAS!H45*(SAÍDAS!$Y45/100)</f>
        <v>0</v>
      </c>
      <c r="H576" s="300">
        <f>SAÍDAS!I45*(SAÍDAS!$Y45/100)</f>
        <v>0</v>
      </c>
      <c r="I576" s="300">
        <f>SAÍDAS!J45*(SAÍDAS!$Y45/100)</f>
        <v>0</v>
      </c>
      <c r="J576" s="300">
        <f>SAÍDAS!K45*(SAÍDAS!$Y45/100)</f>
        <v>0</v>
      </c>
      <c r="K576" s="300">
        <f>SAÍDAS!L45*(SAÍDAS!$Y45/100)</f>
        <v>0</v>
      </c>
      <c r="L576" s="300">
        <f>SAÍDAS!M45*(SAÍDAS!$Y45/100)</f>
        <v>0</v>
      </c>
      <c r="M576" s="300">
        <f>SAÍDAS!N45*(SAÍDAS!$Y45/100)</f>
        <v>0</v>
      </c>
      <c r="N576" s="300">
        <f>SAÍDAS!O45*(SAÍDAS!$Y45/100)</f>
        <v>0</v>
      </c>
      <c r="O576" s="300">
        <f>SAÍDAS!P45*(SAÍDAS!$Y45/100)</f>
        <v>0</v>
      </c>
      <c r="P576" s="300"/>
      <c r="Q576" s="678"/>
      <c r="R576" s="783"/>
      <c r="S576" s="783"/>
      <c r="T576" s="783"/>
      <c r="U576" s="783"/>
      <c r="V576" s="783"/>
      <c r="W576" s="783"/>
      <c r="X576" s="783"/>
      <c r="Y576" s="783"/>
    </row>
    <row r="577" spans="1:25" hidden="1" x14ac:dyDescent="0.25">
      <c r="A577" s="670"/>
      <c r="B577" s="739" t="str">
        <f>SAÍDAS!C46</f>
        <v>Manutenção de Forragem</v>
      </c>
      <c r="C577" s="300">
        <f t="shared" si="178"/>
        <v>0</v>
      </c>
      <c r="D577" s="300">
        <f>SAÍDAS!E46*(SAÍDAS!$Y46/100)</f>
        <v>0</v>
      </c>
      <c r="E577" s="300">
        <f>SAÍDAS!F46*(SAÍDAS!$Y46/100)</f>
        <v>0</v>
      </c>
      <c r="F577" s="300">
        <f>SAÍDAS!G46*(SAÍDAS!$Y46/100)</f>
        <v>0</v>
      </c>
      <c r="G577" s="300">
        <f>SAÍDAS!H46*(SAÍDAS!$Y46/100)</f>
        <v>0</v>
      </c>
      <c r="H577" s="300">
        <f>SAÍDAS!I46*(SAÍDAS!$Y46/100)</f>
        <v>0</v>
      </c>
      <c r="I577" s="300">
        <f>SAÍDAS!J46*(SAÍDAS!$Y46/100)</f>
        <v>0</v>
      </c>
      <c r="J577" s="300">
        <f>SAÍDAS!K46*(SAÍDAS!$Y46/100)</f>
        <v>0</v>
      </c>
      <c r="K577" s="300">
        <f>SAÍDAS!L46*(SAÍDAS!$Y46/100)</f>
        <v>0</v>
      </c>
      <c r="L577" s="300">
        <f>SAÍDAS!M46*(SAÍDAS!$Y46/100)</f>
        <v>0</v>
      </c>
      <c r="M577" s="300">
        <f>SAÍDAS!N46*(SAÍDAS!$Y46/100)</f>
        <v>0</v>
      </c>
      <c r="N577" s="300">
        <f>SAÍDAS!O46*(SAÍDAS!$Y46/100)</f>
        <v>0</v>
      </c>
      <c r="O577" s="300">
        <f>SAÍDAS!P46*(SAÍDAS!$Y46/100)</f>
        <v>0</v>
      </c>
      <c r="P577" s="300"/>
      <c r="Q577" s="678"/>
      <c r="R577" s="783"/>
      <c r="S577" s="783"/>
      <c r="T577" s="783"/>
      <c r="U577" s="783"/>
      <c r="V577" s="783"/>
      <c r="W577" s="783"/>
      <c r="X577" s="783"/>
      <c r="Y577" s="783"/>
    </row>
    <row r="578" spans="1:25" hidden="1" x14ac:dyDescent="0.25">
      <c r="A578" s="670"/>
      <c r="B578" s="739" t="str">
        <f>SAÍDAS!C47</f>
        <v>Manutenção de Forragem</v>
      </c>
      <c r="C578" s="300">
        <f t="shared" si="178"/>
        <v>0</v>
      </c>
      <c r="D578" s="300">
        <f>SAÍDAS!E47*(SAÍDAS!$Y47/100)</f>
        <v>0</v>
      </c>
      <c r="E578" s="300">
        <f>SAÍDAS!F47*(SAÍDAS!$Y47/100)</f>
        <v>0</v>
      </c>
      <c r="F578" s="300">
        <f>SAÍDAS!G47*(SAÍDAS!$Y47/100)</f>
        <v>0</v>
      </c>
      <c r="G578" s="300">
        <f>SAÍDAS!H47*(SAÍDAS!$Y47/100)</f>
        <v>0</v>
      </c>
      <c r="H578" s="300">
        <f>SAÍDAS!I47*(SAÍDAS!$Y47/100)</f>
        <v>0</v>
      </c>
      <c r="I578" s="300">
        <f>SAÍDAS!J47*(SAÍDAS!$Y47/100)</f>
        <v>0</v>
      </c>
      <c r="J578" s="300">
        <f>SAÍDAS!K47*(SAÍDAS!$Y47/100)</f>
        <v>0</v>
      </c>
      <c r="K578" s="300">
        <f>SAÍDAS!L47*(SAÍDAS!$Y47/100)</f>
        <v>0</v>
      </c>
      <c r="L578" s="300">
        <f>SAÍDAS!M47*(SAÍDAS!$Y47/100)</f>
        <v>0</v>
      </c>
      <c r="M578" s="300">
        <f>SAÍDAS!N47*(SAÍDAS!$Y47/100)</f>
        <v>0</v>
      </c>
      <c r="N578" s="300">
        <f>SAÍDAS!O47*(SAÍDAS!$Y47/100)</f>
        <v>0</v>
      </c>
      <c r="O578" s="300">
        <f>SAÍDAS!P47*(SAÍDAS!$Y47/100)</f>
        <v>0</v>
      </c>
      <c r="P578" s="300"/>
      <c r="Q578" s="678"/>
      <c r="R578" s="783"/>
      <c r="S578" s="783"/>
      <c r="T578" s="783"/>
      <c r="U578" s="783"/>
      <c r="V578" s="783"/>
      <c r="W578" s="783"/>
      <c r="X578" s="783"/>
      <c r="Y578" s="783"/>
    </row>
    <row r="579" spans="1:25" hidden="1" x14ac:dyDescent="0.25">
      <c r="A579" s="670"/>
      <c r="B579" s="739" t="str">
        <f>SAÍDAS!C48</f>
        <v>Manutenção de Forragem</v>
      </c>
      <c r="C579" s="300">
        <f t="shared" si="178"/>
        <v>0</v>
      </c>
      <c r="D579" s="300">
        <f>SAÍDAS!E48*(SAÍDAS!$Y48/100)</f>
        <v>0</v>
      </c>
      <c r="E579" s="300">
        <f>SAÍDAS!F48*(SAÍDAS!$Y48/100)</f>
        <v>0</v>
      </c>
      <c r="F579" s="300">
        <f>SAÍDAS!G48*(SAÍDAS!$Y48/100)</f>
        <v>0</v>
      </c>
      <c r="G579" s="300">
        <f>SAÍDAS!H48*(SAÍDAS!$Y48/100)</f>
        <v>0</v>
      </c>
      <c r="H579" s="300">
        <f>SAÍDAS!I48*(SAÍDAS!$Y48/100)</f>
        <v>0</v>
      </c>
      <c r="I579" s="300">
        <f>SAÍDAS!J48*(SAÍDAS!$Y48/100)</f>
        <v>0</v>
      </c>
      <c r="J579" s="300">
        <f>SAÍDAS!K48*(SAÍDAS!$Y48/100)</f>
        <v>0</v>
      </c>
      <c r="K579" s="300">
        <f>SAÍDAS!L48*(SAÍDAS!$Y48/100)</f>
        <v>0</v>
      </c>
      <c r="L579" s="300">
        <f>SAÍDAS!M48*(SAÍDAS!$Y48/100)</f>
        <v>0</v>
      </c>
      <c r="M579" s="300">
        <f>SAÍDAS!N48*(SAÍDAS!$Y48/100)</f>
        <v>0</v>
      </c>
      <c r="N579" s="300">
        <f>SAÍDAS!O48*(SAÍDAS!$Y48/100)</f>
        <v>0</v>
      </c>
      <c r="O579" s="300">
        <f>SAÍDAS!P48*(SAÍDAS!$Y48/100)</f>
        <v>0</v>
      </c>
      <c r="P579" s="300"/>
      <c r="Q579" s="678"/>
      <c r="R579" s="783"/>
      <c r="S579" s="783"/>
      <c r="T579" s="783"/>
      <c r="U579" s="783"/>
      <c r="V579" s="783"/>
      <c r="W579" s="783"/>
      <c r="X579" s="783"/>
      <c r="Y579" s="783"/>
    </row>
    <row r="580" spans="1:25" hidden="1" x14ac:dyDescent="0.25">
      <c r="A580" s="670"/>
      <c r="B580" s="739" t="str">
        <f>SAÍDAS!C49</f>
        <v>Manutenção de Forragem</v>
      </c>
      <c r="C580" s="300">
        <f t="shared" si="178"/>
        <v>0</v>
      </c>
      <c r="D580" s="300">
        <f>SAÍDAS!E49*(SAÍDAS!$Y49/100)</f>
        <v>0</v>
      </c>
      <c r="E580" s="300">
        <f>SAÍDAS!F49*(SAÍDAS!$Y49/100)</f>
        <v>0</v>
      </c>
      <c r="F580" s="300">
        <f>SAÍDAS!G49*(SAÍDAS!$Y49/100)</f>
        <v>0</v>
      </c>
      <c r="G580" s="300">
        <f>SAÍDAS!H49*(SAÍDAS!$Y49/100)</f>
        <v>0</v>
      </c>
      <c r="H580" s="300">
        <f>SAÍDAS!I49*(SAÍDAS!$Y49/100)</f>
        <v>0</v>
      </c>
      <c r="I580" s="300">
        <f>SAÍDAS!J49*(SAÍDAS!$Y49/100)</f>
        <v>0</v>
      </c>
      <c r="J580" s="300">
        <f>SAÍDAS!K49*(SAÍDAS!$Y49/100)</f>
        <v>0</v>
      </c>
      <c r="K580" s="300">
        <f>SAÍDAS!L49*(SAÍDAS!$Y49/100)</f>
        <v>0</v>
      </c>
      <c r="L580" s="300">
        <f>SAÍDAS!M49*(SAÍDAS!$Y49/100)</f>
        <v>0</v>
      </c>
      <c r="M580" s="300">
        <f>SAÍDAS!N49*(SAÍDAS!$Y49/100)</f>
        <v>0</v>
      </c>
      <c r="N580" s="300">
        <f>SAÍDAS!O49*(SAÍDAS!$Y49/100)</f>
        <v>0</v>
      </c>
      <c r="O580" s="300">
        <f>SAÍDAS!P49*(SAÍDAS!$Y49/100)</f>
        <v>0</v>
      </c>
      <c r="P580" s="300"/>
      <c r="Q580" s="678"/>
      <c r="R580" s="783"/>
      <c r="S580" s="783"/>
      <c r="T580" s="783"/>
      <c r="U580" s="783"/>
      <c r="V580" s="783"/>
      <c r="W580" s="783"/>
      <c r="X580" s="783"/>
      <c r="Y580" s="783"/>
    </row>
    <row r="581" spans="1:25" hidden="1" x14ac:dyDescent="0.25">
      <c r="A581" s="670"/>
      <c r="B581" s="739" t="str">
        <f>SAÍDAS!C50</f>
        <v>Reprodução</v>
      </c>
      <c r="C581" s="300">
        <f t="shared" si="178"/>
        <v>0</v>
      </c>
      <c r="D581" s="300">
        <f>SAÍDAS!E50*(SAÍDAS!$Y50/100)</f>
        <v>0</v>
      </c>
      <c r="E581" s="300">
        <f>SAÍDAS!F50*(SAÍDAS!$Y50/100)</f>
        <v>0</v>
      </c>
      <c r="F581" s="300">
        <f>SAÍDAS!G50*(SAÍDAS!$Y50/100)</f>
        <v>0</v>
      </c>
      <c r="G581" s="300">
        <f>SAÍDAS!H50*(SAÍDAS!$Y50/100)</f>
        <v>0</v>
      </c>
      <c r="H581" s="300">
        <f>SAÍDAS!I50*(SAÍDAS!$Y50/100)</f>
        <v>0</v>
      </c>
      <c r="I581" s="300">
        <f>SAÍDAS!J50*(SAÍDAS!$Y50/100)</f>
        <v>0</v>
      </c>
      <c r="J581" s="300">
        <f>SAÍDAS!K50*(SAÍDAS!$Y50/100)</f>
        <v>0</v>
      </c>
      <c r="K581" s="300">
        <f>SAÍDAS!L50*(SAÍDAS!$Y50/100)</f>
        <v>0</v>
      </c>
      <c r="L581" s="300">
        <f>SAÍDAS!M50*(SAÍDAS!$Y50/100)</f>
        <v>0</v>
      </c>
      <c r="M581" s="300">
        <f>SAÍDAS!N50*(SAÍDAS!$Y50/100)</f>
        <v>0</v>
      </c>
      <c r="N581" s="300">
        <f>SAÍDAS!O50*(SAÍDAS!$Y50/100)</f>
        <v>0</v>
      </c>
      <c r="O581" s="300">
        <f>SAÍDAS!P50*(SAÍDAS!$Y50/100)</f>
        <v>0</v>
      </c>
      <c r="P581" s="300"/>
      <c r="Q581" s="678"/>
      <c r="R581" s="783"/>
      <c r="S581" s="783"/>
      <c r="T581" s="783"/>
      <c r="U581" s="783"/>
      <c r="V581" s="783"/>
      <c r="W581" s="783"/>
      <c r="X581" s="783"/>
      <c r="Y581" s="783"/>
    </row>
    <row r="582" spans="1:25" hidden="1" x14ac:dyDescent="0.25">
      <c r="A582" s="670"/>
      <c r="B582" s="739" t="str">
        <f>SAÍDAS!C51</f>
        <v>Reprodução</v>
      </c>
      <c r="C582" s="300">
        <f t="shared" si="178"/>
        <v>0</v>
      </c>
      <c r="D582" s="300">
        <f>SAÍDAS!E51*(SAÍDAS!$Y51/100)</f>
        <v>0</v>
      </c>
      <c r="E582" s="300">
        <f>SAÍDAS!F51*(SAÍDAS!$Y51/100)</f>
        <v>0</v>
      </c>
      <c r="F582" s="300">
        <f>SAÍDAS!G51*(SAÍDAS!$Y51/100)</f>
        <v>0</v>
      </c>
      <c r="G582" s="300">
        <f>SAÍDAS!H51*(SAÍDAS!$Y51/100)</f>
        <v>0</v>
      </c>
      <c r="H582" s="300">
        <f>SAÍDAS!I51*(SAÍDAS!$Y51/100)</f>
        <v>0</v>
      </c>
      <c r="I582" s="300">
        <f>SAÍDAS!J51*(SAÍDAS!$Y51/100)</f>
        <v>0</v>
      </c>
      <c r="J582" s="300">
        <f>SAÍDAS!K51*(SAÍDAS!$Y51/100)</f>
        <v>0</v>
      </c>
      <c r="K582" s="300">
        <f>SAÍDAS!L51*(SAÍDAS!$Y51/100)</f>
        <v>0</v>
      </c>
      <c r="L582" s="300">
        <f>SAÍDAS!M51*(SAÍDAS!$Y51/100)</f>
        <v>0</v>
      </c>
      <c r="M582" s="300">
        <f>SAÍDAS!N51*(SAÍDAS!$Y51/100)</f>
        <v>0</v>
      </c>
      <c r="N582" s="300">
        <f>SAÍDAS!O51*(SAÍDAS!$Y51/100)</f>
        <v>0</v>
      </c>
      <c r="O582" s="300">
        <f>SAÍDAS!P51*(SAÍDAS!$Y51/100)</f>
        <v>0</v>
      </c>
      <c r="P582" s="300"/>
      <c r="Q582" s="678"/>
      <c r="R582" s="783"/>
      <c r="S582" s="783"/>
      <c r="T582" s="783"/>
      <c r="U582" s="783"/>
      <c r="V582" s="783"/>
      <c r="W582" s="783"/>
      <c r="X582" s="783"/>
      <c r="Y582" s="783"/>
    </row>
    <row r="583" spans="1:25" hidden="1" x14ac:dyDescent="0.25">
      <c r="A583" s="670"/>
      <c r="B583" s="739" t="str">
        <f>SAÍDAS!C52</f>
        <v>Sanidade</v>
      </c>
      <c r="C583" s="300">
        <f t="shared" si="178"/>
        <v>0</v>
      </c>
      <c r="D583" s="300">
        <f>SAÍDAS!E52*(SAÍDAS!$Y52/100)</f>
        <v>0</v>
      </c>
      <c r="E583" s="300">
        <f>SAÍDAS!F52*(SAÍDAS!$Y52/100)</f>
        <v>0</v>
      </c>
      <c r="F583" s="300">
        <f>SAÍDAS!G52*(SAÍDAS!$Y52/100)</f>
        <v>0</v>
      </c>
      <c r="G583" s="300">
        <f>SAÍDAS!H52*(SAÍDAS!$Y52/100)</f>
        <v>0</v>
      </c>
      <c r="H583" s="300">
        <f>SAÍDAS!I52*(SAÍDAS!$Y52/100)</f>
        <v>0</v>
      </c>
      <c r="I583" s="300">
        <f>SAÍDAS!J52*(SAÍDAS!$Y52/100)</f>
        <v>0</v>
      </c>
      <c r="J583" s="300">
        <f>SAÍDAS!K52*(SAÍDAS!$Y52/100)</f>
        <v>0</v>
      </c>
      <c r="K583" s="300">
        <f>SAÍDAS!L52*(SAÍDAS!$Y52/100)</f>
        <v>0</v>
      </c>
      <c r="L583" s="300">
        <f>SAÍDAS!M52*(SAÍDAS!$Y52/100)</f>
        <v>0</v>
      </c>
      <c r="M583" s="300">
        <f>SAÍDAS!N52*(SAÍDAS!$Y52/100)</f>
        <v>0</v>
      </c>
      <c r="N583" s="300">
        <f>SAÍDAS!O52*(SAÍDAS!$Y52/100)</f>
        <v>0</v>
      </c>
      <c r="O583" s="300">
        <f>SAÍDAS!P52*(SAÍDAS!$Y52/100)</f>
        <v>0</v>
      </c>
      <c r="P583" s="300"/>
      <c r="Q583" s="678"/>
      <c r="R583" s="783"/>
      <c r="S583" s="783"/>
      <c r="T583" s="783"/>
      <c r="U583" s="783"/>
      <c r="V583" s="783"/>
      <c r="W583" s="783"/>
      <c r="X583" s="783"/>
      <c r="Y583" s="783"/>
    </row>
    <row r="584" spans="1:25" hidden="1" x14ac:dyDescent="0.25">
      <c r="A584" s="670"/>
      <c r="B584" s="739" t="str">
        <f>SAÍDAS!C53</f>
        <v>Sanidade</v>
      </c>
      <c r="C584" s="300">
        <f t="shared" si="178"/>
        <v>0</v>
      </c>
      <c r="D584" s="300">
        <f>SAÍDAS!E53*(SAÍDAS!$Y53/100)</f>
        <v>0</v>
      </c>
      <c r="E584" s="300">
        <f>SAÍDAS!F53*(SAÍDAS!$Y53/100)</f>
        <v>0</v>
      </c>
      <c r="F584" s="300">
        <f>SAÍDAS!G53*(SAÍDAS!$Y53/100)</f>
        <v>0</v>
      </c>
      <c r="G584" s="300">
        <f>SAÍDAS!H53*(SAÍDAS!$Y53/100)</f>
        <v>0</v>
      </c>
      <c r="H584" s="300">
        <f>SAÍDAS!I53*(SAÍDAS!$Y53/100)</f>
        <v>0</v>
      </c>
      <c r="I584" s="300">
        <f>SAÍDAS!J53*(SAÍDAS!$Y53/100)</f>
        <v>0</v>
      </c>
      <c r="J584" s="300">
        <f>SAÍDAS!K53*(SAÍDAS!$Y53/100)</f>
        <v>0</v>
      </c>
      <c r="K584" s="300">
        <f>SAÍDAS!L53*(SAÍDAS!$Y53/100)</f>
        <v>0</v>
      </c>
      <c r="L584" s="300">
        <f>SAÍDAS!M53*(SAÍDAS!$Y53/100)</f>
        <v>0</v>
      </c>
      <c r="M584" s="300">
        <f>SAÍDAS!N53*(SAÍDAS!$Y53/100)</f>
        <v>0</v>
      </c>
      <c r="N584" s="300">
        <f>SAÍDAS!O53*(SAÍDAS!$Y53/100)</f>
        <v>0</v>
      </c>
      <c r="O584" s="300">
        <f>SAÍDAS!P53*(SAÍDAS!$Y53/100)</f>
        <v>0</v>
      </c>
      <c r="P584" s="300"/>
      <c r="Q584" s="678"/>
      <c r="R584" s="783"/>
      <c r="S584" s="783"/>
      <c r="T584" s="783"/>
      <c r="U584" s="783"/>
      <c r="V584" s="783"/>
      <c r="W584" s="783"/>
      <c r="X584" s="783"/>
      <c r="Y584" s="783"/>
    </row>
    <row r="585" spans="1:25" hidden="1" x14ac:dyDescent="0.25">
      <c r="A585" s="670"/>
      <c r="B585" s="739" t="str">
        <f>SAÍDAS!C54</f>
        <v>Sanidade</v>
      </c>
      <c r="C585" s="300">
        <f t="shared" si="178"/>
        <v>0</v>
      </c>
      <c r="D585" s="300">
        <f>SAÍDAS!E54*(SAÍDAS!$Y54/100)</f>
        <v>0</v>
      </c>
      <c r="E585" s="300">
        <f>SAÍDAS!F54*(SAÍDAS!$Y54/100)</f>
        <v>0</v>
      </c>
      <c r="F585" s="300">
        <f>SAÍDAS!G54*(SAÍDAS!$Y54/100)</f>
        <v>0</v>
      </c>
      <c r="G585" s="300">
        <f>SAÍDAS!H54*(SAÍDAS!$Y54/100)</f>
        <v>0</v>
      </c>
      <c r="H585" s="300">
        <f>SAÍDAS!I54*(SAÍDAS!$Y54/100)</f>
        <v>0</v>
      </c>
      <c r="I585" s="300">
        <f>SAÍDAS!J54*(SAÍDAS!$Y54/100)</f>
        <v>0</v>
      </c>
      <c r="J585" s="300">
        <f>SAÍDAS!K54*(SAÍDAS!$Y54/100)</f>
        <v>0</v>
      </c>
      <c r="K585" s="300">
        <f>SAÍDAS!L54*(SAÍDAS!$Y54/100)</f>
        <v>0</v>
      </c>
      <c r="L585" s="300">
        <f>SAÍDAS!M54*(SAÍDAS!$Y54/100)</f>
        <v>0</v>
      </c>
      <c r="M585" s="300">
        <f>SAÍDAS!N54*(SAÍDAS!$Y54/100)</f>
        <v>0</v>
      </c>
      <c r="N585" s="300">
        <f>SAÍDAS!O54*(SAÍDAS!$Y54/100)</f>
        <v>0</v>
      </c>
      <c r="O585" s="300">
        <f>SAÍDAS!P54*(SAÍDAS!$Y54/100)</f>
        <v>0</v>
      </c>
      <c r="P585" s="300"/>
      <c r="Q585" s="678"/>
      <c r="R585" s="783"/>
      <c r="S585" s="783"/>
      <c r="T585" s="783"/>
      <c r="U585" s="783"/>
      <c r="V585" s="783"/>
      <c r="W585" s="783"/>
      <c r="X585" s="783"/>
      <c r="Y585" s="783"/>
    </row>
    <row r="586" spans="1:25" hidden="1" x14ac:dyDescent="0.25">
      <c r="A586" s="670"/>
      <c r="B586" s="739" t="str">
        <f>SAÍDAS!C55</f>
        <v>Manutenção de Máquinas e Instalações</v>
      </c>
      <c r="C586" s="300">
        <f t="shared" si="178"/>
        <v>0</v>
      </c>
      <c r="D586" s="300">
        <f>SAÍDAS!E55*(SAÍDAS!$Y55/100)</f>
        <v>0</v>
      </c>
      <c r="E586" s="300">
        <f>SAÍDAS!F55*(SAÍDAS!$Y55/100)</f>
        <v>0</v>
      </c>
      <c r="F586" s="300">
        <f>SAÍDAS!G55*(SAÍDAS!$Y55/100)</f>
        <v>0</v>
      </c>
      <c r="G586" s="300">
        <f>SAÍDAS!H55*(SAÍDAS!$Y55/100)</f>
        <v>0</v>
      </c>
      <c r="H586" s="300">
        <f>SAÍDAS!I55*(SAÍDAS!$Y55/100)</f>
        <v>0</v>
      </c>
      <c r="I586" s="300">
        <f>SAÍDAS!J55*(SAÍDAS!$Y55/100)</f>
        <v>0</v>
      </c>
      <c r="J586" s="300">
        <f>SAÍDAS!K55*(SAÍDAS!$Y55/100)</f>
        <v>0</v>
      </c>
      <c r="K586" s="300">
        <f>SAÍDAS!L55*(SAÍDAS!$Y55/100)</f>
        <v>0</v>
      </c>
      <c r="L586" s="300">
        <f>SAÍDAS!M55*(SAÍDAS!$Y55/100)</f>
        <v>0</v>
      </c>
      <c r="M586" s="300">
        <f>SAÍDAS!N55*(SAÍDAS!$Y55/100)</f>
        <v>0</v>
      </c>
      <c r="N586" s="300">
        <f>SAÍDAS!O55*(SAÍDAS!$Y55/100)</f>
        <v>0</v>
      </c>
      <c r="O586" s="300">
        <f>SAÍDAS!P55*(SAÍDAS!$Y55/100)</f>
        <v>0</v>
      </c>
      <c r="P586" s="300"/>
      <c r="Q586" s="678"/>
      <c r="R586" s="783"/>
      <c r="S586" s="783"/>
      <c r="T586" s="783"/>
      <c r="U586" s="783"/>
      <c r="V586" s="783"/>
      <c r="W586" s="783"/>
      <c r="X586" s="783"/>
      <c r="Y586" s="783"/>
    </row>
    <row r="587" spans="1:25" hidden="1" x14ac:dyDescent="0.25">
      <c r="A587" s="670"/>
      <c r="B587" s="739" t="str">
        <f>SAÍDAS!C56</f>
        <v>Combustível e Energia</v>
      </c>
      <c r="C587" s="300">
        <f t="shared" si="178"/>
        <v>0</v>
      </c>
      <c r="D587" s="300">
        <f>SAÍDAS!E56*(SAÍDAS!$Y56/100)</f>
        <v>0</v>
      </c>
      <c r="E587" s="300">
        <f>SAÍDAS!F56*(SAÍDAS!$Y56/100)</f>
        <v>0</v>
      </c>
      <c r="F587" s="300">
        <f>SAÍDAS!G56*(SAÍDAS!$Y56/100)</f>
        <v>0</v>
      </c>
      <c r="G587" s="300">
        <f>SAÍDAS!H56*(SAÍDAS!$Y56/100)</f>
        <v>0</v>
      </c>
      <c r="H587" s="300">
        <f>SAÍDAS!I56*(SAÍDAS!$Y56/100)</f>
        <v>0</v>
      </c>
      <c r="I587" s="300">
        <f>SAÍDAS!J56*(SAÍDAS!$Y56/100)</f>
        <v>0</v>
      </c>
      <c r="J587" s="300">
        <f>SAÍDAS!K56*(SAÍDAS!$Y56/100)</f>
        <v>0</v>
      </c>
      <c r="K587" s="300">
        <f>SAÍDAS!L56*(SAÍDAS!$Y56/100)</f>
        <v>0</v>
      </c>
      <c r="L587" s="300">
        <f>SAÍDAS!M56*(SAÍDAS!$Y56/100)</f>
        <v>0</v>
      </c>
      <c r="M587" s="300">
        <f>SAÍDAS!N56*(SAÍDAS!$Y56/100)</f>
        <v>0</v>
      </c>
      <c r="N587" s="300">
        <f>SAÍDAS!O56*(SAÍDAS!$Y56/100)</f>
        <v>0</v>
      </c>
      <c r="O587" s="300">
        <f>SAÍDAS!P56*(SAÍDAS!$Y56/100)</f>
        <v>0</v>
      </c>
      <c r="P587" s="300"/>
      <c r="Q587" s="678"/>
      <c r="R587" s="783"/>
      <c r="S587" s="783"/>
      <c r="T587" s="783"/>
      <c r="U587" s="783"/>
      <c r="V587" s="783"/>
      <c r="W587" s="783"/>
      <c r="X587" s="783"/>
      <c r="Y587" s="783"/>
    </row>
    <row r="588" spans="1:25" hidden="1" x14ac:dyDescent="0.25">
      <c r="A588" s="670"/>
      <c r="B588" s="739" t="str">
        <f>SAÍDAS!C57</f>
        <v>Serviços Terceirizados</v>
      </c>
      <c r="C588" s="300">
        <f t="shared" si="178"/>
        <v>0</v>
      </c>
      <c r="D588" s="300">
        <f>SAÍDAS!E57*(SAÍDAS!$Y57/100)</f>
        <v>0</v>
      </c>
      <c r="E588" s="300">
        <f>SAÍDAS!F57*(SAÍDAS!$Y57/100)</f>
        <v>0</v>
      </c>
      <c r="F588" s="300">
        <f>SAÍDAS!G57*(SAÍDAS!$Y57/100)</f>
        <v>0</v>
      </c>
      <c r="G588" s="300">
        <f>SAÍDAS!H57*(SAÍDAS!$Y57/100)</f>
        <v>0</v>
      </c>
      <c r="H588" s="300">
        <f>SAÍDAS!I57*(SAÍDAS!$Y57/100)</f>
        <v>0</v>
      </c>
      <c r="I588" s="300">
        <f>SAÍDAS!J57*(SAÍDAS!$Y57/100)</f>
        <v>0</v>
      </c>
      <c r="J588" s="300">
        <f>SAÍDAS!K57*(SAÍDAS!$Y57/100)</f>
        <v>0</v>
      </c>
      <c r="K588" s="300">
        <f>SAÍDAS!L57*(SAÍDAS!$Y57/100)</f>
        <v>0</v>
      </c>
      <c r="L588" s="300">
        <f>SAÍDAS!M57*(SAÍDAS!$Y57/100)</f>
        <v>0</v>
      </c>
      <c r="M588" s="300">
        <f>SAÍDAS!N57*(SAÍDAS!$Y57/100)</f>
        <v>0</v>
      </c>
      <c r="N588" s="300">
        <f>SAÍDAS!O57*(SAÍDAS!$Y57/100)</f>
        <v>0</v>
      </c>
      <c r="O588" s="300">
        <f>SAÍDAS!P57*(SAÍDAS!$Y57/100)</f>
        <v>0</v>
      </c>
      <c r="P588" s="300"/>
      <c r="Q588" s="678"/>
      <c r="R588" s="783"/>
      <c r="S588" s="783"/>
      <c r="T588" s="783"/>
      <c r="U588" s="783"/>
      <c r="V588" s="783"/>
      <c r="W588" s="783"/>
      <c r="X588" s="783"/>
      <c r="Y588" s="783"/>
    </row>
    <row r="589" spans="1:25" hidden="1" x14ac:dyDescent="0.25">
      <c r="A589" s="670"/>
      <c r="B589" s="739" t="str">
        <f>SAÍDAS!C58</f>
        <v>Manutenção de Máquinas e Instalações</v>
      </c>
      <c r="C589" s="300">
        <f t="shared" si="178"/>
        <v>0</v>
      </c>
      <c r="D589" s="300">
        <f>SAÍDAS!E58*(SAÍDAS!$Y58/100)</f>
        <v>0</v>
      </c>
      <c r="E589" s="300">
        <f>SAÍDAS!F58*(SAÍDAS!$Y58/100)</f>
        <v>0</v>
      </c>
      <c r="F589" s="300">
        <f>SAÍDAS!G58*(SAÍDAS!$Y58/100)</f>
        <v>0</v>
      </c>
      <c r="G589" s="300">
        <f>SAÍDAS!H58*(SAÍDAS!$Y58/100)</f>
        <v>0</v>
      </c>
      <c r="H589" s="300">
        <f>SAÍDAS!I58*(SAÍDAS!$Y58/100)</f>
        <v>0</v>
      </c>
      <c r="I589" s="300">
        <f>SAÍDAS!J58*(SAÍDAS!$Y58/100)</f>
        <v>0</v>
      </c>
      <c r="J589" s="300">
        <f>SAÍDAS!K58*(SAÍDAS!$Y58/100)</f>
        <v>0</v>
      </c>
      <c r="K589" s="300">
        <f>SAÍDAS!L58*(SAÍDAS!$Y58/100)</f>
        <v>0</v>
      </c>
      <c r="L589" s="300">
        <f>SAÍDAS!M58*(SAÍDAS!$Y58/100)</f>
        <v>0</v>
      </c>
      <c r="M589" s="300">
        <f>SAÍDAS!N58*(SAÍDAS!$Y58/100)</f>
        <v>0</v>
      </c>
      <c r="N589" s="300">
        <f>SAÍDAS!O58*(SAÍDAS!$Y58/100)</f>
        <v>0</v>
      </c>
      <c r="O589" s="300">
        <f>SAÍDAS!P58*(SAÍDAS!$Y58/100)</f>
        <v>0</v>
      </c>
      <c r="P589" s="300"/>
      <c r="Q589" s="678"/>
      <c r="R589" s="783"/>
      <c r="S589" s="783"/>
      <c r="T589" s="783"/>
      <c r="U589" s="783"/>
      <c r="V589" s="783"/>
      <c r="W589" s="783"/>
      <c r="X589" s="783"/>
      <c r="Y589" s="783"/>
    </row>
    <row r="590" spans="1:25" hidden="1" x14ac:dyDescent="0.25">
      <c r="A590" s="670"/>
      <c r="B590" s="739" t="str">
        <f>SAÍDAS!C59</f>
        <v>Manutenção de Máquinas e Instalações</v>
      </c>
      <c r="C590" s="300">
        <f t="shared" si="178"/>
        <v>0</v>
      </c>
      <c r="D590" s="300">
        <f>SAÍDAS!E59*(SAÍDAS!$Y59/100)</f>
        <v>0</v>
      </c>
      <c r="E590" s="300">
        <f>SAÍDAS!F59*(SAÍDAS!$Y59/100)</f>
        <v>0</v>
      </c>
      <c r="F590" s="300">
        <f>SAÍDAS!G59*(SAÍDAS!$Y59/100)</f>
        <v>0</v>
      </c>
      <c r="G590" s="300">
        <f>SAÍDAS!H59*(SAÍDAS!$Y59/100)</f>
        <v>0</v>
      </c>
      <c r="H590" s="300">
        <f>SAÍDAS!I59*(SAÍDAS!$Y59/100)</f>
        <v>0</v>
      </c>
      <c r="I590" s="300">
        <f>SAÍDAS!J59*(SAÍDAS!$Y59/100)</f>
        <v>0</v>
      </c>
      <c r="J590" s="300">
        <f>SAÍDAS!K59*(SAÍDAS!$Y59/100)</f>
        <v>0</v>
      </c>
      <c r="K590" s="300">
        <f>SAÍDAS!L59*(SAÍDAS!$Y59/100)</f>
        <v>0</v>
      </c>
      <c r="L590" s="300">
        <f>SAÍDAS!M59*(SAÍDAS!$Y59/100)</f>
        <v>0</v>
      </c>
      <c r="M590" s="300">
        <f>SAÍDAS!N59*(SAÍDAS!$Y59/100)</f>
        <v>0</v>
      </c>
      <c r="N590" s="300">
        <f>SAÍDAS!O59*(SAÍDAS!$Y59/100)</f>
        <v>0</v>
      </c>
      <c r="O590" s="300">
        <f>SAÍDAS!P59*(SAÍDAS!$Y59/100)</f>
        <v>0</v>
      </c>
      <c r="P590" s="300"/>
      <c r="Q590" s="678"/>
      <c r="R590" s="783"/>
      <c r="S590" s="783"/>
      <c r="T590" s="783"/>
      <c r="U590" s="783"/>
      <c r="V590" s="783"/>
      <c r="W590" s="783"/>
      <c r="X590" s="783"/>
      <c r="Y590" s="783"/>
    </row>
    <row r="591" spans="1:25" hidden="1" x14ac:dyDescent="0.25">
      <c r="A591" s="670"/>
      <c r="B591" s="739" t="str">
        <f>SAÍDAS!C60</f>
        <v>Combustível e Energia</v>
      </c>
      <c r="C591" s="300">
        <f t="shared" si="178"/>
        <v>0</v>
      </c>
      <c r="D591" s="300">
        <f>SAÍDAS!E60*(SAÍDAS!$Y60/100)</f>
        <v>0</v>
      </c>
      <c r="E591" s="300">
        <f>SAÍDAS!F60*(SAÍDAS!$Y60/100)</f>
        <v>0</v>
      </c>
      <c r="F591" s="300">
        <f>SAÍDAS!G60*(SAÍDAS!$Y60/100)</f>
        <v>0</v>
      </c>
      <c r="G591" s="300">
        <f>SAÍDAS!H60*(SAÍDAS!$Y60/100)</f>
        <v>0</v>
      </c>
      <c r="H591" s="300">
        <f>SAÍDAS!I60*(SAÍDAS!$Y60/100)</f>
        <v>0</v>
      </c>
      <c r="I591" s="300">
        <f>SAÍDAS!J60*(SAÍDAS!$Y60/100)</f>
        <v>0</v>
      </c>
      <c r="J591" s="300">
        <f>SAÍDAS!K60*(SAÍDAS!$Y60/100)</f>
        <v>0</v>
      </c>
      <c r="K591" s="300">
        <f>SAÍDAS!L60*(SAÍDAS!$Y60/100)</f>
        <v>0</v>
      </c>
      <c r="L591" s="300">
        <f>SAÍDAS!M60*(SAÍDAS!$Y60/100)</f>
        <v>0</v>
      </c>
      <c r="M591" s="300">
        <f>SAÍDAS!N60*(SAÍDAS!$Y60/100)</f>
        <v>0</v>
      </c>
      <c r="N591" s="300">
        <f>SAÍDAS!O60*(SAÍDAS!$Y60/100)</f>
        <v>0</v>
      </c>
      <c r="O591" s="300">
        <f>SAÍDAS!P60*(SAÍDAS!$Y60/100)</f>
        <v>0</v>
      </c>
      <c r="P591" s="300"/>
      <c r="Q591" s="678"/>
      <c r="R591" s="783"/>
      <c r="S591" s="783"/>
      <c r="T591" s="783"/>
      <c r="U591" s="783"/>
      <c r="V591" s="783"/>
      <c r="W591" s="783"/>
      <c r="X591" s="783"/>
      <c r="Y591" s="783"/>
    </row>
    <row r="592" spans="1:25" hidden="1" x14ac:dyDescent="0.25">
      <c r="A592" s="670"/>
      <c r="B592" s="739" t="str">
        <f>SAÍDAS!C61</f>
        <v>Tarifas e Impostos</v>
      </c>
      <c r="C592" s="300">
        <f t="shared" si="178"/>
        <v>0</v>
      </c>
      <c r="D592" s="300">
        <f>SAÍDAS!E61*(SAÍDAS!$Y61/100)</f>
        <v>0</v>
      </c>
      <c r="E592" s="300">
        <f>SAÍDAS!F61*(SAÍDAS!$Y61/100)</f>
        <v>0</v>
      </c>
      <c r="F592" s="300">
        <f>SAÍDAS!G61*(SAÍDAS!$Y61/100)</f>
        <v>0</v>
      </c>
      <c r="G592" s="300">
        <f>SAÍDAS!H61*(SAÍDAS!$Y61/100)</f>
        <v>0</v>
      </c>
      <c r="H592" s="300">
        <f>SAÍDAS!I61*(SAÍDAS!$Y61/100)</f>
        <v>0</v>
      </c>
      <c r="I592" s="300">
        <f>SAÍDAS!J61*(SAÍDAS!$Y61/100)</f>
        <v>0</v>
      </c>
      <c r="J592" s="300">
        <f>SAÍDAS!K61*(SAÍDAS!$Y61/100)</f>
        <v>0</v>
      </c>
      <c r="K592" s="300">
        <f>SAÍDAS!L61*(SAÍDAS!$Y61/100)</f>
        <v>0</v>
      </c>
      <c r="L592" s="300">
        <f>SAÍDAS!M61*(SAÍDAS!$Y61/100)</f>
        <v>0</v>
      </c>
      <c r="M592" s="300">
        <f>SAÍDAS!N61*(SAÍDAS!$Y61/100)</f>
        <v>0</v>
      </c>
      <c r="N592" s="300">
        <f>SAÍDAS!O61*(SAÍDAS!$Y61/100)</f>
        <v>0</v>
      </c>
      <c r="O592" s="300">
        <f>SAÍDAS!P61*(SAÍDAS!$Y61/100)</f>
        <v>0</v>
      </c>
      <c r="P592" s="300"/>
      <c r="Q592" s="678"/>
      <c r="R592" s="783"/>
      <c r="S592" s="783"/>
      <c r="T592" s="783"/>
      <c r="U592" s="783"/>
      <c r="V592" s="783"/>
      <c r="W592" s="783"/>
      <c r="X592" s="783"/>
      <c r="Y592" s="783"/>
    </row>
    <row r="593" spans="1:25" hidden="1" x14ac:dyDescent="0.25">
      <c r="A593" s="670"/>
      <c r="B593" s="739" t="str">
        <f>SAÍDAS!C62</f>
        <v>Tarifas e Impostos</v>
      </c>
      <c r="C593" s="300">
        <f t="shared" si="178"/>
        <v>0</v>
      </c>
      <c r="D593" s="300">
        <f>SAÍDAS!E62*(SAÍDAS!$Y62/100)</f>
        <v>0</v>
      </c>
      <c r="E593" s="300">
        <f>SAÍDAS!F62*(SAÍDAS!$Y62/100)</f>
        <v>0</v>
      </c>
      <c r="F593" s="300">
        <f>SAÍDAS!G62*(SAÍDAS!$Y62/100)</f>
        <v>0</v>
      </c>
      <c r="G593" s="300">
        <f>SAÍDAS!H62*(SAÍDAS!$Y62/100)</f>
        <v>0</v>
      </c>
      <c r="H593" s="300">
        <f>SAÍDAS!I62*(SAÍDAS!$Y62/100)</f>
        <v>0</v>
      </c>
      <c r="I593" s="300">
        <f>SAÍDAS!J62*(SAÍDAS!$Y62/100)</f>
        <v>0</v>
      </c>
      <c r="J593" s="300">
        <f>SAÍDAS!K62*(SAÍDAS!$Y62/100)</f>
        <v>0</v>
      </c>
      <c r="K593" s="300">
        <f>SAÍDAS!L62*(SAÍDAS!$Y62/100)</f>
        <v>0</v>
      </c>
      <c r="L593" s="300">
        <f>SAÍDAS!M62*(SAÍDAS!$Y62/100)</f>
        <v>0</v>
      </c>
      <c r="M593" s="300">
        <f>SAÍDAS!N62*(SAÍDAS!$Y62/100)</f>
        <v>0</v>
      </c>
      <c r="N593" s="300">
        <f>SAÍDAS!O62*(SAÍDAS!$Y62/100)</f>
        <v>0</v>
      </c>
      <c r="O593" s="300">
        <f>SAÍDAS!P62*(SAÍDAS!$Y62/100)</f>
        <v>0</v>
      </c>
      <c r="P593" s="300"/>
      <c r="Q593" s="678"/>
      <c r="R593" s="783"/>
      <c r="S593" s="783"/>
      <c r="T593" s="783"/>
      <c r="U593" s="783"/>
      <c r="V593" s="783"/>
      <c r="W593" s="783"/>
      <c r="X593" s="783"/>
      <c r="Y593" s="783"/>
    </row>
    <row r="594" spans="1:25" hidden="1" x14ac:dyDescent="0.25">
      <c r="A594" s="670"/>
      <c r="B594" s="739" t="str">
        <f>SAÍDAS!C63</f>
        <v>Tarifas e Impostos</v>
      </c>
      <c r="C594" s="300">
        <f t="shared" si="178"/>
        <v>0</v>
      </c>
      <c r="D594" s="300">
        <f>SAÍDAS!E63*(SAÍDAS!$Y63/100)</f>
        <v>0</v>
      </c>
      <c r="E594" s="300">
        <f>SAÍDAS!F63*(SAÍDAS!$Y63/100)</f>
        <v>0</v>
      </c>
      <c r="F594" s="300">
        <f>SAÍDAS!G63*(SAÍDAS!$Y63/100)</f>
        <v>0</v>
      </c>
      <c r="G594" s="300">
        <f>SAÍDAS!H63*(SAÍDAS!$Y63/100)</f>
        <v>0</v>
      </c>
      <c r="H594" s="300">
        <f>SAÍDAS!I63*(SAÍDAS!$Y63/100)</f>
        <v>0</v>
      </c>
      <c r="I594" s="300">
        <f>SAÍDAS!J63*(SAÍDAS!$Y63/100)</f>
        <v>0</v>
      </c>
      <c r="J594" s="300">
        <f>SAÍDAS!K63*(SAÍDAS!$Y63/100)</f>
        <v>0</v>
      </c>
      <c r="K594" s="300">
        <f>SAÍDAS!L63*(SAÍDAS!$Y63/100)</f>
        <v>0</v>
      </c>
      <c r="L594" s="300">
        <f>SAÍDAS!M63*(SAÍDAS!$Y63/100)</f>
        <v>0</v>
      </c>
      <c r="M594" s="300">
        <f>SAÍDAS!N63*(SAÍDAS!$Y63/100)</f>
        <v>0</v>
      </c>
      <c r="N594" s="300">
        <f>SAÍDAS!O63*(SAÍDAS!$Y63/100)</f>
        <v>0</v>
      </c>
      <c r="O594" s="300">
        <f>SAÍDAS!P63*(SAÍDAS!$Y63/100)</f>
        <v>0</v>
      </c>
      <c r="P594" s="300"/>
      <c r="Q594" s="678"/>
      <c r="R594" s="783"/>
      <c r="S594" s="783"/>
      <c r="T594" s="783"/>
      <c r="U594" s="783"/>
      <c r="V594" s="783"/>
      <c r="W594" s="783"/>
      <c r="X594" s="783"/>
      <c r="Y594" s="783"/>
    </row>
    <row r="595" spans="1:25" hidden="1" x14ac:dyDescent="0.25">
      <c r="A595" s="670"/>
      <c r="B595" s="739" t="str">
        <f>SAÍDAS!C64</f>
        <v>Tarifas e Impostos</v>
      </c>
      <c r="C595" s="300">
        <f t="shared" si="178"/>
        <v>0</v>
      </c>
      <c r="D595" s="300">
        <f>SAÍDAS!E64*(SAÍDAS!$Y64/100)</f>
        <v>0</v>
      </c>
      <c r="E595" s="300">
        <f>SAÍDAS!F64*(SAÍDAS!$Y64/100)</f>
        <v>0</v>
      </c>
      <c r="F595" s="300">
        <f>SAÍDAS!G64*(SAÍDAS!$Y64/100)</f>
        <v>0</v>
      </c>
      <c r="G595" s="300">
        <f>SAÍDAS!H64*(SAÍDAS!$Y64/100)</f>
        <v>0</v>
      </c>
      <c r="H595" s="300">
        <f>SAÍDAS!I64*(SAÍDAS!$Y64/100)</f>
        <v>0</v>
      </c>
      <c r="I595" s="300">
        <f>SAÍDAS!J64*(SAÍDAS!$Y64/100)</f>
        <v>0</v>
      </c>
      <c r="J595" s="300">
        <f>SAÍDAS!K64*(SAÍDAS!$Y64/100)</f>
        <v>0</v>
      </c>
      <c r="K595" s="300">
        <f>SAÍDAS!L64*(SAÍDAS!$Y64/100)</f>
        <v>0</v>
      </c>
      <c r="L595" s="300">
        <f>SAÍDAS!M64*(SAÍDAS!$Y64/100)</f>
        <v>0</v>
      </c>
      <c r="M595" s="300">
        <f>SAÍDAS!N64*(SAÍDAS!$Y64/100)</f>
        <v>0</v>
      </c>
      <c r="N595" s="300">
        <f>SAÍDAS!O64*(SAÍDAS!$Y64/100)</f>
        <v>0</v>
      </c>
      <c r="O595" s="300">
        <f>SAÍDAS!P64*(SAÍDAS!$Y64/100)</f>
        <v>0</v>
      </c>
      <c r="P595" s="300"/>
      <c r="Q595" s="678"/>
      <c r="R595" s="783"/>
      <c r="S595" s="783"/>
      <c r="T595" s="783"/>
      <c r="U595" s="783"/>
      <c r="V595" s="783"/>
      <c r="W595" s="783"/>
      <c r="X595" s="783"/>
      <c r="Y595" s="783"/>
    </row>
    <row r="596" spans="1:25" hidden="1" x14ac:dyDescent="0.25">
      <c r="A596" s="670"/>
      <c r="B596" s="739" t="str">
        <f>SAÍDAS!C65</f>
        <v>Outros</v>
      </c>
      <c r="C596" s="300">
        <f t="shared" si="178"/>
        <v>0</v>
      </c>
      <c r="D596" s="300">
        <f>SAÍDAS!E65*(SAÍDAS!$Y65/100)</f>
        <v>0</v>
      </c>
      <c r="E596" s="300">
        <f>SAÍDAS!F65*(SAÍDAS!$Y65/100)</f>
        <v>0</v>
      </c>
      <c r="F596" s="300">
        <f>SAÍDAS!G65*(SAÍDAS!$Y65/100)</f>
        <v>0</v>
      </c>
      <c r="G596" s="300">
        <f>SAÍDAS!H65*(SAÍDAS!$Y65/100)</f>
        <v>0</v>
      </c>
      <c r="H596" s="300">
        <f>SAÍDAS!I65*(SAÍDAS!$Y65/100)</f>
        <v>0</v>
      </c>
      <c r="I596" s="300">
        <f>SAÍDAS!J65*(SAÍDAS!$Y65/100)</f>
        <v>0</v>
      </c>
      <c r="J596" s="300">
        <f>SAÍDAS!K65*(SAÍDAS!$Y65/100)</f>
        <v>0</v>
      </c>
      <c r="K596" s="300">
        <f>SAÍDAS!L65*(SAÍDAS!$Y65/100)</f>
        <v>0</v>
      </c>
      <c r="L596" s="300">
        <f>SAÍDAS!M65*(SAÍDAS!$Y65/100)</f>
        <v>0</v>
      </c>
      <c r="M596" s="300">
        <f>SAÍDAS!N65*(SAÍDAS!$Y65/100)</f>
        <v>0</v>
      </c>
      <c r="N596" s="300">
        <f>SAÍDAS!O65*(SAÍDAS!$Y65/100)</f>
        <v>0</v>
      </c>
      <c r="O596" s="300">
        <f>SAÍDAS!P65*(SAÍDAS!$Y65/100)</f>
        <v>0</v>
      </c>
      <c r="P596" s="300"/>
      <c r="Q596" s="678"/>
      <c r="R596" s="783"/>
      <c r="S596" s="783"/>
      <c r="T596" s="783"/>
      <c r="U596" s="783"/>
      <c r="V596" s="783"/>
      <c r="W596" s="783"/>
      <c r="X596" s="783"/>
      <c r="Y596" s="783"/>
    </row>
    <row r="597" spans="1:25" hidden="1" x14ac:dyDescent="0.25">
      <c r="A597" s="670"/>
      <c r="B597" s="739" t="str">
        <f>SAÍDAS!C66</f>
        <v>Parceria em Confinamento Chaparral</v>
      </c>
      <c r="C597" s="300">
        <f t="shared" si="178"/>
        <v>0</v>
      </c>
      <c r="D597" s="300">
        <f>SAÍDAS!E66*(SAÍDAS!$Y66/100)</f>
        <v>0</v>
      </c>
      <c r="E597" s="300">
        <f>SAÍDAS!F66*(SAÍDAS!$Y66/100)</f>
        <v>0</v>
      </c>
      <c r="F597" s="300">
        <f>SAÍDAS!G66*(SAÍDAS!$Y66/100)</f>
        <v>0</v>
      </c>
      <c r="G597" s="300">
        <f>SAÍDAS!H66*(SAÍDAS!$Y66/100)</f>
        <v>0</v>
      </c>
      <c r="H597" s="300">
        <f>SAÍDAS!I66*(SAÍDAS!$Y66/100)</f>
        <v>0</v>
      </c>
      <c r="I597" s="300">
        <f>SAÍDAS!J66*(SAÍDAS!$Y66/100)</f>
        <v>0</v>
      </c>
      <c r="J597" s="300">
        <f>SAÍDAS!K66*(SAÍDAS!$Y66/100)</f>
        <v>0</v>
      </c>
      <c r="K597" s="300">
        <f>SAÍDAS!L66*(SAÍDAS!$Y66/100)</f>
        <v>0</v>
      </c>
      <c r="L597" s="300">
        <f>SAÍDAS!M66*(SAÍDAS!$Y66/100)</f>
        <v>0</v>
      </c>
      <c r="M597" s="300">
        <f>SAÍDAS!N66*(SAÍDAS!$Y66/100)</f>
        <v>0</v>
      </c>
      <c r="N597" s="300">
        <f>SAÍDAS!O66*(SAÍDAS!$Y66/100)</f>
        <v>0</v>
      </c>
      <c r="O597" s="300">
        <f>SAÍDAS!P66*(SAÍDAS!$Y66/100)</f>
        <v>0</v>
      </c>
      <c r="P597" s="300"/>
      <c r="Q597" s="678"/>
      <c r="R597" s="783"/>
      <c r="S597" s="783"/>
      <c r="T597" s="783"/>
      <c r="U597" s="783"/>
      <c r="V597" s="783"/>
      <c r="W597" s="783"/>
      <c r="X597" s="783"/>
      <c r="Y597" s="783"/>
    </row>
    <row r="598" spans="1:25" hidden="1" x14ac:dyDescent="0.25">
      <c r="A598" s="670"/>
      <c r="B598" s="739" t="str">
        <f>SAÍDAS!C67</f>
        <v>Outros</v>
      </c>
      <c r="C598" s="300">
        <f t="shared" si="178"/>
        <v>0</v>
      </c>
      <c r="D598" s="300">
        <f>SAÍDAS!E67*(SAÍDAS!$Y67/100)</f>
        <v>0</v>
      </c>
      <c r="E598" s="300">
        <f>SAÍDAS!F67*(SAÍDAS!$Y67/100)</f>
        <v>0</v>
      </c>
      <c r="F598" s="300">
        <f>SAÍDAS!G67*(SAÍDAS!$Y67/100)</f>
        <v>0</v>
      </c>
      <c r="G598" s="300">
        <f>SAÍDAS!H67*(SAÍDAS!$Y67/100)</f>
        <v>0</v>
      </c>
      <c r="H598" s="300">
        <f>SAÍDAS!I67*(SAÍDAS!$Y67/100)</f>
        <v>0</v>
      </c>
      <c r="I598" s="300">
        <f>SAÍDAS!J67*(SAÍDAS!$Y67/100)</f>
        <v>0</v>
      </c>
      <c r="J598" s="300">
        <f>SAÍDAS!K67*(SAÍDAS!$Y67/100)</f>
        <v>0</v>
      </c>
      <c r="K598" s="300">
        <f>SAÍDAS!L67*(SAÍDAS!$Y67/100)</f>
        <v>0</v>
      </c>
      <c r="L598" s="300">
        <f>SAÍDAS!M67*(SAÍDAS!$Y67/100)</f>
        <v>0</v>
      </c>
      <c r="M598" s="300">
        <f>SAÍDAS!N67*(SAÍDAS!$Y67/100)</f>
        <v>0</v>
      </c>
      <c r="N598" s="300">
        <f>SAÍDAS!O67*(SAÍDAS!$Y67/100)</f>
        <v>0</v>
      </c>
      <c r="O598" s="300">
        <f>SAÍDAS!P67*(SAÍDAS!$Y67/100)</f>
        <v>0</v>
      </c>
      <c r="P598" s="300"/>
      <c r="Q598" s="678"/>
      <c r="R598" s="783"/>
      <c r="S598" s="783"/>
      <c r="T598" s="783"/>
      <c r="U598" s="783"/>
      <c r="V598" s="783"/>
      <c r="W598" s="783"/>
      <c r="X598" s="783"/>
      <c r="Y598" s="783"/>
    </row>
    <row r="599" spans="1:25" hidden="1" x14ac:dyDescent="0.25">
      <c r="A599" s="670"/>
      <c r="B599" s="739" t="str">
        <f>SAÍDAS!C68</f>
        <v>Outros</v>
      </c>
      <c r="C599" s="300">
        <f t="shared" si="178"/>
        <v>0</v>
      </c>
      <c r="D599" s="300">
        <f>SAÍDAS!E68*(SAÍDAS!$Y68/100)</f>
        <v>0</v>
      </c>
      <c r="E599" s="300">
        <f>SAÍDAS!F68*(SAÍDAS!$Y68/100)</f>
        <v>0</v>
      </c>
      <c r="F599" s="300">
        <f>SAÍDAS!G68*(SAÍDAS!$Y68/100)</f>
        <v>0</v>
      </c>
      <c r="G599" s="300">
        <f>SAÍDAS!H68*(SAÍDAS!$Y68/100)</f>
        <v>0</v>
      </c>
      <c r="H599" s="300">
        <f>SAÍDAS!I68*(SAÍDAS!$Y68/100)</f>
        <v>0</v>
      </c>
      <c r="I599" s="300">
        <f>SAÍDAS!J68*(SAÍDAS!$Y68/100)</f>
        <v>0</v>
      </c>
      <c r="J599" s="300">
        <f>SAÍDAS!K68*(SAÍDAS!$Y68/100)</f>
        <v>0</v>
      </c>
      <c r="K599" s="300">
        <f>SAÍDAS!L68*(SAÍDAS!$Y68/100)</f>
        <v>0</v>
      </c>
      <c r="L599" s="300">
        <f>SAÍDAS!M68*(SAÍDAS!$Y68/100)</f>
        <v>0</v>
      </c>
      <c r="M599" s="300">
        <f>SAÍDAS!N68*(SAÍDAS!$Y68/100)</f>
        <v>0</v>
      </c>
      <c r="N599" s="300">
        <f>SAÍDAS!O68*(SAÍDAS!$Y68/100)</f>
        <v>0</v>
      </c>
      <c r="O599" s="300">
        <f>SAÍDAS!P68*(SAÍDAS!$Y68/100)</f>
        <v>0</v>
      </c>
      <c r="P599" s="300"/>
      <c r="Q599" s="678"/>
      <c r="R599" s="783"/>
      <c r="S599" s="783"/>
      <c r="T599" s="783"/>
      <c r="U599" s="783"/>
      <c r="V599" s="783"/>
      <c r="W599" s="783"/>
      <c r="X599" s="783"/>
      <c r="Y599" s="783"/>
    </row>
    <row r="600" spans="1:25" hidden="1" x14ac:dyDescent="0.25">
      <c r="A600" s="670"/>
      <c r="B600" s="739" t="str">
        <f>SAÍDAS!C69</f>
        <v>Animais</v>
      </c>
      <c r="C600" s="300">
        <f t="shared" si="178"/>
        <v>0</v>
      </c>
      <c r="D600" s="300">
        <f>SAÍDAS!E69*(SAÍDAS!$Y69/100)</f>
        <v>0</v>
      </c>
      <c r="E600" s="300">
        <f>SAÍDAS!F69*(SAÍDAS!$Y69/100)</f>
        <v>0</v>
      </c>
      <c r="F600" s="300">
        <f>SAÍDAS!G69*(SAÍDAS!$Y69/100)</f>
        <v>0</v>
      </c>
      <c r="G600" s="300">
        <f>SAÍDAS!H69*(SAÍDAS!$Y69/100)</f>
        <v>0</v>
      </c>
      <c r="H600" s="300">
        <f>SAÍDAS!I69*(SAÍDAS!$Y69/100)</f>
        <v>0</v>
      </c>
      <c r="I600" s="300">
        <f>SAÍDAS!J69*(SAÍDAS!$Y69/100)</f>
        <v>0</v>
      </c>
      <c r="J600" s="300">
        <f>SAÍDAS!K69*(SAÍDAS!$Y69/100)</f>
        <v>0</v>
      </c>
      <c r="K600" s="300">
        <f>SAÍDAS!L69*(SAÍDAS!$Y69/100)</f>
        <v>0</v>
      </c>
      <c r="L600" s="300">
        <f>SAÍDAS!M69*(SAÍDAS!$Y69/100)</f>
        <v>0</v>
      </c>
      <c r="M600" s="300">
        <f>SAÍDAS!N69*(SAÍDAS!$Y69/100)</f>
        <v>0</v>
      </c>
      <c r="N600" s="300">
        <f>SAÍDAS!O69*(SAÍDAS!$Y69/100)</f>
        <v>0</v>
      </c>
      <c r="O600" s="300">
        <f>SAÍDAS!P69*(SAÍDAS!$Y69/100)</f>
        <v>0</v>
      </c>
      <c r="P600" s="300"/>
      <c r="Q600" s="678"/>
      <c r="R600" s="783"/>
      <c r="S600" s="783"/>
      <c r="T600" s="783"/>
      <c r="U600" s="783"/>
      <c r="V600" s="783"/>
      <c r="W600" s="783"/>
      <c r="X600" s="783"/>
      <c r="Y600" s="783"/>
    </row>
    <row r="601" spans="1:25" hidden="1" x14ac:dyDescent="0.25">
      <c r="A601" s="670"/>
      <c r="B601" s="796" t="s">
        <v>179</v>
      </c>
      <c r="C601" s="300">
        <f t="shared" si="178"/>
        <v>0</v>
      </c>
      <c r="D601" s="300">
        <f t="shared" ref="D601:O601" si="179">SUM(D562:D600)</f>
        <v>0</v>
      </c>
      <c r="E601" s="300">
        <f t="shared" si="179"/>
        <v>0</v>
      </c>
      <c r="F601" s="300">
        <f t="shared" si="179"/>
        <v>0</v>
      </c>
      <c r="G601" s="300">
        <f t="shared" si="179"/>
        <v>0</v>
      </c>
      <c r="H601" s="300">
        <f t="shared" si="179"/>
        <v>0</v>
      </c>
      <c r="I601" s="300">
        <f t="shared" si="179"/>
        <v>0</v>
      </c>
      <c r="J601" s="300">
        <f t="shared" si="179"/>
        <v>0</v>
      </c>
      <c r="K601" s="300">
        <f t="shared" si="179"/>
        <v>0</v>
      </c>
      <c r="L601" s="300">
        <f t="shared" si="179"/>
        <v>0</v>
      </c>
      <c r="M601" s="300">
        <f t="shared" si="179"/>
        <v>0</v>
      </c>
      <c r="N601" s="300">
        <f t="shared" si="179"/>
        <v>0</v>
      </c>
      <c r="O601" s="300">
        <f t="shared" si="179"/>
        <v>0</v>
      </c>
      <c r="P601" s="300"/>
      <c r="Q601" s="678"/>
      <c r="R601" s="783"/>
      <c r="S601" s="783"/>
      <c r="T601" s="783"/>
      <c r="U601" s="783"/>
      <c r="V601" s="783"/>
      <c r="W601" s="783"/>
      <c r="X601" s="783"/>
      <c r="Y601" s="783"/>
    </row>
    <row r="602" spans="1:25" hidden="1" x14ac:dyDescent="0.25">
      <c r="A602" s="670"/>
      <c r="B602" s="739"/>
      <c r="C602" s="300"/>
      <c r="D602" s="300"/>
      <c r="E602" s="300"/>
      <c r="F602" s="300"/>
      <c r="G602" s="300"/>
      <c r="H602" s="300"/>
      <c r="I602" s="300"/>
      <c r="J602" s="300"/>
      <c r="K602" s="300"/>
      <c r="L602" s="300"/>
      <c r="M602" s="300"/>
      <c r="N602" s="300"/>
      <c r="O602" s="300"/>
      <c r="P602" s="300"/>
      <c r="Q602" s="678"/>
      <c r="R602" s="783"/>
      <c r="S602" s="783"/>
      <c r="T602" s="783"/>
      <c r="U602" s="783"/>
      <c r="V602" s="783"/>
      <c r="W602" s="783"/>
      <c r="X602" s="783"/>
      <c r="Y602" s="783"/>
    </row>
    <row r="603" spans="1:25" hidden="1" x14ac:dyDescent="0.25">
      <c r="A603" s="670"/>
      <c r="B603" s="739" t="str">
        <f>SAÍDAS!C73</f>
        <v>Tarifas e Impostos</v>
      </c>
      <c r="C603" s="300">
        <f t="shared" ref="C603:C620" si="180">SUM(D603:O603)</f>
        <v>0</v>
      </c>
      <c r="D603" s="300">
        <f>SAÍDAS!E73*(SAÍDAS!$Y73/100)</f>
        <v>0</v>
      </c>
      <c r="E603" s="300">
        <f>SAÍDAS!F73*(SAÍDAS!$Y73/100)</f>
        <v>0</v>
      </c>
      <c r="F603" s="300">
        <f>SAÍDAS!G73*(SAÍDAS!$Y73/100)</f>
        <v>0</v>
      </c>
      <c r="G603" s="300">
        <f>SAÍDAS!H73*(SAÍDAS!$Y73/100)</f>
        <v>0</v>
      </c>
      <c r="H603" s="300">
        <f>SAÍDAS!I73*(SAÍDAS!$Y73/100)</f>
        <v>0</v>
      </c>
      <c r="I603" s="300">
        <f>SAÍDAS!J73*(SAÍDAS!$Y73/100)</f>
        <v>0</v>
      </c>
      <c r="J603" s="300">
        <f>SAÍDAS!K73*(SAÍDAS!$Y73/100)</f>
        <v>0</v>
      </c>
      <c r="K603" s="300">
        <f>SAÍDAS!L73*(SAÍDAS!$Y73/100)</f>
        <v>0</v>
      </c>
      <c r="L603" s="300">
        <f>SAÍDAS!M73*(SAÍDAS!$Y73/100)</f>
        <v>0</v>
      </c>
      <c r="M603" s="300">
        <f>SAÍDAS!N73*(SAÍDAS!$Y73/100)</f>
        <v>0</v>
      </c>
      <c r="N603" s="300">
        <f>SAÍDAS!O73*(SAÍDAS!$Y73/100)</f>
        <v>0</v>
      </c>
      <c r="O603" s="300">
        <f>SAÍDAS!P73*(SAÍDAS!$Y73/100)</f>
        <v>0</v>
      </c>
      <c r="P603" s="300"/>
      <c r="Q603" s="678"/>
      <c r="R603" s="783"/>
      <c r="S603" s="783"/>
      <c r="T603" s="783"/>
      <c r="U603" s="783"/>
      <c r="V603" s="783"/>
      <c r="W603" s="783"/>
      <c r="X603" s="783"/>
      <c r="Y603" s="783"/>
    </row>
    <row r="604" spans="1:25" hidden="1" x14ac:dyDescent="0.25">
      <c r="A604" s="670"/>
      <c r="B604" s="739" t="str">
        <f>SAÍDAS!C74</f>
        <v>Tarifas e Impostos</v>
      </c>
      <c r="C604" s="300">
        <f t="shared" si="180"/>
        <v>0</v>
      </c>
      <c r="D604" s="300">
        <f>SAÍDAS!E74*(SAÍDAS!$Y74/100)</f>
        <v>0</v>
      </c>
      <c r="E604" s="300">
        <f>SAÍDAS!F74*(SAÍDAS!$Y74/100)</f>
        <v>0</v>
      </c>
      <c r="F604" s="300">
        <f>SAÍDAS!G74*(SAÍDAS!$Y74/100)</f>
        <v>0</v>
      </c>
      <c r="G604" s="300">
        <f>SAÍDAS!H74*(SAÍDAS!$Y74/100)</f>
        <v>0</v>
      </c>
      <c r="H604" s="300">
        <f>SAÍDAS!I74*(SAÍDAS!$Y74/100)</f>
        <v>0</v>
      </c>
      <c r="I604" s="300">
        <f>SAÍDAS!J74*(SAÍDAS!$Y74/100)</f>
        <v>0</v>
      </c>
      <c r="J604" s="300">
        <f>SAÍDAS!K74*(SAÍDAS!$Y74/100)</f>
        <v>0</v>
      </c>
      <c r="K604" s="300">
        <f>SAÍDAS!L74*(SAÍDAS!$Y74/100)</f>
        <v>0</v>
      </c>
      <c r="L604" s="300">
        <f>SAÍDAS!M74*(SAÍDAS!$Y74/100)</f>
        <v>0</v>
      </c>
      <c r="M604" s="300">
        <f>SAÍDAS!N74*(SAÍDAS!$Y74/100)</f>
        <v>0</v>
      </c>
      <c r="N604" s="300">
        <f>SAÍDAS!O74*(SAÍDAS!$Y74/100)</f>
        <v>0</v>
      </c>
      <c r="O604" s="300">
        <f>SAÍDAS!P74*(SAÍDAS!$Y74/100)</f>
        <v>0</v>
      </c>
      <c r="P604" s="300"/>
      <c r="Q604" s="678"/>
      <c r="R604" s="783"/>
      <c r="S604" s="783"/>
      <c r="T604" s="783"/>
      <c r="U604" s="783"/>
      <c r="V604" s="783"/>
      <c r="W604" s="783"/>
      <c r="X604" s="783"/>
      <c r="Y604" s="783"/>
    </row>
    <row r="605" spans="1:25" hidden="1" x14ac:dyDescent="0.25">
      <c r="A605" s="670"/>
      <c r="B605" s="739" t="str">
        <f>SAÍDAS!C75</f>
        <v>Tarifas e Impostos</v>
      </c>
      <c r="C605" s="300">
        <f t="shared" si="180"/>
        <v>0</v>
      </c>
      <c r="D605" s="300">
        <f>SAÍDAS!E75*(SAÍDAS!$Y75/100)</f>
        <v>0</v>
      </c>
      <c r="E605" s="300">
        <f>SAÍDAS!F75*(SAÍDAS!$Y75/100)</f>
        <v>0</v>
      </c>
      <c r="F605" s="300">
        <f>SAÍDAS!G75*(SAÍDAS!$Y75/100)</f>
        <v>0</v>
      </c>
      <c r="G605" s="300">
        <f>SAÍDAS!H75*(SAÍDAS!$Y75/100)</f>
        <v>0</v>
      </c>
      <c r="H605" s="300">
        <f>SAÍDAS!I75*(SAÍDAS!$Y75/100)</f>
        <v>0</v>
      </c>
      <c r="I605" s="300">
        <f>SAÍDAS!J75*(SAÍDAS!$Y75/100)</f>
        <v>0</v>
      </c>
      <c r="J605" s="300">
        <f>SAÍDAS!K75*(SAÍDAS!$Y75/100)</f>
        <v>0</v>
      </c>
      <c r="K605" s="300">
        <f>SAÍDAS!L75*(SAÍDAS!$Y75/100)</f>
        <v>0</v>
      </c>
      <c r="L605" s="300">
        <f>SAÍDAS!M75*(SAÍDAS!$Y75/100)</f>
        <v>0</v>
      </c>
      <c r="M605" s="300">
        <f>SAÍDAS!N75*(SAÍDAS!$Y75/100)</f>
        <v>0</v>
      </c>
      <c r="N605" s="300">
        <f>SAÍDAS!O75*(SAÍDAS!$Y75/100)</f>
        <v>0</v>
      </c>
      <c r="O605" s="300">
        <f>SAÍDAS!P75*(SAÍDAS!$Y75/100)</f>
        <v>0</v>
      </c>
      <c r="P605" s="300"/>
      <c r="Q605" s="678"/>
      <c r="R605" s="783"/>
      <c r="S605" s="783"/>
      <c r="T605" s="783"/>
      <c r="U605" s="783"/>
      <c r="V605" s="783"/>
      <c r="W605" s="783"/>
      <c r="X605" s="783"/>
      <c r="Y605" s="783"/>
    </row>
    <row r="606" spans="1:25" hidden="1" x14ac:dyDescent="0.25">
      <c r="A606" s="670"/>
      <c r="B606" s="739" t="str">
        <f>SAÍDAS!C76</f>
        <v>Tarifas e Impostos</v>
      </c>
      <c r="C606" s="300">
        <f t="shared" si="180"/>
        <v>0</v>
      </c>
      <c r="D606" s="300">
        <f>SAÍDAS!E76*(SAÍDAS!$Y76/100)</f>
        <v>0</v>
      </c>
      <c r="E606" s="300">
        <f>SAÍDAS!F76*(SAÍDAS!$Y76/100)</f>
        <v>0</v>
      </c>
      <c r="F606" s="300">
        <f>SAÍDAS!G76*(SAÍDAS!$Y76/100)</f>
        <v>0</v>
      </c>
      <c r="G606" s="300">
        <f>SAÍDAS!H76*(SAÍDAS!$Y76/100)</f>
        <v>0</v>
      </c>
      <c r="H606" s="300">
        <f>SAÍDAS!I76*(SAÍDAS!$Y76/100)</f>
        <v>0</v>
      </c>
      <c r="I606" s="300">
        <f>SAÍDAS!J76*(SAÍDAS!$Y76/100)</f>
        <v>0</v>
      </c>
      <c r="J606" s="300">
        <f>SAÍDAS!K76*(SAÍDAS!$Y76/100)</f>
        <v>0</v>
      </c>
      <c r="K606" s="300">
        <f>SAÍDAS!L76*(SAÍDAS!$Y76/100)</f>
        <v>0</v>
      </c>
      <c r="L606" s="300">
        <f>SAÍDAS!M76*(SAÍDAS!$Y76/100)</f>
        <v>0</v>
      </c>
      <c r="M606" s="300">
        <f>SAÍDAS!N76*(SAÍDAS!$Y76/100)</f>
        <v>0</v>
      </c>
      <c r="N606" s="300">
        <f>SAÍDAS!O76*(SAÍDAS!$Y76/100)</f>
        <v>0</v>
      </c>
      <c r="O606" s="300">
        <f>SAÍDAS!P76*(SAÍDAS!$Y76/100)</f>
        <v>0</v>
      </c>
      <c r="P606" s="300"/>
      <c r="Q606" s="678"/>
      <c r="R606" s="783"/>
      <c r="S606" s="783"/>
      <c r="T606" s="783"/>
      <c r="U606" s="783"/>
      <c r="V606" s="783"/>
      <c r="W606" s="783"/>
      <c r="X606" s="783"/>
      <c r="Y606" s="783"/>
    </row>
    <row r="607" spans="1:25" hidden="1" x14ac:dyDescent="0.25">
      <c r="A607" s="670"/>
      <c r="B607" s="739" t="str">
        <f>SAÍDAS!C77</f>
        <v>Tarifas e Impostos</v>
      </c>
      <c r="C607" s="300">
        <f t="shared" si="180"/>
        <v>0</v>
      </c>
      <c r="D607" s="300">
        <f>SAÍDAS!E77*(SAÍDAS!$Y77/100)</f>
        <v>0</v>
      </c>
      <c r="E607" s="300">
        <f>SAÍDAS!F77*(SAÍDAS!$Y77/100)</f>
        <v>0</v>
      </c>
      <c r="F607" s="300">
        <f>SAÍDAS!G77*(SAÍDAS!$Y77/100)</f>
        <v>0</v>
      </c>
      <c r="G607" s="300">
        <f>SAÍDAS!H77*(SAÍDAS!$Y77/100)</f>
        <v>0</v>
      </c>
      <c r="H607" s="300">
        <f>SAÍDAS!I77*(SAÍDAS!$Y77/100)</f>
        <v>0</v>
      </c>
      <c r="I607" s="300">
        <f>SAÍDAS!J77*(SAÍDAS!$Y77/100)</f>
        <v>0</v>
      </c>
      <c r="J607" s="300">
        <f>SAÍDAS!K77*(SAÍDAS!$Y77/100)</f>
        <v>0</v>
      </c>
      <c r="K607" s="300">
        <f>SAÍDAS!L77*(SAÍDAS!$Y77/100)</f>
        <v>0</v>
      </c>
      <c r="L607" s="300">
        <f>SAÍDAS!M77*(SAÍDAS!$Y77/100)</f>
        <v>0</v>
      </c>
      <c r="M607" s="300">
        <f>SAÍDAS!N77*(SAÍDAS!$Y77/100)</f>
        <v>0</v>
      </c>
      <c r="N607" s="300">
        <f>SAÍDAS!O77*(SAÍDAS!$Y77/100)</f>
        <v>0</v>
      </c>
      <c r="O607" s="300">
        <f>SAÍDAS!P77*(SAÍDAS!$Y77/100)</f>
        <v>0</v>
      </c>
      <c r="P607" s="300"/>
      <c r="Q607" s="678"/>
      <c r="R607" s="783"/>
      <c r="S607" s="783"/>
      <c r="T607" s="783"/>
      <c r="U607" s="783"/>
      <c r="V607" s="783"/>
      <c r="W607" s="783"/>
      <c r="X607" s="783"/>
      <c r="Y607" s="783"/>
    </row>
    <row r="608" spans="1:25" hidden="1" x14ac:dyDescent="0.25">
      <c r="A608" s="670"/>
      <c r="B608" s="739" t="str">
        <f>SAÍDAS!C78</f>
        <v>Administrativo</v>
      </c>
      <c r="C608" s="300">
        <f t="shared" si="180"/>
        <v>0</v>
      </c>
      <c r="D608" s="300">
        <f>SAÍDAS!E78*(SAÍDAS!$Y78/100)</f>
        <v>0</v>
      </c>
      <c r="E608" s="300">
        <f>SAÍDAS!F78*(SAÍDAS!$Y78/100)</f>
        <v>0</v>
      </c>
      <c r="F608" s="300">
        <f>SAÍDAS!G78*(SAÍDAS!$Y78/100)</f>
        <v>0</v>
      </c>
      <c r="G608" s="300">
        <f>SAÍDAS!H78*(SAÍDAS!$Y78/100)</f>
        <v>0</v>
      </c>
      <c r="H608" s="300">
        <f>SAÍDAS!I78*(SAÍDAS!$Y78/100)</f>
        <v>0</v>
      </c>
      <c r="I608" s="300">
        <f>SAÍDAS!J78*(SAÍDAS!$Y78/100)</f>
        <v>0</v>
      </c>
      <c r="J608" s="300">
        <f>SAÍDAS!K78*(SAÍDAS!$Y78/100)</f>
        <v>0</v>
      </c>
      <c r="K608" s="300">
        <f>SAÍDAS!L78*(SAÍDAS!$Y78/100)</f>
        <v>0</v>
      </c>
      <c r="L608" s="300">
        <f>SAÍDAS!M78*(SAÍDAS!$Y78/100)</f>
        <v>0</v>
      </c>
      <c r="M608" s="300">
        <f>SAÍDAS!N78*(SAÍDAS!$Y78/100)</f>
        <v>0</v>
      </c>
      <c r="N608" s="300">
        <f>SAÍDAS!O78*(SAÍDAS!$Y78/100)</f>
        <v>0</v>
      </c>
      <c r="O608" s="300">
        <f>SAÍDAS!P78*(SAÍDAS!$Y78/100)</f>
        <v>0</v>
      </c>
      <c r="P608" s="300"/>
      <c r="Q608" s="678"/>
      <c r="R608" s="783"/>
      <c r="S608" s="783"/>
      <c r="T608" s="783"/>
      <c r="U608" s="783"/>
      <c r="V608" s="783"/>
      <c r="W608" s="783"/>
      <c r="X608" s="783"/>
      <c r="Y608" s="783"/>
    </row>
    <row r="609" spans="1:25" hidden="1" x14ac:dyDescent="0.25">
      <c r="A609" s="670"/>
      <c r="B609" s="739" t="str">
        <f>SAÍDAS!C79</f>
        <v>Administrativo</v>
      </c>
      <c r="C609" s="300">
        <f t="shared" si="180"/>
        <v>0</v>
      </c>
      <c r="D609" s="300">
        <f>SAÍDAS!E79*(SAÍDAS!$Y79/100)</f>
        <v>0</v>
      </c>
      <c r="E609" s="300">
        <f>SAÍDAS!F79*(SAÍDAS!$Y79/100)</f>
        <v>0</v>
      </c>
      <c r="F609" s="300">
        <f>SAÍDAS!G79*(SAÍDAS!$Y79/100)</f>
        <v>0</v>
      </c>
      <c r="G609" s="300">
        <f>SAÍDAS!H79*(SAÍDAS!$Y79/100)</f>
        <v>0</v>
      </c>
      <c r="H609" s="300">
        <f>SAÍDAS!I79*(SAÍDAS!$Y79/100)</f>
        <v>0</v>
      </c>
      <c r="I609" s="300">
        <f>SAÍDAS!J79*(SAÍDAS!$Y79/100)</f>
        <v>0</v>
      </c>
      <c r="J609" s="300">
        <f>SAÍDAS!K79*(SAÍDAS!$Y79/100)</f>
        <v>0</v>
      </c>
      <c r="K609" s="300">
        <f>SAÍDAS!L79*(SAÍDAS!$Y79/100)</f>
        <v>0</v>
      </c>
      <c r="L609" s="300">
        <f>SAÍDAS!M79*(SAÍDAS!$Y79/100)</f>
        <v>0</v>
      </c>
      <c r="M609" s="300">
        <f>SAÍDAS!N79*(SAÍDAS!$Y79/100)</f>
        <v>0</v>
      </c>
      <c r="N609" s="300">
        <f>SAÍDAS!O79*(SAÍDAS!$Y79/100)</f>
        <v>0</v>
      </c>
      <c r="O609" s="300">
        <f>SAÍDAS!P79*(SAÍDAS!$Y79/100)</f>
        <v>0</v>
      </c>
      <c r="P609" s="300"/>
      <c r="Q609" s="678"/>
      <c r="R609" s="783"/>
      <c r="S609" s="783"/>
      <c r="T609" s="783"/>
      <c r="U609" s="783"/>
      <c r="V609" s="783"/>
      <c r="W609" s="783"/>
      <c r="X609" s="783"/>
      <c r="Y609" s="783"/>
    </row>
    <row r="610" spans="1:25" hidden="1" x14ac:dyDescent="0.25">
      <c r="A610" s="670"/>
      <c r="B610" s="739" t="str">
        <f>SAÍDAS!C80</f>
        <v>Mão de Obra</v>
      </c>
      <c r="C610" s="300">
        <f t="shared" si="180"/>
        <v>0</v>
      </c>
      <c r="D610" s="300">
        <f>SAÍDAS!E80*(SAÍDAS!$Y80/100)</f>
        <v>0</v>
      </c>
      <c r="E610" s="300">
        <f>SAÍDAS!F80*(SAÍDAS!$Y80/100)</f>
        <v>0</v>
      </c>
      <c r="F610" s="300">
        <f>SAÍDAS!G80*(SAÍDAS!$Y80/100)</f>
        <v>0</v>
      </c>
      <c r="G610" s="300">
        <f>SAÍDAS!H80*(SAÍDAS!$Y80/100)</f>
        <v>0</v>
      </c>
      <c r="H610" s="300">
        <f>SAÍDAS!I80*(SAÍDAS!$Y80/100)</f>
        <v>0</v>
      </c>
      <c r="I610" s="300">
        <f>SAÍDAS!J80*(SAÍDAS!$Y80/100)</f>
        <v>0</v>
      </c>
      <c r="J610" s="300">
        <f>SAÍDAS!K80*(SAÍDAS!$Y80/100)</f>
        <v>0</v>
      </c>
      <c r="K610" s="300">
        <f>SAÍDAS!L80*(SAÍDAS!$Y80/100)</f>
        <v>0</v>
      </c>
      <c r="L610" s="300">
        <f>SAÍDAS!M80*(SAÍDAS!$Y80/100)</f>
        <v>0</v>
      </c>
      <c r="M610" s="300">
        <f>SAÍDAS!N80*(SAÍDAS!$Y80/100)</f>
        <v>0</v>
      </c>
      <c r="N610" s="300">
        <f>SAÍDAS!O80*(SAÍDAS!$Y80/100)</f>
        <v>0</v>
      </c>
      <c r="O610" s="300">
        <f>SAÍDAS!P80*(SAÍDAS!$Y80/100)</f>
        <v>0</v>
      </c>
      <c r="P610" s="300"/>
      <c r="Q610" s="678"/>
      <c r="R610" s="783"/>
      <c r="S610" s="783"/>
      <c r="T610" s="783"/>
      <c r="U610" s="783"/>
      <c r="V610" s="783"/>
      <c r="W610" s="783"/>
      <c r="X610" s="783"/>
      <c r="Y610" s="783"/>
    </row>
    <row r="611" spans="1:25" hidden="1" x14ac:dyDescent="0.25">
      <c r="A611" s="670"/>
      <c r="B611" s="739" t="str">
        <f>SAÍDAS!C81</f>
        <v>Mão de Obra</v>
      </c>
      <c r="C611" s="300">
        <f t="shared" si="180"/>
        <v>0</v>
      </c>
      <c r="D611" s="300">
        <f>SAÍDAS!E81*(SAÍDAS!$Y81/100)</f>
        <v>0</v>
      </c>
      <c r="E611" s="300">
        <f>SAÍDAS!F81*(SAÍDAS!$Y81/100)</f>
        <v>0</v>
      </c>
      <c r="F611" s="300">
        <f>SAÍDAS!G81*(SAÍDAS!$Y81/100)</f>
        <v>0</v>
      </c>
      <c r="G611" s="300">
        <f>SAÍDAS!H81*(SAÍDAS!$Y81/100)</f>
        <v>0</v>
      </c>
      <c r="H611" s="300">
        <f>SAÍDAS!I81*(SAÍDAS!$Y81/100)</f>
        <v>0</v>
      </c>
      <c r="I611" s="300">
        <f>SAÍDAS!J81*(SAÍDAS!$Y81/100)</f>
        <v>0</v>
      </c>
      <c r="J611" s="300">
        <f>SAÍDAS!K81*(SAÍDAS!$Y81/100)</f>
        <v>0</v>
      </c>
      <c r="K611" s="300">
        <f>SAÍDAS!L81*(SAÍDAS!$Y81/100)</f>
        <v>0</v>
      </c>
      <c r="L611" s="300">
        <f>SAÍDAS!M81*(SAÍDAS!$Y81/100)</f>
        <v>0</v>
      </c>
      <c r="M611" s="300">
        <f>SAÍDAS!N81*(SAÍDAS!$Y81/100)</f>
        <v>0</v>
      </c>
      <c r="N611" s="300">
        <f>SAÍDAS!O81*(SAÍDAS!$Y81/100)</f>
        <v>0</v>
      </c>
      <c r="O611" s="300">
        <f>SAÍDAS!P81*(SAÍDAS!$Y81/100)</f>
        <v>0</v>
      </c>
      <c r="P611" s="300"/>
      <c r="Q611" s="678"/>
      <c r="R611" s="783"/>
      <c r="S611" s="783"/>
      <c r="T611" s="783"/>
      <c r="U611" s="783"/>
      <c r="V611" s="783"/>
      <c r="W611" s="783"/>
      <c r="X611" s="783"/>
      <c r="Y611" s="783"/>
    </row>
    <row r="612" spans="1:25" hidden="1" x14ac:dyDescent="0.25">
      <c r="A612" s="670"/>
      <c r="B612" s="739" t="str">
        <f>SAÍDAS!C82</f>
        <v>Despesas com viajens Consultor</v>
      </c>
      <c r="C612" s="300">
        <f t="shared" si="180"/>
        <v>0</v>
      </c>
      <c r="D612" s="300">
        <f>SAÍDAS!E82*(SAÍDAS!$Y82/100)</f>
        <v>0</v>
      </c>
      <c r="E612" s="300">
        <f>SAÍDAS!F82*(SAÍDAS!$Y82/100)</f>
        <v>0</v>
      </c>
      <c r="F612" s="300">
        <f>SAÍDAS!G82*(SAÍDAS!$Y82/100)</f>
        <v>0</v>
      </c>
      <c r="G612" s="300">
        <f>SAÍDAS!H82*(SAÍDAS!$Y82/100)</f>
        <v>0</v>
      </c>
      <c r="H612" s="300">
        <f>SAÍDAS!I82*(SAÍDAS!$Y82/100)</f>
        <v>0</v>
      </c>
      <c r="I612" s="300">
        <f>SAÍDAS!J82*(SAÍDAS!$Y82/100)</f>
        <v>0</v>
      </c>
      <c r="J612" s="300">
        <f>SAÍDAS!K82*(SAÍDAS!$Y82/100)</f>
        <v>0</v>
      </c>
      <c r="K612" s="300">
        <f>SAÍDAS!L82*(SAÍDAS!$Y82/100)</f>
        <v>0</v>
      </c>
      <c r="L612" s="300">
        <f>SAÍDAS!M82*(SAÍDAS!$Y82/100)</f>
        <v>0</v>
      </c>
      <c r="M612" s="300">
        <f>SAÍDAS!N82*(SAÍDAS!$Y82/100)</f>
        <v>0</v>
      </c>
      <c r="N612" s="300">
        <f>SAÍDAS!O82*(SAÍDAS!$Y82/100)</f>
        <v>0</v>
      </c>
      <c r="O612" s="300">
        <f>SAÍDAS!P82*(SAÍDAS!$Y82/100)</f>
        <v>0</v>
      </c>
      <c r="P612" s="300"/>
      <c r="Q612" s="678"/>
      <c r="R612" s="783"/>
      <c r="S612" s="783"/>
      <c r="T612" s="783"/>
      <c r="U612" s="783"/>
      <c r="V612" s="783"/>
      <c r="W612" s="783"/>
      <c r="X612" s="783"/>
      <c r="Y612" s="783"/>
    </row>
    <row r="613" spans="1:25" hidden="1" x14ac:dyDescent="0.25">
      <c r="A613" s="670"/>
      <c r="B613" s="739" t="str">
        <f>SAÍDAS!C83</f>
        <v>Consultoria</v>
      </c>
      <c r="C613" s="300">
        <f t="shared" si="180"/>
        <v>0</v>
      </c>
      <c r="D613" s="300">
        <f>SAÍDAS!E83*(SAÍDAS!$Y83/100)</f>
        <v>0</v>
      </c>
      <c r="E613" s="300">
        <f>SAÍDAS!F83*(SAÍDAS!$Y83/100)</f>
        <v>0</v>
      </c>
      <c r="F613" s="300">
        <f>SAÍDAS!G83*(SAÍDAS!$Y83/100)</f>
        <v>0</v>
      </c>
      <c r="G613" s="300">
        <f>SAÍDAS!H83*(SAÍDAS!$Y83/100)</f>
        <v>0</v>
      </c>
      <c r="H613" s="300">
        <f>SAÍDAS!I83*(SAÍDAS!$Y83/100)</f>
        <v>0</v>
      </c>
      <c r="I613" s="300">
        <f>SAÍDAS!J83*(SAÍDAS!$Y83/100)</f>
        <v>0</v>
      </c>
      <c r="J613" s="300">
        <f>SAÍDAS!K83*(SAÍDAS!$Y83/100)</f>
        <v>0</v>
      </c>
      <c r="K613" s="300">
        <f>SAÍDAS!L83*(SAÍDAS!$Y83/100)</f>
        <v>0</v>
      </c>
      <c r="L613" s="300">
        <f>SAÍDAS!M83*(SAÍDAS!$Y83/100)</f>
        <v>0</v>
      </c>
      <c r="M613" s="300">
        <f>SAÍDAS!N83*(SAÍDAS!$Y83/100)</f>
        <v>0</v>
      </c>
      <c r="N613" s="300">
        <f>SAÍDAS!O83*(SAÍDAS!$Y83/100)</f>
        <v>0</v>
      </c>
      <c r="O613" s="300">
        <f>SAÍDAS!P83*(SAÍDAS!$Y83/100)</f>
        <v>0</v>
      </c>
      <c r="P613" s="300"/>
      <c r="Q613" s="678"/>
      <c r="R613" s="783"/>
      <c r="S613" s="783"/>
      <c r="T613" s="783"/>
      <c r="U613" s="783"/>
      <c r="V613" s="783"/>
      <c r="W613" s="783"/>
      <c r="X613" s="783"/>
      <c r="Y613" s="783"/>
    </row>
    <row r="614" spans="1:25" hidden="1" x14ac:dyDescent="0.25">
      <c r="A614" s="670"/>
      <c r="B614" s="739" t="str">
        <f>SAÍDAS!C84</f>
        <v>Consultor</v>
      </c>
      <c r="C614" s="300">
        <f t="shared" si="180"/>
        <v>0</v>
      </c>
      <c r="D614" s="300">
        <f>SAÍDAS!E84*(SAÍDAS!$Y84/100)</f>
        <v>0</v>
      </c>
      <c r="E614" s="300">
        <f>SAÍDAS!F84*(SAÍDAS!$Y84/100)</f>
        <v>0</v>
      </c>
      <c r="F614" s="300">
        <f>SAÍDAS!G84*(SAÍDAS!$Y84/100)</f>
        <v>0</v>
      </c>
      <c r="G614" s="300">
        <f>SAÍDAS!H84*(SAÍDAS!$Y84/100)</f>
        <v>0</v>
      </c>
      <c r="H614" s="300">
        <f>SAÍDAS!I84*(SAÍDAS!$Y84/100)</f>
        <v>0</v>
      </c>
      <c r="I614" s="300">
        <f>SAÍDAS!J84*(SAÍDAS!$Y84/100)</f>
        <v>0</v>
      </c>
      <c r="J614" s="300">
        <f>SAÍDAS!K84*(SAÍDAS!$Y84/100)</f>
        <v>0</v>
      </c>
      <c r="K614" s="300">
        <f>SAÍDAS!L84*(SAÍDAS!$Y84/100)</f>
        <v>0</v>
      </c>
      <c r="L614" s="300">
        <f>SAÍDAS!M84*(SAÍDAS!$Y84/100)</f>
        <v>0</v>
      </c>
      <c r="M614" s="300">
        <f>SAÍDAS!N84*(SAÍDAS!$Y84/100)</f>
        <v>0</v>
      </c>
      <c r="N614" s="300">
        <f>SAÍDAS!O84*(SAÍDAS!$Y84/100)</f>
        <v>0</v>
      </c>
      <c r="O614" s="300">
        <f>SAÍDAS!P84*(SAÍDAS!$Y84/100)</f>
        <v>0</v>
      </c>
      <c r="P614" s="300"/>
      <c r="Q614" s="678"/>
      <c r="R614" s="783"/>
      <c r="S614" s="783"/>
      <c r="T614" s="783"/>
      <c r="U614" s="783"/>
      <c r="V614" s="783"/>
      <c r="W614" s="783"/>
      <c r="X614" s="783"/>
      <c r="Y614" s="783"/>
    </row>
    <row r="615" spans="1:25" hidden="1" x14ac:dyDescent="0.25">
      <c r="A615" s="670"/>
      <c r="B615" s="739" t="str">
        <f>SAÍDAS!C85</f>
        <v>Cassio</v>
      </c>
      <c r="C615" s="300">
        <f t="shared" si="180"/>
        <v>0</v>
      </c>
      <c r="D615" s="300">
        <f>SAÍDAS!E85*(SAÍDAS!$Y85/100)</f>
        <v>0</v>
      </c>
      <c r="E615" s="300">
        <f>SAÍDAS!F85*(SAÍDAS!$Y85/100)</f>
        <v>0</v>
      </c>
      <c r="F615" s="300">
        <f>SAÍDAS!G85*(SAÍDAS!$Y85/100)</f>
        <v>0</v>
      </c>
      <c r="G615" s="300">
        <f>SAÍDAS!H85*(SAÍDAS!$Y85/100)</f>
        <v>0</v>
      </c>
      <c r="H615" s="300">
        <f>SAÍDAS!I85*(SAÍDAS!$Y85/100)</f>
        <v>0</v>
      </c>
      <c r="I615" s="300">
        <f>SAÍDAS!J85*(SAÍDAS!$Y85/100)</f>
        <v>0</v>
      </c>
      <c r="J615" s="300">
        <f>SAÍDAS!K85*(SAÍDAS!$Y85/100)</f>
        <v>0</v>
      </c>
      <c r="K615" s="300">
        <f>SAÍDAS!L85*(SAÍDAS!$Y85/100)</f>
        <v>0</v>
      </c>
      <c r="L615" s="300">
        <f>SAÍDAS!M85*(SAÍDAS!$Y85/100)</f>
        <v>0</v>
      </c>
      <c r="M615" s="300">
        <f>SAÍDAS!N85*(SAÍDAS!$Y85/100)</f>
        <v>0</v>
      </c>
      <c r="N615" s="300">
        <f>SAÍDAS!O85*(SAÍDAS!$Y85/100)</f>
        <v>0</v>
      </c>
      <c r="O615" s="300">
        <f>SAÍDAS!P85*(SAÍDAS!$Y85/100)</f>
        <v>0</v>
      </c>
      <c r="P615" s="300"/>
      <c r="Q615" s="678"/>
      <c r="R615" s="783"/>
      <c r="S615" s="783"/>
      <c r="T615" s="783"/>
      <c r="U615" s="783"/>
      <c r="V615" s="783"/>
      <c r="W615" s="783"/>
      <c r="X615" s="783"/>
      <c r="Y615" s="783"/>
    </row>
    <row r="616" spans="1:25" hidden="1" x14ac:dyDescent="0.25">
      <c r="A616" s="670"/>
      <c r="B616" s="739" t="str">
        <f>SAÍDAS!C86</f>
        <v>material limpeza, vidro</v>
      </c>
      <c r="C616" s="300">
        <f t="shared" si="180"/>
        <v>0</v>
      </c>
      <c r="D616" s="300">
        <f>SAÍDAS!E86*(SAÍDAS!$Y86/100)</f>
        <v>0</v>
      </c>
      <c r="E616" s="300">
        <f>SAÍDAS!F86*(SAÍDAS!$Y86/100)</f>
        <v>0</v>
      </c>
      <c r="F616" s="300">
        <f>SAÍDAS!G86*(SAÍDAS!$Y86/100)</f>
        <v>0</v>
      </c>
      <c r="G616" s="300">
        <f>SAÍDAS!H86*(SAÍDAS!$Y86/100)</f>
        <v>0</v>
      </c>
      <c r="H616" s="300">
        <f>SAÍDAS!I86*(SAÍDAS!$Y86/100)</f>
        <v>0</v>
      </c>
      <c r="I616" s="300">
        <f>SAÍDAS!J86*(SAÍDAS!$Y86/100)</f>
        <v>0</v>
      </c>
      <c r="J616" s="300">
        <f>SAÍDAS!K86*(SAÍDAS!$Y86/100)</f>
        <v>0</v>
      </c>
      <c r="K616" s="300">
        <f>SAÍDAS!L86*(SAÍDAS!$Y86/100)</f>
        <v>0</v>
      </c>
      <c r="L616" s="300">
        <f>SAÍDAS!M86*(SAÍDAS!$Y86/100)</f>
        <v>0</v>
      </c>
      <c r="M616" s="300">
        <f>SAÍDAS!N86*(SAÍDAS!$Y86/100)</f>
        <v>0</v>
      </c>
      <c r="N616" s="300">
        <f>SAÍDAS!O86*(SAÍDAS!$Y86/100)</f>
        <v>0</v>
      </c>
      <c r="O616" s="300">
        <f>SAÍDAS!P86*(SAÍDAS!$Y86/100)</f>
        <v>0</v>
      </c>
      <c r="P616" s="300"/>
      <c r="Q616" s="678"/>
      <c r="R616" s="783"/>
      <c r="S616" s="783"/>
      <c r="T616" s="783"/>
      <c r="U616" s="783"/>
      <c r="V616" s="783"/>
      <c r="W616" s="783"/>
      <c r="X616" s="783"/>
      <c r="Y616" s="783"/>
    </row>
    <row r="617" spans="1:25" hidden="1" x14ac:dyDescent="0.25">
      <c r="A617" s="670"/>
      <c r="B617" s="739" t="str">
        <f>SAÍDAS!C87</f>
        <v>madeiras manutencao</v>
      </c>
      <c r="C617" s="300">
        <f t="shared" si="180"/>
        <v>0</v>
      </c>
      <c r="D617" s="300">
        <f>SAÍDAS!E87*(SAÍDAS!$Y87/100)</f>
        <v>0</v>
      </c>
      <c r="E617" s="300">
        <f>SAÍDAS!F87*(SAÍDAS!$Y87/100)</f>
        <v>0</v>
      </c>
      <c r="F617" s="300">
        <f>SAÍDAS!G87*(SAÍDAS!$Y87/100)</f>
        <v>0</v>
      </c>
      <c r="G617" s="300">
        <f>SAÍDAS!H87*(SAÍDAS!$Y87/100)</f>
        <v>0</v>
      </c>
      <c r="H617" s="300">
        <f>SAÍDAS!I87*(SAÍDAS!$Y87/100)</f>
        <v>0</v>
      </c>
      <c r="I617" s="300">
        <f>SAÍDAS!J87*(SAÍDAS!$Y87/100)</f>
        <v>0</v>
      </c>
      <c r="J617" s="300">
        <f>SAÍDAS!K87*(SAÍDAS!$Y87/100)</f>
        <v>0</v>
      </c>
      <c r="K617" s="300">
        <f>SAÍDAS!L87*(SAÍDAS!$Y87/100)</f>
        <v>0</v>
      </c>
      <c r="L617" s="300">
        <f>SAÍDAS!M87*(SAÍDAS!$Y87/100)</f>
        <v>0</v>
      </c>
      <c r="M617" s="300">
        <f>SAÍDAS!N87*(SAÍDAS!$Y87/100)</f>
        <v>0</v>
      </c>
      <c r="N617" s="300">
        <f>SAÍDAS!O87*(SAÍDAS!$Y87/100)</f>
        <v>0</v>
      </c>
      <c r="O617" s="300">
        <f>SAÍDAS!P87*(SAÍDAS!$Y87/100)</f>
        <v>0</v>
      </c>
      <c r="P617" s="300"/>
      <c r="Q617" s="678"/>
      <c r="R617" s="783"/>
      <c r="S617" s="783"/>
      <c r="T617" s="783"/>
      <c r="U617" s="783"/>
      <c r="V617" s="783"/>
      <c r="W617" s="783"/>
      <c r="X617" s="783"/>
      <c r="Y617" s="783"/>
    </row>
    <row r="618" spans="1:25" hidden="1" x14ac:dyDescent="0.25">
      <c r="A618" s="670"/>
      <c r="B618" s="739" t="str">
        <f>SAÍDAS!C88</f>
        <v>Outros</v>
      </c>
      <c r="C618" s="300">
        <f t="shared" si="180"/>
        <v>0</v>
      </c>
      <c r="D618" s="300">
        <f>SAÍDAS!E88*(SAÍDAS!$Y88/100)</f>
        <v>0</v>
      </c>
      <c r="E618" s="300">
        <f>SAÍDAS!F88*(SAÍDAS!$Y88/100)</f>
        <v>0</v>
      </c>
      <c r="F618" s="300">
        <f>SAÍDAS!G88*(SAÍDAS!$Y88/100)</f>
        <v>0</v>
      </c>
      <c r="G618" s="300">
        <f>SAÍDAS!H88*(SAÍDAS!$Y88/100)</f>
        <v>0</v>
      </c>
      <c r="H618" s="300">
        <f>SAÍDAS!I88*(SAÍDAS!$Y88/100)</f>
        <v>0</v>
      </c>
      <c r="I618" s="300">
        <f>SAÍDAS!J88*(SAÍDAS!$Y88/100)</f>
        <v>0</v>
      </c>
      <c r="J618" s="300">
        <f>SAÍDAS!K88*(SAÍDAS!$Y88/100)</f>
        <v>0</v>
      </c>
      <c r="K618" s="300">
        <f>SAÍDAS!L88*(SAÍDAS!$Y88/100)</f>
        <v>0</v>
      </c>
      <c r="L618" s="300">
        <f>SAÍDAS!M88*(SAÍDAS!$Y88/100)</f>
        <v>0</v>
      </c>
      <c r="M618" s="300">
        <f>SAÍDAS!N88*(SAÍDAS!$Y88/100)</f>
        <v>0</v>
      </c>
      <c r="N618" s="300">
        <f>SAÍDAS!O88*(SAÍDAS!$Y88/100)</f>
        <v>0</v>
      </c>
      <c r="O618" s="300">
        <f>SAÍDAS!P88*(SAÍDAS!$Y88/100)</f>
        <v>0</v>
      </c>
      <c r="P618" s="300"/>
      <c r="Q618" s="678"/>
      <c r="R618" s="783"/>
      <c r="S618" s="783"/>
      <c r="T618" s="783"/>
      <c r="U618" s="783"/>
      <c r="V618" s="783"/>
      <c r="W618" s="783"/>
      <c r="X618" s="783"/>
      <c r="Y618" s="783"/>
    </row>
    <row r="619" spans="1:25" hidden="1" x14ac:dyDescent="0.25">
      <c r="A619" s="670"/>
      <c r="B619" s="739" t="str">
        <f>SAÍDAS!C89</f>
        <v>frete</v>
      </c>
      <c r="C619" s="300">
        <f t="shared" si="180"/>
        <v>0</v>
      </c>
      <c r="D619" s="300">
        <f>SAÍDAS!E89*(SAÍDAS!$Y89/100)</f>
        <v>0</v>
      </c>
      <c r="E619" s="300">
        <f>SAÍDAS!F89*(SAÍDAS!$Y89/100)</f>
        <v>0</v>
      </c>
      <c r="F619" s="300">
        <f>SAÍDAS!G89*(SAÍDAS!$Y89/100)</f>
        <v>0</v>
      </c>
      <c r="G619" s="300">
        <f>SAÍDAS!H89*(SAÍDAS!$Y89/100)</f>
        <v>0</v>
      </c>
      <c r="H619" s="300">
        <f>SAÍDAS!I89*(SAÍDAS!$Y89/100)</f>
        <v>0</v>
      </c>
      <c r="I619" s="300">
        <f>SAÍDAS!J89*(SAÍDAS!$Y89/100)</f>
        <v>0</v>
      </c>
      <c r="J619" s="300">
        <f>SAÍDAS!K89*(SAÍDAS!$Y89/100)</f>
        <v>0</v>
      </c>
      <c r="K619" s="300">
        <f>SAÍDAS!L89*(SAÍDAS!$Y89/100)</f>
        <v>0</v>
      </c>
      <c r="L619" s="300">
        <f>SAÍDAS!M89*(SAÍDAS!$Y89/100)</f>
        <v>0</v>
      </c>
      <c r="M619" s="300">
        <f>SAÍDAS!N89*(SAÍDAS!$Y89/100)</f>
        <v>0</v>
      </c>
      <c r="N619" s="300">
        <f>SAÍDAS!O89*(SAÍDAS!$Y89/100)</f>
        <v>0</v>
      </c>
      <c r="O619" s="300">
        <f>SAÍDAS!P89*(SAÍDAS!$Y89/100)</f>
        <v>0</v>
      </c>
      <c r="P619" s="300"/>
      <c r="Q619" s="678"/>
      <c r="R619" s="783"/>
      <c r="S619" s="783"/>
      <c r="T619" s="783"/>
      <c r="U619" s="783"/>
      <c r="V619" s="783"/>
      <c r="W619" s="783"/>
      <c r="X619" s="783"/>
      <c r="Y619" s="783"/>
    </row>
    <row r="620" spans="1:25" hidden="1" x14ac:dyDescent="0.25">
      <c r="A620" s="670"/>
      <c r="B620" s="739" t="str">
        <f>SAÍDAS!C90</f>
        <v>Depreciação</v>
      </c>
      <c r="C620" s="300">
        <f t="shared" si="180"/>
        <v>0</v>
      </c>
      <c r="D620" s="300">
        <f>SAÍDAS!E90*(SAÍDAS!$Y90/100)</f>
        <v>0</v>
      </c>
      <c r="E620" s="300">
        <f>SAÍDAS!F90*(SAÍDAS!$Y90/100)</f>
        <v>0</v>
      </c>
      <c r="F620" s="300">
        <f>SAÍDAS!G90*(SAÍDAS!$Y90/100)</f>
        <v>0</v>
      </c>
      <c r="G620" s="300">
        <f>SAÍDAS!H90*(SAÍDAS!$Y90/100)</f>
        <v>0</v>
      </c>
      <c r="H620" s="300">
        <f>SAÍDAS!I90*(SAÍDAS!$Y90/100)</f>
        <v>0</v>
      </c>
      <c r="I620" s="300">
        <f>SAÍDAS!J90*(SAÍDAS!$Y90/100)</f>
        <v>0</v>
      </c>
      <c r="J620" s="300">
        <f>SAÍDAS!K90*(SAÍDAS!$Y90/100)</f>
        <v>0</v>
      </c>
      <c r="K620" s="300">
        <f>SAÍDAS!L90*(SAÍDAS!$Y90/100)</f>
        <v>0</v>
      </c>
      <c r="L620" s="300">
        <f>SAÍDAS!M90*(SAÍDAS!$Y90/100)</f>
        <v>0</v>
      </c>
      <c r="M620" s="300">
        <f>SAÍDAS!N90*(SAÍDAS!$Y90/100)</f>
        <v>0</v>
      </c>
      <c r="N620" s="300">
        <f>SAÍDAS!O90*(SAÍDAS!$Y90/100)</f>
        <v>0</v>
      </c>
      <c r="O620" s="300">
        <f>SAÍDAS!P90*(SAÍDAS!$Y90/100)</f>
        <v>0</v>
      </c>
      <c r="P620" s="300"/>
      <c r="Q620" s="678"/>
      <c r="R620" s="783"/>
      <c r="S620" s="783"/>
      <c r="T620" s="783"/>
      <c r="U620" s="783"/>
      <c r="V620" s="783"/>
      <c r="W620" s="783"/>
      <c r="X620" s="783"/>
      <c r="Y620" s="783"/>
    </row>
    <row r="621" spans="1:25" hidden="1" x14ac:dyDescent="0.25">
      <c r="A621" s="670"/>
      <c r="B621" s="739"/>
      <c r="C621" s="300"/>
      <c r="D621" s="300"/>
      <c r="E621" s="300"/>
      <c r="F621" s="300"/>
      <c r="G621" s="300"/>
      <c r="H621" s="300"/>
      <c r="I621" s="300"/>
      <c r="J621" s="300"/>
      <c r="K621" s="300"/>
      <c r="L621" s="300"/>
      <c r="M621" s="300"/>
      <c r="N621" s="300"/>
      <c r="O621" s="300"/>
      <c r="P621" s="300"/>
      <c r="Q621" s="678"/>
      <c r="R621" s="783"/>
      <c r="S621" s="783"/>
      <c r="T621" s="783"/>
      <c r="U621" s="783"/>
      <c r="V621" s="783"/>
      <c r="W621" s="783"/>
      <c r="X621" s="783"/>
      <c r="Y621" s="783"/>
    </row>
    <row r="622" spans="1:25" hidden="1" x14ac:dyDescent="0.25">
      <c r="A622" s="670"/>
      <c r="B622" s="741" t="s">
        <v>180</v>
      </c>
      <c r="C622" s="300">
        <f>SUM(D622:O622)</f>
        <v>0</v>
      </c>
      <c r="D622" s="300">
        <f>SUM(D603:D619)</f>
        <v>0</v>
      </c>
      <c r="E622" s="300">
        <f t="shared" ref="E622:O622" si="181">SUM(E603:E619)</f>
        <v>0</v>
      </c>
      <c r="F622" s="300">
        <f t="shared" si="181"/>
        <v>0</v>
      </c>
      <c r="G622" s="300">
        <f t="shared" si="181"/>
        <v>0</v>
      </c>
      <c r="H622" s="300">
        <f t="shared" si="181"/>
        <v>0</v>
      </c>
      <c r="I622" s="300">
        <f t="shared" si="181"/>
        <v>0</v>
      </c>
      <c r="J622" s="300">
        <f t="shared" si="181"/>
        <v>0</v>
      </c>
      <c r="K622" s="300">
        <f t="shared" si="181"/>
        <v>0</v>
      </c>
      <c r="L622" s="300">
        <f t="shared" si="181"/>
        <v>0</v>
      </c>
      <c r="M622" s="300">
        <f t="shared" si="181"/>
        <v>0</v>
      </c>
      <c r="N622" s="300">
        <f t="shared" si="181"/>
        <v>0</v>
      </c>
      <c r="O622" s="300">
        <f t="shared" si="181"/>
        <v>0</v>
      </c>
      <c r="P622" s="300"/>
      <c r="Q622" s="678"/>
      <c r="R622" s="783"/>
      <c r="S622" s="783"/>
      <c r="T622" s="783"/>
      <c r="U622" s="783"/>
      <c r="V622" s="783"/>
      <c r="W622" s="783"/>
      <c r="X622" s="783"/>
      <c r="Y622" s="783"/>
    </row>
    <row r="623" spans="1:25" hidden="1" x14ac:dyDescent="0.25">
      <c r="A623" s="670"/>
      <c r="B623" s="741"/>
      <c r="C623" s="228"/>
      <c r="D623" s="300"/>
      <c r="E623" s="300"/>
      <c r="F623" s="300"/>
      <c r="G623" s="300"/>
      <c r="H623" s="300"/>
      <c r="I623" s="300"/>
      <c r="J623" s="300"/>
      <c r="K623" s="300"/>
      <c r="L623" s="300"/>
      <c r="M623" s="300"/>
      <c r="N623" s="300"/>
      <c r="O623" s="300"/>
      <c r="P623" s="300"/>
      <c r="Q623" s="678"/>
      <c r="R623" s="783"/>
      <c r="S623" s="783"/>
      <c r="T623" s="783"/>
      <c r="U623" s="783"/>
      <c r="V623" s="783"/>
      <c r="W623" s="783"/>
      <c r="X623" s="783"/>
      <c r="Y623" s="783"/>
    </row>
    <row r="624" spans="1:25" hidden="1" x14ac:dyDescent="0.25">
      <c r="A624" s="670"/>
      <c r="B624" s="742" t="s">
        <v>17</v>
      </c>
      <c r="C624" s="743"/>
      <c r="D624" s="744">
        <f t="shared" ref="D624:O624" si="182">D622+D601</f>
        <v>0</v>
      </c>
      <c r="E624" s="744">
        <f t="shared" si="182"/>
        <v>0</v>
      </c>
      <c r="F624" s="744">
        <f t="shared" si="182"/>
        <v>0</v>
      </c>
      <c r="G624" s="744">
        <f t="shared" si="182"/>
        <v>0</v>
      </c>
      <c r="H624" s="744">
        <f t="shared" si="182"/>
        <v>0</v>
      </c>
      <c r="I624" s="744">
        <f t="shared" si="182"/>
        <v>0</v>
      </c>
      <c r="J624" s="744">
        <f t="shared" si="182"/>
        <v>0</v>
      </c>
      <c r="K624" s="744">
        <f t="shared" si="182"/>
        <v>0</v>
      </c>
      <c r="L624" s="744">
        <f t="shared" si="182"/>
        <v>0</v>
      </c>
      <c r="M624" s="744">
        <f t="shared" si="182"/>
        <v>0</v>
      </c>
      <c r="N624" s="744">
        <f t="shared" si="182"/>
        <v>0</v>
      </c>
      <c r="O624" s="744">
        <f t="shared" si="182"/>
        <v>0</v>
      </c>
      <c r="P624" s="744">
        <f>SUM(D624:O624)</f>
        <v>0</v>
      </c>
      <c r="Q624" s="678"/>
      <c r="R624" s="783"/>
      <c r="S624" s="783"/>
      <c r="T624" s="783"/>
      <c r="U624" s="783"/>
      <c r="V624" s="783"/>
      <c r="W624" s="783"/>
      <c r="X624" s="783"/>
      <c r="Y624" s="783"/>
    </row>
    <row r="625" spans="1:25" hidden="1" x14ac:dyDescent="0.25">
      <c r="A625" s="670"/>
      <c r="B625" s="745" t="s">
        <v>178</v>
      </c>
      <c r="C625" s="680"/>
      <c r="D625" s="746">
        <f>D624</f>
        <v>0</v>
      </c>
      <c r="E625" s="746">
        <f t="shared" ref="E625:O625" si="183">D625+E624</f>
        <v>0</v>
      </c>
      <c r="F625" s="746">
        <f t="shared" si="183"/>
        <v>0</v>
      </c>
      <c r="G625" s="746">
        <f>F625+G624</f>
        <v>0</v>
      </c>
      <c r="H625" s="746">
        <f>G625+H624</f>
        <v>0</v>
      </c>
      <c r="I625" s="746">
        <f>H625+I624</f>
        <v>0</v>
      </c>
      <c r="J625" s="746">
        <f>I625+J624</f>
        <v>0</v>
      </c>
      <c r="K625" s="746">
        <f t="shared" si="183"/>
        <v>0</v>
      </c>
      <c r="L625" s="746">
        <f t="shared" si="183"/>
        <v>0</v>
      </c>
      <c r="M625" s="746">
        <f t="shared" si="183"/>
        <v>0</v>
      </c>
      <c r="N625" s="746">
        <f t="shared" si="183"/>
        <v>0</v>
      </c>
      <c r="O625" s="747">
        <f t="shared" si="183"/>
        <v>0</v>
      </c>
      <c r="P625" s="748"/>
      <c r="Q625" s="678"/>
      <c r="R625" s="783"/>
      <c r="S625" s="783"/>
      <c r="T625" s="783"/>
      <c r="U625" s="783"/>
      <c r="V625" s="783"/>
      <c r="W625" s="783"/>
      <c r="X625" s="783"/>
      <c r="Y625" s="783"/>
    </row>
    <row r="626" spans="1:25" hidden="1" x14ac:dyDescent="0.25">
      <c r="A626" s="670"/>
      <c r="B626" s="745" t="s">
        <v>181</v>
      </c>
      <c r="C626" s="680"/>
      <c r="D626" s="749">
        <f t="shared" ref="D626:O626" si="184">IF(D162="",0,D624)</f>
        <v>0</v>
      </c>
      <c r="E626" s="749">
        <f t="shared" si="184"/>
        <v>0</v>
      </c>
      <c r="F626" s="749">
        <f t="shared" si="184"/>
        <v>0</v>
      </c>
      <c r="G626" s="749">
        <f t="shared" si="184"/>
        <v>0</v>
      </c>
      <c r="H626" s="749">
        <f t="shared" si="184"/>
        <v>0</v>
      </c>
      <c r="I626" s="749">
        <f t="shared" si="184"/>
        <v>0</v>
      </c>
      <c r="J626" s="749">
        <f t="shared" si="184"/>
        <v>0</v>
      </c>
      <c r="K626" s="749">
        <f t="shared" si="184"/>
        <v>0</v>
      </c>
      <c r="L626" s="749">
        <f t="shared" si="184"/>
        <v>0</v>
      </c>
      <c r="M626" s="749">
        <f t="shared" si="184"/>
        <v>0</v>
      </c>
      <c r="N626" s="749">
        <f t="shared" si="184"/>
        <v>0</v>
      </c>
      <c r="O626" s="749">
        <f t="shared" si="184"/>
        <v>0</v>
      </c>
      <c r="P626" s="748"/>
      <c r="Q626" s="678"/>
      <c r="R626" s="783"/>
      <c r="S626" s="783"/>
      <c r="T626" s="783"/>
      <c r="U626" s="783"/>
      <c r="V626" s="783"/>
      <c r="W626" s="783"/>
      <c r="X626" s="783"/>
      <c r="Y626" s="783"/>
    </row>
    <row r="627" spans="1:25" hidden="1" x14ac:dyDescent="0.25">
      <c r="A627" s="670"/>
      <c r="B627" s="745" t="s">
        <v>182</v>
      </c>
      <c r="C627" s="680"/>
      <c r="D627" s="759">
        <f>D626</f>
        <v>0</v>
      </c>
      <c r="E627" s="759">
        <f t="shared" ref="E627:O627" si="185">(D627+E626)</f>
        <v>0</v>
      </c>
      <c r="F627" s="759">
        <f t="shared" si="185"/>
        <v>0</v>
      </c>
      <c r="G627" s="759">
        <f>(F627+G626)</f>
        <v>0</v>
      </c>
      <c r="H627" s="759">
        <f>(G627+H626)</f>
        <v>0</v>
      </c>
      <c r="I627" s="759">
        <f>(H627+I626)</f>
        <v>0</v>
      </c>
      <c r="J627" s="759">
        <f>(I627+J626)</f>
        <v>0</v>
      </c>
      <c r="K627" s="759">
        <f t="shared" si="185"/>
        <v>0</v>
      </c>
      <c r="L627" s="759">
        <f t="shared" si="185"/>
        <v>0</v>
      </c>
      <c r="M627" s="759">
        <f t="shared" si="185"/>
        <v>0</v>
      </c>
      <c r="N627" s="759">
        <f t="shared" si="185"/>
        <v>0</v>
      </c>
      <c r="O627" s="760">
        <f t="shared" si="185"/>
        <v>0</v>
      </c>
      <c r="P627" s="748"/>
      <c r="Q627" s="678"/>
      <c r="R627" s="783"/>
      <c r="S627" s="783"/>
      <c r="T627" s="783"/>
      <c r="U627" s="783"/>
      <c r="V627" s="783"/>
      <c r="W627" s="783"/>
      <c r="X627" s="783"/>
      <c r="Y627" s="783"/>
    </row>
    <row r="628" spans="1:25" hidden="1" x14ac:dyDescent="0.25">
      <c r="A628" s="670"/>
      <c r="B628" s="752" t="s">
        <v>184</v>
      </c>
      <c r="C628" s="680"/>
      <c r="D628" s="749">
        <f>IF(D162="",0,1)</f>
        <v>0</v>
      </c>
      <c r="E628" s="749">
        <f>IF(E162="",0,2)</f>
        <v>0</v>
      </c>
      <c r="F628" s="749">
        <f>IF(F162="",0,3)</f>
        <v>0</v>
      </c>
      <c r="G628" s="749">
        <f>IF(G162="",0,4)</f>
        <v>4</v>
      </c>
      <c r="H628" s="749">
        <f>IF(H162="",0,5)</f>
        <v>5</v>
      </c>
      <c r="I628" s="749">
        <f>IF(I162="",0,6)</f>
        <v>6</v>
      </c>
      <c r="J628" s="749">
        <f>IF(J162="",0,7)</f>
        <v>7</v>
      </c>
      <c r="K628" s="749">
        <f>IF(K162="",0,8)</f>
        <v>8</v>
      </c>
      <c r="L628" s="749">
        <f>IF(L162="",0,9)</f>
        <v>0</v>
      </c>
      <c r="M628" s="749">
        <f>IF(M162="",0,10)</f>
        <v>0</v>
      </c>
      <c r="N628" s="749">
        <f>IF(N162="",0,11)</f>
        <v>0</v>
      </c>
      <c r="O628" s="749">
        <f>IF(O162="",0,12)</f>
        <v>0</v>
      </c>
      <c r="P628" s="680">
        <f>LARGE(D628:O628,1)</f>
        <v>8</v>
      </c>
      <c r="Q628" s="678"/>
      <c r="R628" s="783"/>
      <c r="S628" s="783"/>
      <c r="T628" s="783"/>
      <c r="U628" s="783"/>
      <c r="V628" s="783"/>
      <c r="W628" s="783"/>
      <c r="X628" s="783"/>
      <c r="Y628" s="783"/>
    </row>
    <row r="629" spans="1:25" hidden="1" x14ac:dyDescent="0.25">
      <c r="A629" s="670"/>
      <c r="B629" s="752" t="s">
        <v>185</v>
      </c>
      <c r="C629" s="680"/>
      <c r="D629" s="680">
        <f>IF(D628=0,0,IF(D624=D626,0,1))</f>
        <v>0</v>
      </c>
      <c r="E629" s="680">
        <f t="shared" ref="E629:O629" si="186">IF(AND(D628=0,E628&lt;&gt;0),E628,0)</f>
        <v>0</v>
      </c>
      <c r="F629" s="680">
        <f t="shared" si="186"/>
        <v>0</v>
      </c>
      <c r="G629" s="680">
        <f>IF(AND(F628=0,G628&lt;&gt;0),G628,0)</f>
        <v>4</v>
      </c>
      <c r="H629" s="680">
        <f>IF(AND(G628=0,H628&lt;&gt;0),H628,0)</f>
        <v>0</v>
      </c>
      <c r="I629" s="680">
        <f>IF(AND(H628=0,I628&lt;&gt;0),I628,0)</f>
        <v>0</v>
      </c>
      <c r="J629" s="680">
        <f>IF(AND(I628=0,J628&lt;&gt;0),J628,0)</f>
        <v>0</v>
      </c>
      <c r="K629" s="680">
        <f t="shared" si="186"/>
        <v>0</v>
      </c>
      <c r="L629" s="680">
        <f t="shared" si="186"/>
        <v>0</v>
      </c>
      <c r="M629" s="680">
        <f t="shared" si="186"/>
        <v>0</v>
      </c>
      <c r="N629" s="680">
        <f t="shared" si="186"/>
        <v>0</v>
      </c>
      <c r="O629" s="751">
        <f t="shared" si="186"/>
        <v>0</v>
      </c>
      <c r="P629" s="748"/>
      <c r="Q629" s="678"/>
      <c r="R629" s="783"/>
      <c r="S629" s="783"/>
      <c r="T629" s="783"/>
      <c r="U629" s="783"/>
      <c r="V629" s="783"/>
      <c r="W629" s="783"/>
      <c r="X629" s="783"/>
      <c r="Y629" s="783"/>
    </row>
    <row r="630" spans="1:25" hidden="1" x14ac:dyDescent="0.25">
      <c r="A630" s="670"/>
      <c r="B630" s="752" t="s">
        <v>186</v>
      </c>
      <c r="C630" s="680"/>
      <c r="D630" s="746">
        <f>D625-D627</f>
        <v>0</v>
      </c>
      <c r="E630" s="746">
        <f t="shared" ref="E630:O630" si="187">IF(E629=0,0,E625-E627)</f>
        <v>0</v>
      </c>
      <c r="F630" s="746">
        <f t="shared" si="187"/>
        <v>0</v>
      </c>
      <c r="G630" s="746">
        <f t="shared" si="187"/>
        <v>0</v>
      </c>
      <c r="H630" s="746">
        <f t="shared" si="187"/>
        <v>0</v>
      </c>
      <c r="I630" s="746">
        <f t="shared" si="187"/>
        <v>0</v>
      </c>
      <c r="J630" s="746">
        <f t="shared" si="187"/>
        <v>0</v>
      </c>
      <c r="K630" s="746">
        <f t="shared" si="187"/>
        <v>0</v>
      </c>
      <c r="L630" s="746">
        <f t="shared" si="187"/>
        <v>0</v>
      </c>
      <c r="M630" s="746">
        <f t="shared" si="187"/>
        <v>0</v>
      </c>
      <c r="N630" s="746">
        <f t="shared" si="187"/>
        <v>0</v>
      </c>
      <c r="O630" s="747">
        <f t="shared" si="187"/>
        <v>0</v>
      </c>
      <c r="P630" s="746">
        <f>P624-P631</f>
        <v>0</v>
      </c>
      <c r="Q630" s="678"/>
      <c r="R630" s="783"/>
      <c r="S630" s="783"/>
      <c r="T630" s="783"/>
      <c r="U630" s="783"/>
      <c r="V630" s="783"/>
      <c r="W630" s="783"/>
      <c r="X630" s="783"/>
      <c r="Y630" s="783"/>
    </row>
    <row r="631" spans="1:25" hidden="1" x14ac:dyDescent="0.25">
      <c r="A631" s="670"/>
      <c r="B631" s="746" t="s">
        <v>187</v>
      </c>
      <c r="C631" s="680"/>
      <c r="D631" s="746">
        <f t="shared" ref="D631:O631" si="188">D626+D630</f>
        <v>0</v>
      </c>
      <c r="E631" s="746">
        <f t="shared" si="188"/>
        <v>0</v>
      </c>
      <c r="F631" s="746">
        <f t="shared" si="188"/>
        <v>0</v>
      </c>
      <c r="G631" s="746">
        <f t="shared" si="188"/>
        <v>0</v>
      </c>
      <c r="H631" s="746">
        <f t="shared" si="188"/>
        <v>0</v>
      </c>
      <c r="I631" s="746">
        <f t="shared" si="188"/>
        <v>0</v>
      </c>
      <c r="J631" s="746">
        <f t="shared" si="188"/>
        <v>0</v>
      </c>
      <c r="K631" s="746">
        <f t="shared" si="188"/>
        <v>0</v>
      </c>
      <c r="L631" s="746">
        <f t="shared" si="188"/>
        <v>0</v>
      </c>
      <c r="M631" s="746">
        <f t="shared" si="188"/>
        <v>0</v>
      </c>
      <c r="N631" s="746">
        <f t="shared" si="188"/>
        <v>0</v>
      </c>
      <c r="O631" s="746">
        <f t="shared" si="188"/>
        <v>0</v>
      </c>
      <c r="P631" s="746">
        <f>SUM(D631:O631)</f>
        <v>0</v>
      </c>
      <c r="Q631" s="678"/>
      <c r="R631" s="783"/>
      <c r="S631" s="783"/>
      <c r="T631" s="783"/>
      <c r="U631" s="783"/>
      <c r="V631" s="783"/>
      <c r="W631" s="783"/>
      <c r="X631" s="783"/>
      <c r="Y631" s="783"/>
    </row>
    <row r="632" spans="1:25" ht="15.75" hidden="1" thickBot="1" x14ac:dyDescent="0.3">
      <c r="A632" s="670"/>
      <c r="B632" s="746" t="s">
        <v>183</v>
      </c>
      <c r="C632" s="754">
        <f>COUNTIF(D628:O628,0)</f>
        <v>7</v>
      </c>
      <c r="D632" s="746">
        <f t="shared" ref="D632:O632" si="189">IF(D628=$P628,$P630,0)+D631</f>
        <v>0</v>
      </c>
      <c r="E632" s="746">
        <f t="shared" si="189"/>
        <v>0</v>
      </c>
      <c r="F632" s="746">
        <f t="shared" si="189"/>
        <v>0</v>
      </c>
      <c r="G632" s="746">
        <f t="shared" si="189"/>
        <v>0</v>
      </c>
      <c r="H632" s="746">
        <f t="shared" si="189"/>
        <v>0</v>
      </c>
      <c r="I632" s="746">
        <f t="shared" si="189"/>
        <v>0</v>
      </c>
      <c r="J632" s="746">
        <f t="shared" si="189"/>
        <v>0</v>
      </c>
      <c r="K632" s="746">
        <f t="shared" si="189"/>
        <v>0</v>
      </c>
      <c r="L632" s="746">
        <f t="shared" si="189"/>
        <v>0</v>
      </c>
      <c r="M632" s="746">
        <f t="shared" si="189"/>
        <v>0</v>
      </c>
      <c r="N632" s="746">
        <f t="shared" si="189"/>
        <v>0</v>
      </c>
      <c r="O632" s="746">
        <f t="shared" si="189"/>
        <v>0</v>
      </c>
      <c r="P632" s="746">
        <f>SUM(D632:O632)</f>
        <v>0</v>
      </c>
      <c r="Q632" s="678"/>
      <c r="R632" s="783"/>
      <c r="S632" s="783"/>
      <c r="T632" s="783"/>
      <c r="U632" s="783"/>
      <c r="V632" s="783"/>
      <c r="W632" s="783"/>
      <c r="X632" s="783"/>
      <c r="Y632" s="783"/>
    </row>
    <row r="633" spans="1:25" ht="15.75" hidden="1" thickBot="1" x14ac:dyDescent="0.3">
      <c r="A633" s="670"/>
      <c r="B633" s="751" t="s">
        <v>190</v>
      </c>
      <c r="C633" s="757">
        <f>HLOOKUP(P628,D322:O324,3,FALSE)</f>
        <v>0</v>
      </c>
      <c r="D633" s="228"/>
      <c r="E633" s="228"/>
      <c r="F633" s="228"/>
      <c r="G633" s="228"/>
      <c r="H633" s="228"/>
      <c r="I633" s="228"/>
      <c r="J633" s="228"/>
      <c r="K633" s="228"/>
      <c r="L633" s="228"/>
      <c r="M633" s="228"/>
      <c r="N633" s="228"/>
      <c r="O633" s="228"/>
      <c r="P633" s="300"/>
      <c r="Q633" s="678"/>
      <c r="R633" s="783"/>
      <c r="S633" s="783"/>
      <c r="T633" s="783"/>
      <c r="U633" s="783"/>
      <c r="V633" s="783"/>
      <c r="W633" s="783"/>
      <c r="X633" s="783"/>
      <c r="Y633" s="783"/>
    </row>
    <row r="634" spans="1:25" ht="15.75" hidden="1" thickBot="1" x14ac:dyDescent="0.3">
      <c r="A634" s="670"/>
      <c r="B634" s="751" t="s">
        <v>191</v>
      </c>
      <c r="C634" s="758">
        <f>P324</f>
        <v>0</v>
      </c>
      <c r="D634" s="228"/>
      <c r="E634" s="228"/>
      <c r="F634" s="228"/>
      <c r="G634" s="228"/>
      <c r="H634" s="228"/>
      <c r="I634" s="228"/>
      <c r="J634" s="228"/>
      <c r="K634" s="228"/>
      <c r="L634" s="228"/>
      <c r="M634" s="228"/>
      <c r="N634" s="228"/>
      <c r="O634" s="228"/>
      <c r="P634" s="300"/>
      <c r="Q634" s="678"/>
      <c r="R634" s="783"/>
      <c r="S634" s="783"/>
      <c r="T634" s="783"/>
      <c r="U634" s="783"/>
      <c r="V634" s="783"/>
      <c r="W634" s="783"/>
      <c r="X634" s="783"/>
      <c r="Y634" s="783"/>
    </row>
    <row r="635" spans="1:25" hidden="1" x14ac:dyDescent="0.25">
      <c r="A635" s="670"/>
      <c r="B635" s="224"/>
      <c r="C635" s="228"/>
      <c r="D635" s="228"/>
      <c r="E635" s="228"/>
      <c r="F635" s="228"/>
      <c r="G635" s="228"/>
      <c r="H635" s="228"/>
      <c r="I635" s="228"/>
      <c r="J635" s="228"/>
      <c r="K635" s="228"/>
      <c r="L635" s="228"/>
      <c r="M635" s="228"/>
      <c r="N635" s="228"/>
      <c r="O635" s="228"/>
      <c r="P635" s="300"/>
      <c r="Q635" s="678"/>
      <c r="R635" s="783"/>
      <c r="S635" s="783"/>
      <c r="T635" s="783"/>
      <c r="U635" s="783"/>
      <c r="V635" s="783"/>
      <c r="W635" s="783"/>
      <c r="X635" s="783"/>
      <c r="Y635" s="783"/>
    </row>
    <row r="636" spans="1:25" hidden="1" x14ac:dyDescent="0.25">
      <c r="A636" s="670"/>
      <c r="B636" s="224" t="s">
        <v>201</v>
      </c>
      <c r="C636" s="228"/>
      <c r="D636" s="228"/>
      <c r="E636" s="228"/>
      <c r="F636" s="228"/>
      <c r="G636" s="228"/>
      <c r="H636" s="228"/>
      <c r="I636" s="228"/>
      <c r="J636" s="228"/>
      <c r="K636" s="228"/>
      <c r="L636" s="228"/>
      <c r="M636" s="228"/>
      <c r="N636" s="228"/>
      <c r="O636" s="228"/>
      <c r="P636" s="300"/>
      <c r="Q636" s="678"/>
      <c r="R636" s="783"/>
      <c r="S636" s="783"/>
      <c r="T636" s="783"/>
      <c r="U636" s="783"/>
      <c r="V636" s="783"/>
      <c r="W636" s="783"/>
      <c r="X636" s="783"/>
      <c r="Y636" s="783"/>
    </row>
    <row r="637" spans="1:25" hidden="1" x14ac:dyDescent="0.25">
      <c r="A637" s="670"/>
      <c r="B637" s="739" t="str">
        <f>SAÍDAS!C31</f>
        <v>Mão de Obra</v>
      </c>
      <c r="C637" s="300">
        <f t="shared" ref="C637:C676" si="190">SUM(D637:O637)</f>
        <v>0</v>
      </c>
      <c r="D637" s="300">
        <f>SAÍDAS!E31*(SAÍDAS!$S31/100)</f>
        <v>0</v>
      </c>
      <c r="E637" s="300">
        <f>SAÍDAS!F31*(SAÍDAS!$S31/100)</f>
        <v>0</v>
      </c>
      <c r="F637" s="300">
        <f>SAÍDAS!G31*(SAÍDAS!$S31/100)</f>
        <v>0</v>
      </c>
      <c r="G637" s="300">
        <f>SAÍDAS!H31*(SAÍDAS!$S31/100)</f>
        <v>0</v>
      </c>
      <c r="H637" s="300">
        <f>SAÍDAS!I31*(SAÍDAS!$S31/100)</f>
        <v>0</v>
      </c>
      <c r="I637" s="300">
        <f>SAÍDAS!J31*(SAÍDAS!$S31/100)</f>
        <v>0</v>
      </c>
      <c r="J637" s="300">
        <f>SAÍDAS!K31*(SAÍDAS!$S31/100)</f>
        <v>0</v>
      </c>
      <c r="K637" s="300">
        <f>SAÍDAS!L31*(SAÍDAS!$S31/100)</f>
        <v>0</v>
      </c>
      <c r="L637" s="300">
        <f>SAÍDAS!M31*(SAÍDAS!$S31/100)</f>
        <v>0</v>
      </c>
      <c r="M637" s="300">
        <f>SAÍDAS!N31*(SAÍDAS!$S31/100)</f>
        <v>0</v>
      </c>
      <c r="N637" s="300">
        <f>SAÍDAS!O31*(SAÍDAS!$S31/100)</f>
        <v>0</v>
      </c>
      <c r="O637" s="300">
        <f>SAÍDAS!P31*(SAÍDAS!$S31/100)</f>
        <v>0</v>
      </c>
      <c r="P637" s="224"/>
      <c r="Q637" s="678"/>
      <c r="R637" s="783"/>
      <c r="S637" s="783"/>
      <c r="T637" s="783"/>
      <c r="U637" s="783"/>
      <c r="V637" s="783"/>
      <c r="W637" s="783"/>
      <c r="X637" s="783"/>
      <c r="Y637" s="783"/>
    </row>
    <row r="638" spans="1:25" hidden="1" x14ac:dyDescent="0.25">
      <c r="A638" s="670"/>
      <c r="B638" s="739" t="str">
        <f>SAÍDAS!C32</f>
        <v>Mão de Obra</v>
      </c>
      <c r="C638" s="300">
        <f t="shared" si="190"/>
        <v>0</v>
      </c>
      <c r="D638" s="300">
        <f>SAÍDAS!E32*(SAÍDAS!$S32/100)</f>
        <v>0</v>
      </c>
      <c r="E638" s="300">
        <f>SAÍDAS!F32*(SAÍDAS!$S32/100)</f>
        <v>0</v>
      </c>
      <c r="F638" s="300">
        <f>SAÍDAS!G32*(SAÍDAS!$S32/100)</f>
        <v>0</v>
      </c>
      <c r="G638" s="300">
        <f>SAÍDAS!H32*(SAÍDAS!$S32/100)</f>
        <v>0</v>
      </c>
      <c r="H638" s="300">
        <f>SAÍDAS!I32*(SAÍDAS!$S32/100)</f>
        <v>0</v>
      </c>
      <c r="I638" s="300">
        <f>SAÍDAS!J32*(SAÍDAS!$S32/100)</f>
        <v>0</v>
      </c>
      <c r="J638" s="300">
        <f>SAÍDAS!K32*(SAÍDAS!$S32/100)</f>
        <v>0</v>
      </c>
      <c r="K638" s="300">
        <f>SAÍDAS!L32*(SAÍDAS!$S32/100)</f>
        <v>0</v>
      </c>
      <c r="L638" s="300">
        <f>SAÍDAS!M32*(SAÍDAS!$S32/100)</f>
        <v>0</v>
      </c>
      <c r="M638" s="300">
        <f>SAÍDAS!N32*(SAÍDAS!$S32/100)</f>
        <v>0</v>
      </c>
      <c r="N638" s="300">
        <f>SAÍDAS!O32*(SAÍDAS!$S32/100)</f>
        <v>0</v>
      </c>
      <c r="O638" s="300">
        <f>SAÍDAS!P32*(SAÍDAS!$S32/100)</f>
        <v>0</v>
      </c>
      <c r="P638" s="300"/>
      <c r="Q638" s="678"/>
      <c r="R638" s="783"/>
      <c r="S638" s="783"/>
      <c r="T638" s="783"/>
      <c r="U638" s="783"/>
      <c r="V638" s="783"/>
      <c r="W638" s="783"/>
      <c r="X638" s="783"/>
      <c r="Y638" s="783"/>
    </row>
    <row r="639" spans="1:25" hidden="1" x14ac:dyDescent="0.25">
      <c r="A639" s="670"/>
      <c r="B639" s="739" t="str">
        <f>SAÍDAS!C33</f>
        <v>Mão de Obra</v>
      </c>
      <c r="C639" s="300">
        <f t="shared" si="190"/>
        <v>0</v>
      </c>
      <c r="D639" s="300">
        <f>SAÍDAS!E33*(SAÍDAS!$S33/100)</f>
        <v>0</v>
      </c>
      <c r="E639" s="300">
        <f>SAÍDAS!F33*(SAÍDAS!$S33/100)</f>
        <v>0</v>
      </c>
      <c r="F639" s="300">
        <f>SAÍDAS!G33*(SAÍDAS!$S33/100)</f>
        <v>0</v>
      </c>
      <c r="G639" s="300">
        <f>SAÍDAS!H33*(SAÍDAS!$S33/100)</f>
        <v>0</v>
      </c>
      <c r="H639" s="300">
        <f>SAÍDAS!I33*(SAÍDAS!$S33/100)</f>
        <v>0</v>
      </c>
      <c r="I639" s="300">
        <f>SAÍDAS!J33*(SAÍDAS!$S33/100)</f>
        <v>0</v>
      </c>
      <c r="J639" s="300">
        <f>SAÍDAS!K33*(SAÍDAS!$S33/100)</f>
        <v>0</v>
      </c>
      <c r="K639" s="300">
        <f>SAÍDAS!L33*(SAÍDAS!$S33/100)</f>
        <v>0</v>
      </c>
      <c r="L639" s="300">
        <f>SAÍDAS!M33*(SAÍDAS!$S33/100)</f>
        <v>0</v>
      </c>
      <c r="M639" s="300">
        <f>SAÍDAS!N33*(SAÍDAS!$S33/100)</f>
        <v>0</v>
      </c>
      <c r="N639" s="300">
        <f>SAÍDAS!O33*(SAÍDAS!$S33/100)</f>
        <v>0</v>
      </c>
      <c r="O639" s="300">
        <f>SAÍDAS!P33*(SAÍDAS!$S33/100)</f>
        <v>0</v>
      </c>
      <c r="P639" s="300"/>
      <c r="Q639" s="678"/>
      <c r="R639" s="783"/>
      <c r="S639" s="783"/>
      <c r="T639" s="783"/>
      <c r="U639" s="783"/>
      <c r="V639" s="783"/>
      <c r="W639" s="783"/>
      <c r="X639" s="783"/>
      <c r="Y639" s="783"/>
    </row>
    <row r="640" spans="1:25" hidden="1" x14ac:dyDescent="0.25">
      <c r="A640" s="670"/>
      <c r="B640" s="739" t="str">
        <f>SAÍDAS!C34</f>
        <v>Serviços Terceirizados</v>
      </c>
      <c r="C640" s="300">
        <f t="shared" si="190"/>
        <v>0</v>
      </c>
      <c r="D640" s="300">
        <f>SAÍDAS!E34*(SAÍDAS!$S34/100)</f>
        <v>0</v>
      </c>
      <c r="E640" s="300">
        <f>SAÍDAS!F34*(SAÍDAS!$S34/100)</f>
        <v>0</v>
      </c>
      <c r="F640" s="300">
        <f>SAÍDAS!G34*(SAÍDAS!$S34/100)</f>
        <v>0</v>
      </c>
      <c r="G640" s="300">
        <f>SAÍDAS!H34*(SAÍDAS!$S34/100)</f>
        <v>0</v>
      </c>
      <c r="H640" s="300">
        <f>SAÍDAS!I34*(SAÍDAS!$S34/100)</f>
        <v>0</v>
      </c>
      <c r="I640" s="300">
        <f>SAÍDAS!J34*(SAÍDAS!$S34/100)</f>
        <v>0</v>
      </c>
      <c r="J640" s="300">
        <f>SAÍDAS!K34*(SAÍDAS!$S34/100)</f>
        <v>0</v>
      </c>
      <c r="K640" s="300">
        <f>SAÍDAS!L34*(SAÍDAS!$S34/100)</f>
        <v>0</v>
      </c>
      <c r="L640" s="300">
        <f>SAÍDAS!M34*(SAÍDAS!$S34/100)</f>
        <v>0</v>
      </c>
      <c r="M640" s="300">
        <f>SAÍDAS!N34*(SAÍDAS!$S34/100)</f>
        <v>0</v>
      </c>
      <c r="N640" s="300">
        <f>SAÍDAS!O34*(SAÍDAS!$S34/100)</f>
        <v>0</v>
      </c>
      <c r="O640" s="300">
        <f>SAÍDAS!P34*(SAÍDAS!$S34/100)</f>
        <v>0</v>
      </c>
      <c r="P640" s="300"/>
      <c r="Q640" s="678"/>
      <c r="R640" s="783"/>
      <c r="S640" s="783"/>
      <c r="T640" s="783"/>
      <c r="U640" s="783"/>
      <c r="V640" s="783"/>
      <c r="W640" s="783"/>
      <c r="X640" s="783"/>
      <c r="Y640" s="783"/>
    </row>
    <row r="641" spans="1:25" hidden="1" x14ac:dyDescent="0.25">
      <c r="A641" s="670"/>
      <c r="B641" s="739" t="str">
        <f>SAÍDAS!C35</f>
        <v>Alimentação</v>
      </c>
      <c r="C641" s="300">
        <f t="shared" si="190"/>
        <v>0</v>
      </c>
      <c r="D641" s="300">
        <f>SAÍDAS!E35*(SAÍDAS!$S35/100)</f>
        <v>0</v>
      </c>
      <c r="E641" s="300">
        <f>SAÍDAS!F35*(SAÍDAS!$S35/100)</f>
        <v>0</v>
      </c>
      <c r="F641" s="300">
        <f>SAÍDAS!G35*(SAÍDAS!$S35/100)</f>
        <v>0</v>
      </c>
      <c r="G641" s="300">
        <f>SAÍDAS!H35*(SAÍDAS!$S35/100)</f>
        <v>0</v>
      </c>
      <c r="H641" s="300">
        <f>SAÍDAS!I35*(SAÍDAS!$S35/100)</f>
        <v>0</v>
      </c>
      <c r="I641" s="300">
        <f>SAÍDAS!J35*(SAÍDAS!$S35/100)</f>
        <v>0</v>
      </c>
      <c r="J641" s="300">
        <f>SAÍDAS!K35*(SAÍDAS!$S35/100)</f>
        <v>0</v>
      </c>
      <c r="K641" s="300">
        <f>SAÍDAS!L35*(SAÍDAS!$S35/100)</f>
        <v>0</v>
      </c>
      <c r="L641" s="300">
        <f>SAÍDAS!M35*(SAÍDAS!$S35/100)</f>
        <v>0</v>
      </c>
      <c r="M641" s="300">
        <f>SAÍDAS!N35*(SAÍDAS!$S35/100)</f>
        <v>0</v>
      </c>
      <c r="N641" s="300">
        <f>SAÍDAS!O35*(SAÍDAS!$S35/100)</f>
        <v>0</v>
      </c>
      <c r="O641" s="300">
        <f>SAÍDAS!P35*(SAÍDAS!$S35/100)</f>
        <v>0</v>
      </c>
      <c r="P641" s="300"/>
      <c r="Q641" s="678"/>
      <c r="R641" s="783"/>
      <c r="S641" s="783"/>
      <c r="T641" s="783"/>
      <c r="U641" s="783"/>
      <c r="V641" s="783"/>
      <c r="W641" s="783"/>
      <c r="X641" s="783"/>
      <c r="Y641" s="783"/>
    </row>
    <row r="642" spans="1:25" hidden="1" x14ac:dyDescent="0.25">
      <c r="A642" s="670"/>
      <c r="B642" s="739" t="str">
        <f>SAÍDAS!C36</f>
        <v>Alimentação</v>
      </c>
      <c r="C642" s="300">
        <f t="shared" si="190"/>
        <v>0</v>
      </c>
      <c r="D642" s="300">
        <f>SAÍDAS!E36*(SAÍDAS!$S36/100)</f>
        <v>0</v>
      </c>
      <c r="E642" s="300">
        <f>SAÍDAS!F36*(SAÍDAS!$S36/100)</f>
        <v>0</v>
      </c>
      <c r="F642" s="300">
        <f>SAÍDAS!G36*(SAÍDAS!$S36/100)</f>
        <v>0</v>
      </c>
      <c r="G642" s="300">
        <f>SAÍDAS!H36*(SAÍDAS!$S36/100)</f>
        <v>0</v>
      </c>
      <c r="H642" s="300">
        <f>SAÍDAS!I36*(SAÍDAS!$S36/100)</f>
        <v>0</v>
      </c>
      <c r="I642" s="300">
        <f>SAÍDAS!J36*(SAÍDAS!$S36/100)</f>
        <v>0</v>
      </c>
      <c r="J642" s="300">
        <f>SAÍDAS!K36*(SAÍDAS!$S36/100)</f>
        <v>0</v>
      </c>
      <c r="K642" s="300">
        <f>SAÍDAS!L36*(SAÍDAS!$S36/100)</f>
        <v>0</v>
      </c>
      <c r="L642" s="300">
        <f>SAÍDAS!M36*(SAÍDAS!$S36/100)</f>
        <v>0</v>
      </c>
      <c r="M642" s="300">
        <f>SAÍDAS!N36*(SAÍDAS!$S36/100)</f>
        <v>0</v>
      </c>
      <c r="N642" s="300">
        <f>SAÍDAS!O36*(SAÍDAS!$S36/100)</f>
        <v>0</v>
      </c>
      <c r="O642" s="300">
        <f>SAÍDAS!P36*(SAÍDAS!$S36/100)</f>
        <v>0</v>
      </c>
      <c r="P642" s="300"/>
      <c r="Q642" s="678"/>
      <c r="R642" s="783"/>
      <c r="S642" s="783"/>
      <c r="T642" s="783"/>
      <c r="U642" s="783"/>
      <c r="V642" s="783"/>
      <c r="W642" s="783"/>
      <c r="X642" s="783"/>
      <c r="Y642" s="783"/>
    </row>
    <row r="643" spans="1:25" hidden="1" x14ac:dyDescent="0.25">
      <c r="A643" s="670"/>
      <c r="B643" s="739" t="str">
        <f>SAÍDAS!C37</f>
        <v>Alimentação</v>
      </c>
      <c r="C643" s="300">
        <f t="shared" si="190"/>
        <v>0</v>
      </c>
      <c r="D643" s="300">
        <f>SAÍDAS!E37*(SAÍDAS!$S37/100)</f>
        <v>0</v>
      </c>
      <c r="E643" s="300">
        <f>SAÍDAS!F37*(SAÍDAS!$S37/100)</f>
        <v>0</v>
      </c>
      <c r="F643" s="300">
        <f>SAÍDAS!G37*(SAÍDAS!$S37/100)</f>
        <v>0</v>
      </c>
      <c r="G643" s="300">
        <f>SAÍDAS!H37*(SAÍDAS!$S37/100)</f>
        <v>0</v>
      </c>
      <c r="H643" s="300">
        <f>SAÍDAS!I37*(SAÍDAS!$S37/100)</f>
        <v>0</v>
      </c>
      <c r="I643" s="300">
        <f>SAÍDAS!J37*(SAÍDAS!$S37/100)</f>
        <v>0</v>
      </c>
      <c r="J643" s="300">
        <f>SAÍDAS!K37*(SAÍDAS!$S37/100)</f>
        <v>0</v>
      </c>
      <c r="K643" s="300">
        <f>SAÍDAS!L37*(SAÍDAS!$S37/100)</f>
        <v>0</v>
      </c>
      <c r="L643" s="300">
        <f>SAÍDAS!M37*(SAÍDAS!$S37/100)</f>
        <v>0</v>
      </c>
      <c r="M643" s="300">
        <f>SAÍDAS!N37*(SAÍDAS!$S37/100)</f>
        <v>0</v>
      </c>
      <c r="N643" s="300">
        <f>SAÍDAS!O37*(SAÍDAS!$S37/100)</f>
        <v>0</v>
      </c>
      <c r="O643" s="300">
        <f>SAÍDAS!P37*(SAÍDAS!$S37/100)</f>
        <v>0</v>
      </c>
      <c r="P643" s="300"/>
      <c r="Q643" s="678"/>
      <c r="R643" s="783"/>
      <c r="S643" s="783"/>
      <c r="T643" s="783"/>
      <c r="U643" s="783"/>
      <c r="V643" s="783"/>
      <c r="W643" s="783"/>
      <c r="X643" s="783"/>
      <c r="Y643" s="783"/>
    </row>
    <row r="644" spans="1:25" hidden="1" x14ac:dyDescent="0.25">
      <c r="A644" s="670"/>
      <c r="B644" s="739" t="str">
        <f>SAÍDAS!C38</f>
        <v>Alimentação</v>
      </c>
      <c r="C644" s="300">
        <f t="shared" si="190"/>
        <v>0</v>
      </c>
      <c r="D644" s="300">
        <f>SAÍDAS!E38*(SAÍDAS!$S38/100)</f>
        <v>0</v>
      </c>
      <c r="E644" s="300">
        <f>SAÍDAS!F38*(SAÍDAS!$S38/100)</f>
        <v>0</v>
      </c>
      <c r="F644" s="300">
        <f>SAÍDAS!G38*(SAÍDAS!$S38/100)</f>
        <v>0</v>
      </c>
      <c r="G644" s="300">
        <f>SAÍDAS!H38*(SAÍDAS!$S38/100)</f>
        <v>0</v>
      </c>
      <c r="H644" s="300">
        <f>SAÍDAS!I38*(SAÍDAS!$S38/100)</f>
        <v>0</v>
      </c>
      <c r="I644" s="300">
        <f>SAÍDAS!J38*(SAÍDAS!$S38/100)</f>
        <v>0</v>
      </c>
      <c r="J644" s="300">
        <f>SAÍDAS!K38*(SAÍDAS!$S38/100)</f>
        <v>0</v>
      </c>
      <c r="K644" s="300">
        <f>SAÍDAS!L38*(SAÍDAS!$S38/100)</f>
        <v>0</v>
      </c>
      <c r="L644" s="300">
        <f>SAÍDAS!M38*(SAÍDAS!$S38/100)</f>
        <v>0</v>
      </c>
      <c r="M644" s="300">
        <f>SAÍDAS!N38*(SAÍDAS!$S38/100)</f>
        <v>0</v>
      </c>
      <c r="N644" s="300">
        <f>SAÍDAS!O38*(SAÍDAS!$S38/100)</f>
        <v>0</v>
      </c>
      <c r="O644" s="300">
        <f>SAÍDAS!P38*(SAÍDAS!$S38/100)</f>
        <v>0</v>
      </c>
      <c r="P644" s="300"/>
      <c r="Q644" s="678"/>
      <c r="R644" s="783"/>
      <c r="S644" s="783"/>
      <c r="T644" s="783"/>
      <c r="U644" s="783"/>
      <c r="V644" s="783"/>
      <c r="W644" s="783"/>
      <c r="X644" s="783"/>
      <c r="Y644" s="783"/>
    </row>
    <row r="645" spans="1:25" hidden="1" x14ac:dyDescent="0.25">
      <c r="A645" s="670"/>
      <c r="B645" s="739" t="str">
        <f>SAÍDAS!C39</f>
        <v>Alimentação</v>
      </c>
      <c r="C645" s="300">
        <f t="shared" si="190"/>
        <v>0</v>
      </c>
      <c r="D645" s="300">
        <f>SAÍDAS!E39*(SAÍDAS!$S39/100)</f>
        <v>0</v>
      </c>
      <c r="E645" s="300">
        <f>SAÍDAS!F39*(SAÍDAS!$S39/100)</f>
        <v>0</v>
      </c>
      <c r="F645" s="300">
        <f>SAÍDAS!G39*(SAÍDAS!$S39/100)</f>
        <v>0</v>
      </c>
      <c r="G645" s="300">
        <f>SAÍDAS!H39*(SAÍDAS!$S39/100)</f>
        <v>0</v>
      </c>
      <c r="H645" s="300">
        <f>SAÍDAS!I39*(SAÍDAS!$S39/100)</f>
        <v>0</v>
      </c>
      <c r="I645" s="300">
        <f>SAÍDAS!J39*(SAÍDAS!$S39/100)</f>
        <v>0</v>
      </c>
      <c r="J645" s="300">
        <f>SAÍDAS!K39*(SAÍDAS!$S39/100)</f>
        <v>0</v>
      </c>
      <c r="K645" s="300">
        <f>SAÍDAS!L39*(SAÍDAS!$S39/100)</f>
        <v>0</v>
      </c>
      <c r="L645" s="300">
        <f>SAÍDAS!M39*(SAÍDAS!$S39/100)</f>
        <v>0</v>
      </c>
      <c r="M645" s="300">
        <f>SAÍDAS!N39*(SAÍDAS!$S39/100)</f>
        <v>0</v>
      </c>
      <c r="N645" s="300">
        <f>SAÍDAS!O39*(SAÍDAS!$S39/100)</f>
        <v>0</v>
      </c>
      <c r="O645" s="300">
        <f>SAÍDAS!P39*(SAÍDAS!$S39/100)</f>
        <v>0</v>
      </c>
      <c r="P645" s="300"/>
      <c r="Q645" s="678"/>
      <c r="R645" s="783"/>
      <c r="S645" s="783"/>
      <c r="T645" s="783"/>
      <c r="U645" s="783"/>
      <c r="V645" s="783"/>
      <c r="W645" s="783"/>
      <c r="X645" s="783"/>
      <c r="Y645" s="783"/>
    </row>
    <row r="646" spans="1:25" hidden="1" x14ac:dyDescent="0.25">
      <c r="A646" s="670"/>
      <c r="B646" s="739" t="str">
        <f>SAÍDAS!C40</f>
        <v>Alimentação</v>
      </c>
      <c r="C646" s="300">
        <f t="shared" si="190"/>
        <v>0</v>
      </c>
      <c r="D646" s="300">
        <f>SAÍDAS!E40*(SAÍDAS!$S40/100)</f>
        <v>0</v>
      </c>
      <c r="E646" s="300">
        <f>SAÍDAS!F40*(SAÍDAS!$S40/100)</f>
        <v>0</v>
      </c>
      <c r="F646" s="300">
        <f>SAÍDAS!G40*(SAÍDAS!$S40/100)</f>
        <v>0</v>
      </c>
      <c r="G646" s="300">
        <f>SAÍDAS!H40*(SAÍDAS!$S40/100)</f>
        <v>0</v>
      </c>
      <c r="H646" s="300">
        <f>SAÍDAS!I40*(SAÍDAS!$S40/100)</f>
        <v>0</v>
      </c>
      <c r="I646" s="300">
        <f>SAÍDAS!J40*(SAÍDAS!$S40/100)</f>
        <v>0</v>
      </c>
      <c r="J646" s="300">
        <f>SAÍDAS!K40*(SAÍDAS!$S40/100)</f>
        <v>0</v>
      </c>
      <c r="K646" s="300">
        <f>SAÍDAS!L40*(SAÍDAS!$S40/100)</f>
        <v>0</v>
      </c>
      <c r="L646" s="300">
        <f>SAÍDAS!M40*(SAÍDAS!$S40/100)</f>
        <v>0</v>
      </c>
      <c r="M646" s="300">
        <f>SAÍDAS!N40*(SAÍDAS!$S40/100)</f>
        <v>0</v>
      </c>
      <c r="N646" s="300">
        <f>SAÍDAS!O40*(SAÍDAS!$S40/100)</f>
        <v>0</v>
      </c>
      <c r="O646" s="300">
        <f>SAÍDAS!P40*(SAÍDAS!$S40/100)</f>
        <v>0</v>
      </c>
      <c r="P646" s="300"/>
      <c r="Q646" s="678"/>
      <c r="R646" s="783"/>
      <c r="S646" s="783"/>
      <c r="T646" s="783"/>
      <c r="U646" s="783"/>
      <c r="V646" s="783"/>
      <c r="W646" s="783"/>
      <c r="X646" s="783"/>
      <c r="Y646" s="783"/>
    </row>
    <row r="647" spans="1:25" hidden="1" x14ac:dyDescent="0.25">
      <c r="A647" s="670"/>
      <c r="B647" s="739" t="str">
        <f>SAÍDAS!C41</f>
        <v>Alimentação</v>
      </c>
      <c r="C647" s="300">
        <f t="shared" si="190"/>
        <v>0</v>
      </c>
      <c r="D647" s="300">
        <f>SAÍDAS!E41*(SAÍDAS!$S41/100)</f>
        <v>0</v>
      </c>
      <c r="E647" s="300">
        <f>SAÍDAS!F41*(SAÍDAS!$S41/100)</f>
        <v>0</v>
      </c>
      <c r="F647" s="300">
        <f>SAÍDAS!G41*(SAÍDAS!$S41/100)</f>
        <v>0</v>
      </c>
      <c r="G647" s="300">
        <f>SAÍDAS!H41*(SAÍDAS!$S41/100)</f>
        <v>0</v>
      </c>
      <c r="H647" s="300">
        <f>SAÍDAS!I41*(SAÍDAS!$S41/100)</f>
        <v>0</v>
      </c>
      <c r="I647" s="300">
        <f>SAÍDAS!J41*(SAÍDAS!$S41/100)</f>
        <v>0</v>
      </c>
      <c r="J647" s="300">
        <f>SAÍDAS!K41*(SAÍDAS!$S41/100)</f>
        <v>0</v>
      </c>
      <c r="K647" s="300">
        <f>SAÍDAS!L41*(SAÍDAS!$S41/100)</f>
        <v>0</v>
      </c>
      <c r="L647" s="300">
        <f>SAÍDAS!M41*(SAÍDAS!$S41/100)</f>
        <v>0</v>
      </c>
      <c r="M647" s="300">
        <f>SAÍDAS!N41*(SAÍDAS!$S41/100)</f>
        <v>0</v>
      </c>
      <c r="N647" s="300">
        <f>SAÍDAS!O41*(SAÍDAS!$S41/100)</f>
        <v>0</v>
      </c>
      <c r="O647" s="300">
        <f>SAÍDAS!P41*(SAÍDAS!$S41/100)</f>
        <v>0</v>
      </c>
      <c r="P647" s="300"/>
      <c r="Q647" s="678"/>
      <c r="R647" s="783"/>
      <c r="S647" s="783"/>
      <c r="T647" s="783"/>
      <c r="U647" s="783"/>
      <c r="V647" s="783"/>
      <c r="W647" s="783"/>
      <c r="X647" s="783"/>
      <c r="Y647" s="783"/>
    </row>
    <row r="648" spans="1:25" hidden="1" x14ac:dyDescent="0.25">
      <c r="A648" s="670"/>
      <c r="B648" s="739" t="str">
        <f>SAÍDAS!C42</f>
        <v>Alimentação</v>
      </c>
      <c r="C648" s="300">
        <f t="shared" si="190"/>
        <v>0</v>
      </c>
      <c r="D648" s="300">
        <f>SAÍDAS!E42*(SAÍDAS!$S42/100)</f>
        <v>0</v>
      </c>
      <c r="E648" s="300">
        <f>SAÍDAS!F42*(SAÍDAS!$S42/100)</f>
        <v>0</v>
      </c>
      <c r="F648" s="300">
        <f>SAÍDAS!G42*(SAÍDAS!$S42/100)</f>
        <v>0</v>
      </c>
      <c r="G648" s="300">
        <f>SAÍDAS!H42*(SAÍDAS!$S42/100)</f>
        <v>0</v>
      </c>
      <c r="H648" s="300">
        <f>SAÍDAS!I42*(SAÍDAS!$S42/100)</f>
        <v>0</v>
      </c>
      <c r="I648" s="300">
        <f>SAÍDAS!J42*(SAÍDAS!$S42/100)</f>
        <v>0</v>
      </c>
      <c r="J648" s="300">
        <f>SAÍDAS!K42*(SAÍDAS!$S42/100)</f>
        <v>0</v>
      </c>
      <c r="K648" s="300">
        <f>SAÍDAS!L42*(SAÍDAS!$S42/100)</f>
        <v>0</v>
      </c>
      <c r="L648" s="300">
        <f>SAÍDAS!M42*(SAÍDAS!$S42/100)</f>
        <v>0</v>
      </c>
      <c r="M648" s="300">
        <f>SAÍDAS!N42*(SAÍDAS!$S42/100)</f>
        <v>0</v>
      </c>
      <c r="N648" s="300">
        <f>SAÍDAS!O42*(SAÍDAS!$S42/100)</f>
        <v>0</v>
      </c>
      <c r="O648" s="300">
        <f>SAÍDAS!P42*(SAÍDAS!$S42/100)</f>
        <v>0</v>
      </c>
      <c r="P648" s="300"/>
      <c r="Q648" s="678"/>
      <c r="R648" s="783"/>
      <c r="S648" s="783"/>
      <c r="T648" s="783"/>
      <c r="U648" s="783"/>
      <c r="V648" s="783"/>
      <c r="W648" s="783"/>
      <c r="X648" s="783"/>
      <c r="Y648" s="783"/>
    </row>
    <row r="649" spans="1:25" hidden="1" x14ac:dyDescent="0.25">
      <c r="A649" s="670"/>
      <c r="B649" s="739" t="str">
        <f>SAÍDAS!C43</f>
        <v>Alimentação</v>
      </c>
      <c r="C649" s="300">
        <f t="shared" si="190"/>
        <v>0</v>
      </c>
      <c r="D649" s="300">
        <f>SAÍDAS!E43*(SAÍDAS!$S43/100)</f>
        <v>0</v>
      </c>
      <c r="E649" s="300">
        <f>SAÍDAS!F43*(SAÍDAS!$S43/100)</f>
        <v>0</v>
      </c>
      <c r="F649" s="300">
        <f>SAÍDAS!G43*(SAÍDAS!$S43/100)</f>
        <v>0</v>
      </c>
      <c r="G649" s="300">
        <f>SAÍDAS!H43*(SAÍDAS!$S43/100)</f>
        <v>0</v>
      </c>
      <c r="H649" s="300">
        <f>SAÍDAS!I43*(SAÍDAS!$S43/100)</f>
        <v>0</v>
      </c>
      <c r="I649" s="300">
        <f>SAÍDAS!J43*(SAÍDAS!$S43/100)</f>
        <v>0</v>
      </c>
      <c r="J649" s="300">
        <f>SAÍDAS!K43*(SAÍDAS!$S43/100)</f>
        <v>0</v>
      </c>
      <c r="K649" s="300">
        <f>SAÍDAS!L43*(SAÍDAS!$S43/100)</f>
        <v>0</v>
      </c>
      <c r="L649" s="300">
        <f>SAÍDAS!M43*(SAÍDAS!$S43/100)</f>
        <v>0</v>
      </c>
      <c r="M649" s="300">
        <f>SAÍDAS!N43*(SAÍDAS!$S43/100)</f>
        <v>0</v>
      </c>
      <c r="N649" s="300">
        <f>SAÍDAS!O43*(SAÍDAS!$S43/100)</f>
        <v>0</v>
      </c>
      <c r="O649" s="300">
        <f>SAÍDAS!P43*(SAÍDAS!$S43/100)</f>
        <v>0</v>
      </c>
      <c r="P649" s="300"/>
      <c r="Q649" s="678"/>
      <c r="R649" s="783"/>
      <c r="S649" s="783"/>
      <c r="T649" s="783"/>
      <c r="U649" s="783"/>
      <c r="V649" s="783"/>
      <c r="W649" s="783"/>
      <c r="X649" s="783"/>
      <c r="Y649" s="783"/>
    </row>
    <row r="650" spans="1:25" hidden="1" x14ac:dyDescent="0.25">
      <c r="A650" s="670"/>
      <c r="B650" s="739" t="str">
        <f>SAÍDAS!C44</f>
        <v>Alimentação</v>
      </c>
      <c r="C650" s="300">
        <f t="shared" si="190"/>
        <v>0</v>
      </c>
      <c r="D650" s="300">
        <f>SAÍDAS!E44*(SAÍDAS!$S44/100)</f>
        <v>0</v>
      </c>
      <c r="E650" s="300">
        <f>SAÍDAS!F44*(SAÍDAS!$S44/100)</f>
        <v>0</v>
      </c>
      <c r="F650" s="300">
        <f>SAÍDAS!G44*(SAÍDAS!$S44/100)</f>
        <v>0</v>
      </c>
      <c r="G650" s="300">
        <f>SAÍDAS!H44*(SAÍDAS!$S44/100)</f>
        <v>0</v>
      </c>
      <c r="H650" s="300">
        <f>SAÍDAS!I44*(SAÍDAS!$S44/100)</f>
        <v>0</v>
      </c>
      <c r="I650" s="300">
        <f>SAÍDAS!J44*(SAÍDAS!$S44/100)</f>
        <v>0</v>
      </c>
      <c r="J650" s="300">
        <f>SAÍDAS!K44*(SAÍDAS!$S44/100)</f>
        <v>0</v>
      </c>
      <c r="K650" s="300">
        <f>SAÍDAS!L44*(SAÍDAS!$S44/100)</f>
        <v>0</v>
      </c>
      <c r="L650" s="300">
        <f>SAÍDAS!M44*(SAÍDAS!$S44/100)</f>
        <v>0</v>
      </c>
      <c r="M650" s="300">
        <f>SAÍDAS!N44*(SAÍDAS!$S44/100)</f>
        <v>0</v>
      </c>
      <c r="N650" s="300">
        <f>SAÍDAS!O44*(SAÍDAS!$S44/100)</f>
        <v>0</v>
      </c>
      <c r="O650" s="300">
        <f>SAÍDAS!P44*(SAÍDAS!$S44/100)</f>
        <v>0</v>
      </c>
      <c r="P650" s="300"/>
      <c r="Q650" s="678"/>
      <c r="R650" s="783"/>
      <c r="S650" s="783"/>
      <c r="T650" s="783"/>
      <c r="U650" s="783"/>
      <c r="V650" s="783"/>
      <c r="W650" s="783"/>
      <c r="X650" s="783"/>
      <c r="Y650" s="783"/>
    </row>
    <row r="651" spans="1:25" hidden="1" x14ac:dyDescent="0.25">
      <c r="A651" s="670"/>
      <c r="B651" s="739" t="str">
        <f>SAÍDAS!C45</f>
        <v>Alimentação</v>
      </c>
      <c r="C651" s="300">
        <f t="shared" si="190"/>
        <v>0</v>
      </c>
      <c r="D651" s="300">
        <f>SAÍDAS!E45*(SAÍDAS!$S45/100)</f>
        <v>0</v>
      </c>
      <c r="E651" s="300">
        <f>SAÍDAS!F45*(SAÍDAS!$S45/100)</f>
        <v>0</v>
      </c>
      <c r="F651" s="300">
        <f>SAÍDAS!G45*(SAÍDAS!$S45/100)</f>
        <v>0</v>
      </c>
      <c r="G651" s="300">
        <f>SAÍDAS!H45*(SAÍDAS!$S45/100)</f>
        <v>0</v>
      </c>
      <c r="H651" s="300">
        <f>SAÍDAS!I45*(SAÍDAS!$S45/100)</f>
        <v>0</v>
      </c>
      <c r="I651" s="300">
        <f>SAÍDAS!J45*(SAÍDAS!$S45/100)</f>
        <v>0</v>
      </c>
      <c r="J651" s="300">
        <f>SAÍDAS!K45*(SAÍDAS!$S45/100)</f>
        <v>0</v>
      </c>
      <c r="K651" s="300">
        <f>SAÍDAS!L45*(SAÍDAS!$S45/100)</f>
        <v>0</v>
      </c>
      <c r="L651" s="300">
        <f>SAÍDAS!M45*(SAÍDAS!$S45/100)</f>
        <v>0</v>
      </c>
      <c r="M651" s="300">
        <f>SAÍDAS!N45*(SAÍDAS!$S45/100)</f>
        <v>0</v>
      </c>
      <c r="N651" s="300">
        <f>SAÍDAS!O45*(SAÍDAS!$S45/100)</f>
        <v>0</v>
      </c>
      <c r="O651" s="300">
        <f>SAÍDAS!P45*(SAÍDAS!$S45/100)</f>
        <v>0</v>
      </c>
      <c r="P651" s="300"/>
      <c r="Q651" s="678"/>
      <c r="R651" s="783"/>
      <c r="S651" s="783"/>
      <c r="T651" s="783"/>
      <c r="U651" s="783"/>
      <c r="V651" s="783"/>
      <c r="W651" s="783"/>
      <c r="X651" s="783"/>
      <c r="Y651" s="783"/>
    </row>
    <row r="652" spans="1:25" hidden="1" x14ac:dyDescent="0.25">
      <c r="A652" s="670"/>
      <c r="B652" s="739" t="str">
        <f>SAÍDAS!C46</f>
        <v>Manutenção de Forragem</v>
      </c>
      <c r="C652" s="300">
        <f t="shared" si="190"/>
        <v>0</v>
      </c>
      <c r="D652" s="300">
        <f>SAÍDAS!E46*(SAÍDAS!$S46/100)</f>
        <v>0</v>
      </c>
      <c r="E652" s="300">
        <f>SAÍDAS!F46*(SAÍDAS!$S46/100)</f>
        <v>0</v>
      </c>
      <c r="F652" s="300">
        <f>SAÍDAS!G46*(SAÍDAS!$S46/100)</f>
        <v>0</v>
      </c>
      <c r="G652" s="300">
        <f>SAÍDAS!H46*(SAÍDAS!$S46/100)</f>
        <v>0</v>
      </c>
      <c r="H652" s="300">
        <f>SAÍDAS!I46*(SAÍDAS!$S46/100)</f>
        <v>0</v>
      </c>
      <c r="I652" s="300">
        <f>SAÍDAS!J46*(SAÍDAS!$S46/100)</f>
        <v>0</v>
      </c>
      <c r="J652" s="300">
        <f>SAÍDAS!K46*(SAÍDAS!$S46/100)</f>
        <v>0</v>
      </c>
      <c r="K652" s="300">
        <f>SAÍDAS!L46*(SAÍDAS!$S46/100)</f>
        <v>0</v>
      </c>
      <c r="L652" s="300">
        <f>SAÍDAS!M46*(SAÍDAS!$S46/100)</f>
        <v>0</v>
      </c>
      <c r="M652" s="300">
        <f>SAÍDAS!N46*(SAÍDAS!$S46/100)</f>
        <v>0</v>
      </c>
      <c r="N652" s="300">
        <f>SAÍDAS!O46*(SAÍDAS!$S46/100)</f>
        <v>0</v>
      </c>
      <c r="O652" s="300">
        <f>SAÍDAS!P46*(SAÍDAS!$S46/100)</f>
        <v>0</v>
      </c>
      <c r="P652" s="300"/>
      <c r="Q652" s="678"/>
      <c r="R652" s="783"/>
      <c r="S652" s="783"/>
      <c r="T652" s="783"/>
      <c r="U652" s="783"/>
      <c r="V652" s="783"/>
      <c r="W652" s="783"/>
      <c r="X652" s="783"/>
      <c r="Y652" s="783"/>
    </row>
    <row r="653" spans="1:25" hidden="1" x14ac:dyDescent="0.25">
      <c r="A653" s="670"/>
      <c r="B653" s="739" t="str">
        <f>SAÍDAS!C47</f>
        <v>Manutenção de Forragem</v>
      </c>
      <c r="C653" s="300">
        <f t="shared" si="190"/>
        <v>0</v>
      </c>
      <c r="D653" s="300">
        <f>SAÍDAS!E47*(SAÍDAS!$S47/100)</f>
        <v>0</v>
      </c>
      <c r="E653" s="300">
        <f>SAÍDAS!F47*(SAÍDAS!$S47/100)</f>
        <v>0</v>
      </c>
      <c r="F653" s="300">
        <f>SAÍDAS!G47*(SAÍDAS!$S47/100)</f>
        <v>0</v>
      </c>
      <c r="G653" s="300">
        <f>SAÍDAS!H47*(SAÍDAS!$S47/100)</f>
        <v>0</v>
      </c>
      <c r="H653" s="300">
        <f>SAÍDAS!I47*(SAÍDAS!$S47/100)</f>
        <v>0</v>
      </c>
      <c r="I653" s="300">
        <f>SAÍDAS!J47*(SAÍDAS!$S47/100)</f>
        <v>0</v>
      </c>
      <c r="J653" s="300">
        <f>SAÍDAS!K47*(SAÍDAS!$S47/100)</f>
        <v>0</v>
      </c>
      <c r="K653" s="300">
        <f>SAÍDAS!L47*(SAÍDAS!$S47/100)</f>
        <v>0</v>
      </c>
      <c r="L653" s="300">
        <f>SAÍDAS!M47*(SAÍDAS!$S47/100)</f>
        <v>0</v>
      </c>
      <c r="M653" s="300">
        <f>SAÍDAS!N47*(SAÍDAS!$S47/100)</f>
        <v>0</v>
      </c>
      <c r="N653" s="300">
        <f>SAÍDAS!O47*(SAÍDAS!$S47/100)</f>
        <v>0</v>
      </c>
      <c r="O653" s="300">
        <f>SAÍDAS!P47*(SAÍDAS!$S47/100)</f>
        <v>0</v>
      </c>
      <c r="P653" s="300"/>
      <c r="Q653" s="678"/>
      <c r="R653" s="783"/>
      <c r="S653" s="783"/>
      <c r="T653" s="783"/>
      <c r="U653" s="783"/>
      <c r="V653" s="783"/>
      <c r="W653" s="783"/>
      <c r="X653" s="783"/>
      <c r="Y653" s="783"/>
    </row>
    <row r="654" spans="1:25" hidden="1" x14ac:dyDescent="0.25">
      <c r="A654" s="670"/>
      <c r="B654" s="739" t="str">
        <f>SAÍDAS!C48</f>
        <v>Manutenção de Forragem</v>
      </c>
      <c r="C654" s="300">
        <f t="shared" si="190"/>
        <v>0</v>
      </c>
      <c r="D654" s="300">
        <f>SAÍDAS!E48*(SAÍDAS!$S48/100)</f>
        <v>0</v>
      </c>
      <c r="E654" s="300">
        <f>SAÍDAS!F48*(SAÍDAS!$S48/100)</f>
        <v>0</v>
      </c>
      <c r="F654" s="300">
        <f>SAÍDAS!G48*(SAÍDAS!$S48/100)</f>
        <v>0</v>
      </c>
      <c r="G654" s="300">
        <f>SAÍDAS!H48*(SAÍDAS!$S48/100)</f>
        <v>0</v>
      </c>
      <c r="H654" s="300">
        <f>SAÍDAS!I48*(SAÍDAS!$S48/100)</f>
        <v>0</v>
      </c>
      <c r="I654" s="300">
        <f>SAÍDAS!J48*(SAÍDAS!$S48/100)</f>
        <v>0</v>
      </c>
      <c r="J654" s="300">
        <f>SAÍDAS!K48*(SAÍDAS!$S48/100)</f>
        <v>0</v>
      </c>
      <c r="K654" s="300">
        <f>SAÍDAS!L48*(SAÍDAS!$S48/100)</f>
        <v>0</v>
      </c>
      <c r="L654" s="300">
        <f>SAÍDAS!M48*(SAÍDAS!$S48/100)</f>
        <v>0</v>
      </c>
      <c r="M654" s="300">
        <f>SAÍDAS!N48*(SAÍDAS!$S48/100)</f>
        <v>0</v>
      </c>
      <c r="N654" s="300">
        <f>SAÍDAS!O48*(SAÍDAS!$S48/100)</f>
        <v>0</v>
      </c>
      <c r="O654" s="300">
        <f>SAÍDAS!P48*(SAÍDAS!$S48/100)</f>
        <v>0</v>
      </c>
      <c r="P654" s="300"/>
      <c r="Q654" s="678"/>
      <c r="R654" s="783"/>
      <c r="S654" s="783"/>
      <c r="T654" s="783"/>
      <c r="U654" s="783"/>
      <c r="V654" s="783"/>
      <c r="W654" s="783"/>
      <c r="X654" s="783"/>
      <c r="Y654" s="783"/>
    </row>
    <row r="655" spans="1:25" hidden="1" x14ac:dyDescent="0.25">
      <c r="A655" s="670"/>
      <c r="B655" s="739" t="str">
        <f>SAÍDAS!C49</f>
        <v>Manutenção de Forragem</v>
      </c>
      <c r="C655" s="300">
        <f t="shared" si="190"/>
        <v>0</v>
      </c>
      <c r="D655" s="300">
        <f>SAÍDAS!E49*(SAÍDAS!$S49/100)</f>
        <v>0</v>
      </c>
      <c r="E655" s="300">
        <f>SAÍDAS!F49*(SAÍDAS!$S49/100)</f>
        <v>0</v>
      </c>
      <c r="F655" s="300">
        <f>SAÍDAS!G49*(SAÍDAS!$S49/100)</f>
        <v>0</v>
      </c>
      <c r="G655" s="300">
        <f>SAÍDAS!H49*(SAÍDAS!$S49/100)</f>
        <v>0</v>
      </c>
      <c r="H655" s="300">
        <f>SAÍDAS!I49*(SAÍDAS!$S49/100)</f>
        <v>0</v>
      </c>
      <c r="I655" s="300">
        <f>SAÍDAS!J49*(SAÍDAS!$S49/100)</f>
        <v>0</v>
      </c>
      <c r="J655" s="300">
        <f>SAÍDAS!K49*(SAÍDAS!$S49/100)</f>
        <v>0</v>
      </c>
      <c r="K655" s="300">
        <f>SAÍDAS!L49*(SAÍDAS!$S49/100)</f>
        <v>0</v>
      </c>
      <c r="L655" s="300">
        <f>SAÍDAS!M49*(SAÍDAS!$S49/100)</f>
        <v>0</v>
      </c>
      <c r="M655" s="300">
        <f>SAÍDAS!N49*(SAÍDAS!$S49/100)</f>
        <v>0</v>
      </c>
      <c r="N655" s="300">
        <f>SAÍDAS!O49*(SAÍDAS!$S49/100)</f>
        <v>0</v>
      </c>
      <c r="O655" s="300">
        <f>SAÍDAS!P49*(SAÍDAS!$S49/100)</f>
        <v>0</v>
      </c>
      <c r="P655" s="300"/>
      <c r="Q655" s="678"/>
      <c r="R655" s="783"/>
      <c r="S655" s="783"/>
      <c r="T655" s="783"/>
      <c r="U655" s="783"/>
      <c r="V655" s="783"/>
      <c r="W655" s="783"/>
      <c r="X655" s="783"/>
      <c r="Y655" s="783"/>
    </row>
    <row r="656" spans="1:25" hidden="1" x14ac:dyDescent="0.25">
      <c r="A656" s="670"/>
      <c r="B656" s="739" t="str">
        <f>SAÍDAS!C50</f>
        <v>Reprodução</v>
      </c>
      <c r="C656" s="300">
        <f t="shared" si="190"/>
        <v>0</v>
      </c>
      <c r="D656" s="300">
        <f>SAÍDAS!E50*(SAÍDAS!$S50/100)</f>
        <v>0</v>
      </c>
      <c r="E656" s="300">
        <f>SAÍDAS!F50*(SAÍDAS!$S50/100)</f>
        <v>0</v>
      </c>
      <c r="F656" s="300">
        <f>SAÍDAS!G50*(SAÍDAS!$S50/100)</f>
        <v>0</v>
      </c>
      <c r="G656" s="300">
        <f>SAÍDAS!H50*(SAÍDAS!$S50/100)</f>
        <v>0</v>
      </c>
      <c r="H656" s="300">
        <f>SAÍDAS!I50*(SAÍDAS!$S50/100)</f>
        <v>0</v>
      </c>
      <c r="I656" s="300">
        <f>SAÍDAS!J50*(SAÍDAS!$S50/100)</f>
        <v>0</v>
      </c>
      <c r="J656" s="300">
        <f>SAÍDAS!K50*(SAÍDAS!$S50/100)</f>
        <v>0</v>
      </c>
      <c r="K656" s="300">
        <f>SAÍDAS!L50*(SAÍDAS!$S50/100)</f>
        <v>0</v>
      </c>
      <c r="L656" s="300">
        <f>SAÍDAS!M50*(SAÍDAS!$S50/100)</f>
        <v>0</v>
      </c>
      <c r="M656" s="300">
        <f>SAÍDAS!N50*(SAÍDAS!$S50/100)</f>
        <v>0</v>
      </c>
      <c r="N656" s="300">
        <f>SAÍDAS!O50*(SAÍDAS!$S50/100)</f>
        <v>0</v>
      </c>
      <c r="O656" s="300">
        <f>SAÍDAS!P50*(SAÍDAS!$S50/100)</f>
        <v>0</v>
      </c>
      <c r="P656" s="300"/>
      <c r="Q656" s="678"/>
      <c r="R656" s="783"/>
      <c r="S656" s="783"/>
      <c r="T656" s="783"/>
      <c r="U656" s="783"/>
      <c r="V656" s="783"/>
      <c r="W656" s="783"/>
      <c r="X656" s="783"/>
      <c r="Y656" s="783"/>
    </row>
    <row r="657" spans="1:25" hidden="1" x14ac:dyDescent="0.25">
      <c r="A657" s="670"/>
      <c r="B657" s="739" t="str">
        <f>SAÍDAS!C51</f>
        <v>Reprodução</v>
      </c>
      <c r="C657" s="300">
        <f t="shared" si="190"/>
        <v>0</v>
      </c>
      <c r="D657" s="300">
        <f>SAÍDAS!E51*(SAÍDAS!$S51/100)</f>
        <v>0</v>
      </c>
      <c r="E657" s="300">
        <f>SAÍDAS!F51*(SAÍDAS!$S51/100)</f>
        <v>0</v>
      </c>
      <c r="F657" s="300">
        <f>SAÍDAS!G51*(SAÍDAS!$S51/100)</f>
        <v>0</v>
      </c>
      <c r="G657" s="300">
        <f>SAÍDAS!H51*(SAÍDAS!$S51/100)</f>
        <v>0</v>
      </c>
      <c r="H657" s="300">
        <f>SAÍDAS!I51*(SAÍDAS!$S51/100)</f>
        <v>0</v>
      </c>
      <c r="I657" s="300">
        <f>SAÍDAS!J51*(SAÍDAS!$S51/100)</f>
        <v>0</v>
      </c>
      <c r="J657" s="300">
        <f>SAÍDAS!K51*(SAÍDAS!$S51/100)</f>
        <v>0</v>
      </c>
      <c r="K657" s="300">
        <f>SAÍDAS!L51*(SAÍDAS!$S51/100)</f>
        <v>0</v>
      </c>
      <c r="L657" s="300">
        <f>SAÍDAS!M51*(SAÍDAS!$S51/100)</f>
        <v>0</v>
      </c>
      <c r="M657" s="300">
        <f>SAÍDAS!N51*(SAÍDAS!$S51/100)</f>
        <v>0</v>
      </c>
      <c r="N657" s="300">
        <f>SAÍDAS!O51*(SAÍDAS!$S51/100)</f>
        <v>0</v>
      </c>
      <c r="O657" s="300">
        <f>SAÍDAS!P51*(SAÍDAS!$S51/100)</f>
        <v>0</v>
      </c>
      <c r="P657" s="300"/>
      <c r="Q657" s="678"/>
      <c r="R657" s="783"/>
      <c r="S657" s="783"/>
      <c r="T657" s="783"/>
      <c r="U657" s="783"/>
      <c r="V657" s="783"/>
      <c r="W657" s="783"/>
      <c r="X657" s="783"/>
      <c r="Y657" s="783"/>
    </row>
    <row r="658" spans="1:25" hidden="1" x14ac:dyDescent="0.25">
      <c r="A658" s="670"/>
      <c r="B658" s="739" t="str">
        <f>SAÍDAS!C52</f>
        <v>Sanidade</v>
      </c>
      <c r="C658" s="300">
        <f t="shared" si="190"/>
        <v>0</v>
      </c>
      <c r="D658" s="300">
        <f>SAÍDAS!E52*(SAÍDAS!$S52/100)</f>
        <v>0</v>
      </c>
      <c r="E658" s="300">
        <f>SAÍDAS!F52*(SAÍDAS!$S52/100)</f>
        <v>0</v>
      </c>
      <c r="F658" s="300">
        <f>SAÍDAS!G52*(SAÍDAS!$S52/100)</f>
        <v>0</v>
      </c>
      <c r="G658" s="300">
        <f>SAÍDAS!H52*(SAÍDAS!$S52/100)</f>
        <v>0</v>
      </c>
      <c r="H658" s="300">
        <f>SAÍDAS!I52*(SAÍDAS!$S52/100)</f>
        <v>0</v>
      </c>
      <c r="I658" s="300">
        <f>SAÍDAS!J52*(SAÍDAS!$S52/100)</f>
        <v>0</v>
      </c>
      <c r="J658" s="300">
        <f>SAÍDAS!K52*(SAÍDAS!$S52/100)</f>
        <v>0</v>
      </c>
      <c r="K658" s="300">
        <f>SAÍDAS!L52*(SAÍDAS!$S52/100)</f>
        <v>0</v>
      </c>
      <c r="L658" s="300">
        <f>SAÍDAS!M52*(SAÍDAS!$S52/100)</f>
        <v>0</v>
      </c>
      <c r="M658" s="300">
        <f>SAÍDAS!N52*(SAÍDAS!$S52/100)</f>
        <v>0</v>
      </c>
      <c r="N658" s="300">
        <f>SAÍDAS!O52*(SAÍDAS!$S52/100)</f>
        <v>0</v>
      </c>
      <c r="O658" s="300">
        <f>SAÍDAS!P52*(SAÍDAS!$S52/100)</f>
        <v>0</v>
      </c>
      <c r="P658" s="300"/>
      <c r="Q658" s="678"/>
      <c r="R658" s="783"/>
      <c r="S658" s="783"/>
      <c r="T658" s="783"/>
      <c r="U658" s="783"/>
      <c r="V658" s="783"/>
      <c r="W658" s="783"/>
      <c r="X658" s="783"/>
      <c r="Y658" s="783"/>
    </row>
    <row r="659" spans="1:25" hidden="1" x14ac:dyDescent="0.25">
      <c r="A659" s="670"/>
      <c r="B659" s="739" t="str">
        <f>SAÍDAS!C53</f>
        <v>Sanidade</v>
      </c>
      <c r="C659" s="300">
        <f t="shared" si="190"/>
        <v>0</v>
      </c>
      <c r="D659" s="300">
        <f>SAÍDAS!E53*(SAÍDAS!$S53/100)</f>
        <v>0</v>
      </c>
      <c r="E659" s="300">
        <f>SAÍDAS!F53*(SAÍDAS!$S53/100)</f>
        <v>0</v>
      </c>
      <c r="F659" s="300">
        <f>SAÍDAS!G53*(SAÍDAS!$S53/100)</f>
        <v>0</v>
      </c>
      <c r="G659" s="300">
        <f>SAÍDAS!H53*(SAÍDAS!$S53/100)</f>
        <v>0</v>
      </c>
      <c r="H659" s="300">
        <f>SAÍDAS!I53*(SAÍDAS!$S53/100)</f>
        <v>0</v>
      </c>
      <c r="I659" s="300">
        <f>SAÍDAS!J53*(SAÍDAS!$S53/100)</f>
        <v>0</v>
      </c>
      <c r="J659" s="300">
        <f>SAÍDAS!K53*(SAÍDAS!$S53/100)</f>
        <v>0</v>
      </c>
      <c r="K659" s="300">
        <f>SAÍDAS!L53*(SAÍDAS!$S53/100)</f>
        <v>0</v>
      </c>
      <c r="L659" s="300">
        <f>SAÍDAS!M53*(SAÍDAS!$S53/100)</f>
        <v>0</v>
      </c>
      <c r="M659" s="300">
        <f>SAÍDAS!N53*(SAÍDAS!$S53/100)</f>
        <v>0</v>
      </c>
      <c r="N659" s="300">
        <f>SAÍDAS!O53*(SAÍDAS!$S53/100)</f>
        <v>0</v>
      </c>
      <c r="O659" s="300">
        <f>SAÍDAS!P53*(SAÍDAS!$S53/100)</f>
        <v>0</v>
      </c>
      <c r="P659" s="300"/>
      <c r="Q659" s="678"/>
      <c r="R659" s="783"/>
      <c r="S659" s="783"/>
      <c r="T659" s="783"/>
      <c r="U659" s="783"/>
      <c r="V659" s="783"/>
      <c r="W659" s="783"/>
      <c r="X659" s="783"/>
      <c r="Y659" s="783"/>
    </row>
    <row r="660" spans="1:25" hidden="1" x14ac:dyDescent="0.25">
      <c r="A660" s="670"/>
      <c r="B660" s="739" t="str">
        <f>SAÍDAS!C54</f>
        <v>Sanidade</v>
      </c>
      <c r="C660" s="300">
        <f t="shared" si="190"/>
        <v>0</v>
      </c>
      <c r="D660" s="300">
        <f>SAÍDAS!E54*(SAÍDAS!$S54/100)</f>
        <v>0</v>
      </c>
      <c r="E660" s="300">
        <f>SAÍDAS!F54*(SAÍDAS!$S54/100)</f>
        <v>0</v>
      </c>
      <c r="F660" s="300">
        <f>SAÍDAS!G54*(SAÍDAS!$S54/100)</f>
        <v>0</v>
      </c>
      <c r="G660" s="300">
        <f>SAÍDAS!H54*(SAÍDAS!$S54/100)</f>
        <v>0</v>
      </c>
      <c r="H660" s="300">
        <f>SAÍDAS!I54*(SAÍDAS!$S54/100)</f>
        <v>0</v>
      </c>
      <c r="I660" s="300">
        <f>SAÍDAS!J54*(SAÍDAS!$S54/100)</f>
        <v>0</v>
      </c>
      <c r="J660" s="300">
        <f>SAÍDAS!K54*(SAÍDAS!$S54/100)</f>
        <v>0</v>
      </c>
      <c r="K660" s="300">
        <f>SAÍDAS!L54*(SAÍDAS!$S54/100)</f>
        <v>0</v>
      </c>
      <c r="L660" s="300">
        <f>SAÍDAS!M54*(SAÍDAS!$S54/100)</f>
        <v>0</v>
      </c>
      <c r="M660" s="300">
        <f>SAÍDAS!N54*(SAÍDAS!$S54/100)</f>
        <v>0</v>
      </c>
      <c r="N660" s="300">
        <f>SAÍDAS!O54*(SAÍDAS!$S54/100)</f>
        <v>0</v>
      </c>
      <c r="O660" s="300">
        <f>SAÍDAS!P54*(SAÍDAS!$S54/100)</f>
        <v>0</v>
      </c>
      <c r="P660" s="300"/>
      <c r="Q660" s="678"/>
      <c r="R660" s="783"/>
      <c r="S660" s="783"/>
      <c r="T660" s="783"/>
      <c r="U660" s="783"/>
      <c r="V660" s="783"/>
      <c r="W660" s="783"/>
      <c r="X660" s="783"/>
      <c r="Y660" s="783"/>
    </row>
    <row r="661" spans="1:25" hidden="1" x14ac:dyDescent="0.25">
      <c r="A661" s="670"/>
      <c r="B661" s="739" t="str">
        <f>SAÍDAS!C55</f>
        <v>Manutenção de Máquinas e Instalações</v>
      </c>
      <c r="C661" s="300">
        <f t="shared" si="190"/>
        <v>0</v>
      </c>
      <c r="D661" s="300">
        <f>SAÍDAS!E55*(SAÍDAS!$S55/100)</f>
        <v>0</v>
      </c>
      <c r="E661" s="300">
        <f>SAÍDAS!F55*(SAÍDAS!$S55/100)</f>
        <v>0</v>
      </c>
      <c r="F661" s="300">
        <f>SAÍDAS!G55*(SAÍDAS!$S55/100)</f>
        <v>0</v>
      </c>
      <c r="G661" s="300">
        <f>SAÍDAS!H55*(SAÍDAS!$S55/100)</f>
        <v>0</v>
      </c>
      <c r="H661" s="300">
        <f>SAÍDAS!I55*(SAÍDAS!$S55/100)</f>
        <v>0</v>
      </c>
      <c r="I661" s="300">
        <f>SAÍDAS!J55*(SAÍDAS!$S55/100)</f>
        <v>0</v>
      </c>
      <c r="J661" s="300">
        <f>SAÍDAS!K55*(SAÍDAS!$S55/100)</f>
        <v>0</v>
      </c>
      <c r="K661" s="300">
        <f>SAÍDAS!L55*(SAÍDAS!$S55/100)</f>
        <v>0</v>
      </c>
      <c r="L661" s="300">
        <f>SAÍDAS!M55*(SAÍDAS!$S55/100)</f>
        <v>0</v>
      </c>
      <c r="M661" s="300">
        <f>SAÍDAS!N55*(SAÍDAS!$S55/100)</f>
        <v>0</v>
      </c>
      <c r="N661" s="300">
        <f>SAÍDAS!O55*(SAÍDAS!$S55/100)</f>
        <v>0</v>
      </c>
      <c r="O661" s="300">
        <f>SAÍDAS!P55*(SAÍDAS!$S55/100)</f>
        <v>0</v>
      </c>
      <c r="P661" s="300"/>
      <c r="Q661" s="678"/>
      <c r="R661" s="783"/>
      <c r="S661" s="783"/>
      <c r="T661" s="783"/>
      <c r="U661" s="783"/>
      <c r="V661" s="783"/>
      <c r="W661" s="783"/>
      <c r="X661" s="783"/>
      <c r="Y661" s="783"/>
    </row>
    <row r="662" spans="1:25" hidden="1" x14ac:dyDescent="0.25">
      <c r="A662" s="670"/>
      <c r="B662" s="739" t="str">
        <f>SAÍDAS!C56</f>
        <v>Combustível e Energia</v>
      </c>
      <c r="C662" s="300">
        <f t="shared" si="190"/>
        <v>0</v>
      </c>
      <c r="D662" s="300">
        <f>SAÍDAS!E56*(SAÍDAS!$S56/100)</f>
        <v>0</v>
      </c>
      <c r="E662" s="300">
        <f>SAÍDAS!F56*(SAÍDAS!$S56/100)</f>
        <v>0</v>
      </c>
      <c r="F662" s="300">
        <f>SAÍDAS!G56*(SAÍDAS!$S56/100)</f>
        <v>0</v>
      </c>
      <c r="G662" s="300">
        <f>SAÍDAS!H56*(SAÍDAS!$S56/100)</f>
        <v>0</v>
      </c>
      <c r="H662" s="300">
        <f>SAÍDAS!I56*(SAÍDAS!$S56/100)</f>
        <v>0</v>
      </c>
      <c r="I662" s="300">
        <f>SAÍDAS!J56*(SAÍDAS!$S56/100)</f>
        <v>0</v>
      </c>
      <c r="J662" s="300">
        <f>SAÍDAS!K56*(SAÍDAS!$S56/100)</f>
        <v>0</v>
      </c>
      <c r="K662" s="300">
        <f>SAÍDAS!L56*(SAÍDAS!$S56/100)</f>
        <v>0</v>
      </c>
      <c r="L662" s="300">
        <f>SAÍDAS!M56*(SAÍDAS!$S56/100)</f>
        <v>0</v>
      </c>
      <c r="M662" s="300">
        <f>SAÍDAS!N56*(SAÍDAS!$S56/100)</f>
        <v>0</v>
      </c>
      <c r="N662" s="300">
        <f>SAÍDAS!O56*(SAÍDAS!$S56/100)</f>
        <v>0</v>
      </c>
      <c r="O662" s="300">
        <f>SAÍDAS!P56*(SAÍDAS!$S56/100)</f>
        <v>0</v>
      </c>
      <c r="P662" s="300"/>
      <c r="Q662" s="678"/>
      <c r="R662" s="783"/>
      <c r="S662" s="783"/>
      <c r="T662" s="783"/>
      <c r="U662" s="783"/>
      <c r="V662" s="783"/>
      <c r="W662" s="783"/>
      <c r="X662" s="783"/>
      <c r="Y662" s="783"/>
    </row>
    <row r="663" spans="1:25" hidden="1" x14ac:dyDescent="0.25">
      <c r="A663" s="670"/>
      <c r="B663" s="739" t="str">
        <f>SAÍDAS!C57</f>
        <v>Serviços Terceirizados</v>
      </c>
      <c r="C663" s="300">
        <f t="shared" si="190"/>
        <v>0</v>
      </c>
      <c r="D663" s="300">
        <f>SAÍDAS!E57*(SAÍDAS!$S57/100)</f>
        <v>0</v>
      </c>
      <c r="E663" s="300">
        <f>SAÍDAS!F57*(SAÍDAS!$S57/100)</f>
        <v>0</v>
      </c>
      <c r="F663" s="300">
        <f>SAÍDAS!G57*(SAÍDAS!$S57/100)</f>
        <v>0</v>
      </c>
      <c r="G663" s="300">
        <f>SAÍDAS!H57*(SAÍDAS!$S57/100)</f>
        <v>0</v>
      </c>
      <c r="H663" s="300">
        <f>SAÍDAS!I57*(SAÍDAS!$S57/100)</f>
        <v>0</v>
      </c>
      <c r="I663" s="300">
        <f>SAÍDAS!J57*(SAÍDAS!$S57/100)</f>
        <v>0</v>
      </c>
      <c r="J663" s="300">
        <f>SAÍDAS!K57*(SAÍDAS!$S57/100)</f>
        <v>0</v>
      </c>
      <c r="K663" s="300">
        <f>SAÍDAS!L57*(SAÍDAS!$S57/100)</f>
        <v>0</v>
      </c>
      <c r="L663" s="300">
        <f>SAÍDAS!M57*(SAÍDAS!$S57/100)</f>
        <v>0</v>
      </c>
      <c r="M663" s="300">
        <f>SAÍDAS!N57*(SAÍDAS!$S57/100)</f>
        <v>0</v>
      </c>
      <c r="N663" s="300">
        <f>SAÍDAS!O57*(SAÍDAS!$S57/100)</f>
        <v>0</v>
      </c>
      <c r="O663" s="300">
        <f>SAÍDAS!P57*(SAÍDAS!$S57/100)</f>
        <v>0</v>
      </c>
      <c r="P663" s="300"/>
      <c r="Q663" s="678"/>
      <c r="R663" s="783"/>
      <c r="S663" s="783"/>
      <c r="T663" s="783"/>
      <c r="U663" s="783"/>
      <c r="V663" s="783"/>
      <c r="W663" s="783"/>
      <c r="X663" s="783"/>
      <c r="Y663" s="783"/>
    </row>
    <row r="664" spans="1:25" hidden="1" x14ac:dyDescent="0.25">
      <c r="A664" s="670"/>
      <c r="B664" s="739" t="str">
        <f>SAÍDAS!C58</f>
        <v>Manutenção de Máquinas e Instalações</v>
      </c>
      <c r="C664" s="300">
        <f t="shared" si="190"/>
        <v>0</v>
      </c>
      <c r="D664" s="300">
        <f>SAÍDAS!E58*(SAÍDAS!$S58/100)</f>
        <v>0</v>
      </c>
      <c r="E664" s="300">
        <f>SAÍDAS!F58*(SAÍDAS!$S58/100)</f>
        <v>0</v>
      </c>
      <c r="F664" s="300">
        <f>SAÍDAS!G58*(SAÍDAS!$S58/100)</f>
        <v>0</v>
      </c>
      <c r="G664" s="300">
        <f>SAÍDAS!H58*(SAÍDAS!$S58/100)</f>
        <v>0</v>
      </c>
      <c r="H664" s="300">
        <f>SAÍDAS!I58*(SAÍDAS!$S58/100)</f>
        <v>0</v>
      </c>
      <c r="I664" s="300">
        <f>SAÍDAS!J58*(SAÍDAS!$S58/100)</f>
        <v>0</v>
      </c>
      <c r="J664" s="300">
        <f>SAÍDAS!K58*(SAÍDAS!$S58/100)</f>
        <v>0</v>
      </c>
      <c r="K664" s="300">
        <f>SAÍDAS!L58*(SAÍDAS!$S58/100)</f>
        <v>0</v>
      </c>
      <c r="L664" s="300">
        <f>SAÍDAS!M58*(SAÍDAS!$S58/100)</f>
        <v>0</v>
      </c>
      <c r="M664" s="300">
        <f>SAÍDAS!N58*(SAÍDAS!$S58/100)</f>
        <v>0</v>
      </c>
      <c r="N664" s="300">
        <f>SAÍDAS!O58*(SAÍDAS!$S58/100)</f>
        <v>0</v>
      </c>
      <c r="O664" s="300">
        <f>SAÍDAS!P58*(SAÍDAS!$S58/100)</f>
        <v>0</v>
      </c>
      <c r="P664" s="300"/>
      <c r="Q664" s="678"/>
      <c r="R664" s="783"/>
      <c r="S664" s="783"/>
      <c r="T664" s="783"/>
      <c r="U664" s="783"/>
      <c r="V664" s="783"/>
      <c r="W664" s="783"/>
      <c r="X664" s="783"/>
      <c r="Y664" s="783"/>
    </row>
    <row r="665" spans="1:25" hidden="1" x14ac:dyDescent="0.25">
      <c r="A665" s="670"/>
      <c r="B665" s="739" t="str">
        <f>SAÍDAS!C59</f>
        <v>Manutenção de Máquinas e Instalações</v>
      </c>
      <c r="C665" s="300">
        <f t="shared" si="190"/>
        <v>0</v>
      </c>
      <c r="D665" s="300">
        <f>SAÍDAS!E59*(SAÍDAS!$S59/100)</f>
        <v>0</v>
      </c>
      <c r="E665" s="300">
        <f>SAÍDAS!F59*(SAÍDAS!$S59/100)</f>
        <v>0</v>
      </c>
      <c r="F665" s="300">
        <f>SAÍDAS!G59*(SAÍDAS!$S59/100)</f>
        <v>0</v>
      </c>
      <c r="G665" s="300">
        <f>SAÍDAS!H59*(SAÍDAS!$S59/100)</f>
        <v>0</v>
      </c>
      <c r="H665" s="300">
        <f>SAÍDAS!I59*(SAÍDAS!$S59/100)</f>
        <v>0</v>
      </c>
      <c r="I665" s="300">
        <f>SAÍDAS!J59*(SAÍDAS!$S59/100)</f>
        <v>0</v>
      </c>
      <c r="J665" s="300">
        <f>SAÍDAS!K59*(SAÍDAS!$S59/100)</f>
        <v>0</v>
      </c>
      <c r="K665" s="300">
        <f>SAÍDAS!L59*(SAÍDAS!$S59/100)</f>
        <v>0</v>
      </c>
      <c r="L665" s="300">
        <f>SAÍDAS!M59*(SAÍDAS!$S59/100)</f>
        <v>0</v>
      </c>
      <c r="M665" s="300">
        <f>SAÍDAS!N59*(SAÍDAS!$S59/100)</f>
        <v>0</v>
      </c>
      <c r="N665" s="300">
        <f>SAÍDAS!O59*(SAÍDAS!$S59/100)</f>
        <v>0</v>
      </c>
      <c r="O665" s="300">
        <f>SAÍDAS!P59*(SAÍDAS!$S59/100)</f>
        <v>0</v>
      </c>
      <c r="P665" s="300"/>
      <c r="Q665" s="678"/>
      <c r="R665" s="783"/>
      <c r="S665" s="783"/>
      <c r="T665" s="783"/>
      <c r="U665" s="783"/>
      <c r="V665" s="783"/>
      <c r="W665" s="783"/>
      <c r="X665" s="783"/>
      <c r="Y665" s="783"/>
    </row>
    <row r="666" spans="1:25" hidden="1" x14ac:dyDescent="0.25">
      <c r="A666" s="670"/>
      <c r="B666" s="739" t="str">
        <f>SAÍDAS!C60</f>
        <v>Combustível e Energia</v>
      </c>
      <c r="C666" s="300">
        <f t="shared" si="190"/>
        <v>0</v>
      </c>
      <c r="D666" s="300">
        <f>SAÍDAS!E60*(SAÍDAS!$S60/100)</f>
        <v>0</v>
      </c>
      <c r="E666" s="300">
        <f>SAÍDAS!F60*(SAÍDAS!$S60/100)</f>
        <v>0</v>
      </c>
      <c r="F666" s="300">
        <f>SAÍDAS!G60*(SAÍDAS!$S60/100)</f>
        <v>0</v>
      </c>
      <c r="G666" s="300">
        <f>SAÍDAS!H60*(SAÍDAS!$S60/100)</f>
        <v>0</v>
      </c>
      <c r="H666" s="300">
        <f>SAÍDAS!I60*(SAÍDAS!$S60/100)</f>
        <v>0</v>
      </c>
      <c r="I666" s="300">
        <f>SAÍDAS!J60*(SAÍDAS!$S60/100)</f>
        <v>0</v>
      </c>
      <c r="J666" s="300">
        <f>SAÍDAS!K60*(SAÍDAS!$S60/100)</f>
        <v>0</v>
      </c>
      <c r="K666" s="300">
        <f>SAÍDAS!L60*(SAÍDAS!$S60/100)</f>
        <v>0</v>
      </c>
      <c r="L666" s="300">
        <f>SAÍDAS!M60*(SAÍDAS!$S60/100)</f>
        <v>0</v>
      </c>
      <c r="M666" s="300">
        <f>SAÍDAS!N60*(SAÍDAS!$S60/100)</f>
        <v>0</v>
      </c>
      <c r="N666" s="300">
        <f>SAÍDAS!O60*(SAÍDAS!$S60/100)</f>
        <v>0</v>
      </c>
      <c r="O666" s="300">
        <f>SAÍDAS!P60*(SAÍDAS!$S60/100)</f>
        <v>0</v>
      </c>
      <c r="P666" s="300"/>
      <c r="Q666" s="678"/>
      <c r="R666" s="783"/>
      <c r="S666" s="783"/>
      <c r="T666" s="783"/>
      <c r="U666" s="783"/>
      <c r="V666" s="783"/>
      <c r="W666" s="783"/>
      <c r="X666" s="783"/>
      <c r="Y666" s="783"/>
    </row>
    <row r="667" spans="1:25" hidden="1" x14ac:dyDescent="0.25">
      <c r="A667" s="670"/>
      <c r="B667" s="739" t="str">
        <f>SAÍDAS!C61</f>
        <v>Tarifas e Impostos</v>
      </c>
      <c r="C667" s="300">
        <f t="shared" si="190"/>
        <v>0</v>
      </c>
      <c r="D667" s="300">
        <f>SAÍDAS!E61*(SAÍDAS!$S61/100)</f>
        <v>0</v>
      </c>
      <c r="E667" s="300">
        <f>SAÍDAS!F61*(SAÍDAS!$S61/100)</f>
        <v>0</v>
      </c>
      <c r="F667" s="300">
        <f>SAÍDAS!G61*(SAÍDAS!$S61/100)</f>
        <v>0</v>
      </c>
      <c r="G667" s="300">
        <f>SAÍDAS!H61*(SAÍDAS!$S61/100)</f>
        <v>0</v>
      </c>
      <c r="H667" s="300">
        <f>SAÍDAS!I61*(SAÍDAS!$S61/100)</f>
        <v>0</v>
      </c>
      <c r="I667" s="300">
        <f>SAÍDAS!J61*(SAÍDAS!$S61/100)</f>
        <v>0</v>
      </c>
      <c r="J667" s="300">
        <f>SAÍDAS!K61*(SAÍDAS!$S61/100)</f>
        <v>0</v>
      </c>
      <c r="K667" s="300">
        <f>SAÍDAS!L61*(SAÍDAS!$S61/100)</f>
        <v>0</v>
      </c>
      <c r="L667" s="300">
        <f>SAÍDAS!M61*(SAÍDAS!$S61/100)</f>
        <v>0</v>
      </c>
      <c r="M667" s="300">
        <f>SAÍDAS!N61*(SAÍDAS!$S61/100)</f>
        <v>0</v>
      </c>
      <c r="N667" s="300">
        <f>SAÍDAS!O61*(SAÍDAS!$S61/100)</f>
        <v>0</v>
      </c>
      <c r="O667" s="300">
        <f>SAÍDAS!P61*(SAÍDAS!$S61/100)</f>
        <v>0</v>
      </c>
      <c r="P667" s="300"/>
      <c r="Q667" s="678"/>
      <c r="R667" s="783"/>
      <c r="S667" s="783"/>
      <c r="T667" s="783"/>
      <c r="U667" s="783"/>
      <c r="V667" s="783"/>
      <c r="W667" s="783"/>
      <c r="X667" s="783"/>
      <c r="Y667" s="783"/>
    </row>
    <row r="668" spans="1:25" hidden="1" x14ac:dyDescent="0.25">
      <c r="A668" s="670"/>
      <c r="B668" s="739" t="str">
        <f>SAÍDAS!C62</f>
        <v>Tarifas e Impostos</v>
      </c>
      <c r="C668" s="300">
        <f t="shared" si="190"/>
        <v>0</v>
      </c>
      <c r="D668" s="300">
        <f>SAÍDAS!E62*(SAÍDAS!$S62/100)</f>
        <v>0</v>
      </c>
      <c r="E668" s="300">
        <f>SAÍDAS!F62*(SAÍDAS!$S62/100)</f>
        <v>0</v>
      </c>
      <c r="F668" s="300">
        <f>SAÍDAS!G62*(SAÍDAS!$S62/100)</f>
        <v>0</v>
      </c>
      <c r="G668" s="300">
        <f>SAÍDAS!H62*(SAÍDAS!$S62/100)</f>
        <v>0</v>
      </c>
      <c r="H668" s="300">
        <f>SAÍDAS!I62*(SAÍDAS!$S62/100)</f>
        <v>0</v>
      </c>
      <c r="I668" s="300">
        <f>SAÍDAS!J62*(SAÍDAS!$S62/100)</f>
        <v>0</v>
      </c>
      <c r="J668" s="300">
        <f>SAÍDAS!K62*(SAÍDAS!$S62/100)</f>
        <v>0</v>
      </c>
      <c r="K668" s="300">
        <f>SAÍDAS!L62*(SAÍDAS!$S62/100)</f>
        <v>0</v>
      </c>
      <c r="L668" s="300">
        <f>SAÍDAS!M62*(SAÍDAS!$S62/100)</f>
        <v>0</v>
      </c>
      <c r="M668" s="300">
        <f>SAÍDAS!N62*(SAÍDAS!$S62/100)</f>
        <v>0</v>
      </c>
      <c r="N668" s="300">
        <f>SAÍDAS!O62*(SAÍDAS!$S62/100)</f>
        <v>0</v>
      </c>
      <c r="O668" s="300">
        <f>SAÍDAS!P62*(SAÍDAS!$S62/100)</f>
        <v>0</v>
      </c>
      <c r="P668" s="300"/>
      <c r="Q668" s="678"/>
      <c r="R668" s="783"/>
      <c r="S668" s="783"/>
      <c r="T668" s="783"/>
      <c r="U668" s="783"/>
      <c r="V668" s="783"/>
      <c r="W668" s="783"/>
      <c r="X668" s="783"/>
      <c r="Y668" s="783"/>
    </row>
    <row r="669" spans="1:25" hidden="1" x14ac:dyDescent="0.25">
      <c r="A669" s="670"/>
      <c r="B669" s="739" t="str">
        <f>SAÍDAS!C63</f>
        <v>Tarifas e Impostos</v>
      </c>
      <c r="C669" s="300">
        <f t="shared" si="190"/>
        <v>0</v>
      </c>
      <c r="D669" s="300">
        <f>SAÍDAS!E63*(SAÍDAS!$S63/100)</f>
        <v>0</v>
      </c>
      <c r="E669" s="300">
        <f>SAÍDAS!F63*(SAÍDAS!$S63/100)</f>
        <v>0</v>
      </c>
      <c r="F669" s="300">
        <f>SAÍDAS!G63*(SAÍDAS!$S63/100)</f>
        <v>0</v>
      </c>
      <c r="G669" s="300">
        <f>SAÍDAS!H63*(SAÍDAS!$S63/100)</f>
        <v>0</v>
      </c>
      <c r="H669" s="300">
        <f>SAÍDAS!I63*(SAÍDAS!$S63/100)</f>
        <v>0</v>
      </c>
      <c r="I669" s="300">
        <f>SAÍDAS!J63*(SAÍDAS!$S63/100)</f>
        <v>0</v>
      </c>
      <c r="J669" s="300">
        <f>SAÍDAS!K63*(SAÍDAS!$S63/100)</f>
        <v>0</v>
      </c>
      <c r="K669" s="300">
        <f>SAÍDAS!L63*(SAÍDAS!$S63/100)</f>
        <v>0</v>
      </c>
      <c r="L669" s="300">
        <f>SAÍDAS!M63*(SAÍDAS!$S63/100)</f>
        <v>0</v>
      </c>
      <c r="M669" s="300">
        <f>SAÍDAS!N63*(SAÍDAS!$S63/100)</f>
        <v>0</v>
      </c>
      <c r="N669" s="300">
        <f>SAÍDAS!O63*(SAÍDAS!$S63/100)</f>
        <v>0</v>
      </c>
      <c r="O669" s="300">
        <f>SAÍDAS!P63*(SAÍDAS!$S63/100)</f>
        <v>0</v>
      </c>
      <c r="P669" s="300"/>
      <c r="Q669" s="678"/>
      <c r="R669" s="783"/>
      <c r="S669" s="783"/>
      <c r="T669" s="783"/>
      <c r="U669" s="783"/>
      <c r="V669" s="783"/>
      <c r="W669" s="783"/>
      <c r="X669" s="783"/>
      <c r="Y669" s="783"/>
    </row>
    <row r="670" spans="1:25" hidden="1" x14ac:dyDescent="0.25">
      <c r="A670" s="670"/>
      <c r="B670" s="739" t="str">
        <f>SAÍDAS!C64</f>
        <v>Tarifas e Impostos</v>
      </c>
      <c r="C670" s="300">
        <f t="shared" si="190"/>
        <v>0</v>
      </c>
      <c r="D670" s="300">
        <f>SAÍDAS!E64*(SAÍDAS!$S64/100)</f>
        <v>0</v>
      </c>
      <c r="E670" s="300">
        <f>SAÍDAS!F64*(SAÍDAS!$S64/100)</f>
        <v>0</v>
      </c>
      <c r="F670" s="300">
        <f>SAÍDAS!G64*(SAÍDAS!$S64/100)</f>
        <v>0</v>
      </c>
      <c r="G670" s="300">
        <f>SAÍDAS!H64*(SAÍDAS!$S64/100)</f>
        <v>0</v>
      </c>
      <c r="H670" s="300">
        <f>SAÍDAS!I64*(SAÍDAS!$S64/100)</f>
        <v>0</v>
      </c>
      <c r="I670" s="300">
        <f>SAÍDAS!J64*(SAÍDAS!$S64/100)</f>
        <v>0</v>
      </c>
      <c r="J670" s="300">
        <f>SAÍDAS!K64*(SAÍDAS!$S64/100)</f>
        <v>0</v>
      </c>
      <c r="K670" s="300">
        <f>SAÍDAS!L64*(SAÍDAS!$S64/100)</f>
        <v>0</v>
      </c>
      <c r="L670" s="300">
        <f>SAÍDAS!M64*(SAÍDAS!$S64/100)</f>
        <v>0</v>
      </c>
      <c r="M670" s="300">
        <f>SAÍDAS!N64*(SAÍDAS!$S64/100)</f>
        <v>0</v>
      </c>
      <c r="N670" s="300">
        <f>SAÍDAS!O64*(SAÍDAS!$S64/100)</f>
        <v>0</v>
      </c>
      <c r="O670" s="300">
        <f>SAÍDAS!P64*(SAÍDAS!$S64/100)</f>
        <v>0</v>
      </c>
      <c r="P670" s="300"/>
      <c r="Q670" s="678"/>
      <c r="R670" s="783"/>
      <c r="S670" s="783"/>
      <c r="T670" s="783"/>
      <c r="U670" s="783"/>
      <c r="V670" s="783"/>
      <c r="W670" s="783"/>
      <c r="X670" s="783"/>
      <c r="Y670" s="783"/>
    </row>
    <row r="671" spans="1:25" hidden="1" x14ac:dyDescent="0.25">
      <c r="A671" s="670"/>
      <c r="B671" s="739" t="str">
        <f>SAÍDAS!C65</f>
        <v>Outros</v>
      </c>
      <c r="C671" s="300">
        <f t="shared" si="190"/>
        <v>0</v>
      </c>
      <c r="D671" s="300">
        <f>SAÍDAS!E65*(SAÍDAS!$S65/100)</f>
        <v>0</v>
      </c>
      <c r="E671" s="300">
        <f>SAÍDAS!F65*(SAÍDAS!$S65/100)</f>
        <v>0</v>
      </c>
      <c r="F671" s="300">
        <f>SAÍDAS!G65*(SAÍDAS!$S65/100)</f>
        <v>0</v>
      </c>
      <c r="G671" s="300">
        <f>SAÍDAS!H65*(SAÍDAS!$S65/100)</f>
        <v>0</v>
      </c>
      <c r="H671" s="300">
        <f>SAÍDAS!I65*(SAÍDAS!$S65/100)</f>
        <v>0</v>
      </c>
      <c r="I671" s="300">
        <f>SAÍDAS!J65*(SAÍDAS!$S65/100)</f>
        <v>0</v>
      </c>
      <c r="J671" s="300">
        <f>SAÍDAS!K65*(SAÍDAS!$S65/100)</f>
        <v>0</v>
      </c>
      <c r="K671" s="300">
        <f>SAÍDAS!L65*(SAÍDAS!$S65/100)</f>
        <v>0</v>
      </c>
      <c r="L671" s="300">
        <f>SAÍDAS!M65*(SAÍDAS!$S65/100)</f>
        <v>0</v>
      </c>
      <c r="M671" s="300">
        <f>SAÍDAS!N65*(SAÍDAS!$S65/100)</f>
        <v>0</v>
      </c>
      <c r="N671" s="300">
        <f>SAÍDAS!O65*(SAÍDAS!$S65/100)</f>
        <v>0</v>
      </c>
      <c r="O671" s="300">
        <f>SAÍDAS!P65*(SAÍDAS!$S65/100)</f>
        <v>0</v>
      </c>
      <c r="P671" s="300"/>
      <c r="Q671" s="678"/>
      <c r="R671" s="783"/>
      <c r="S671" s="783"/>
      <c r="T671" s="783"/>
      <c r="U671" s="783"/>
      <c r="V671" s="783"/>
      <c r="W671" s="783"/>
      <c r="X671" s="783"/>
      <c r="Y671" s="783"/>
    </row>
    <row r="672" spans="1:25" hidden="1" x14ac:dyDescent="0.25">
      <c r="A672" s="670"/>
      <c r="B672" s="739" t="str">
        <f>SAÍDAS!C66</f>
        <v>Parceria em Confinamento Chaparral</v>
      </c>
      <c r="C672" s="300">
        <f t="shared" si="190"/>
        <v>0</v>
      </c>
      <c r="D672" s="300">
        <f>SAÍDAS!E66*(SAÍDAS!$S66/100)</f>
        <v>0</v>
      </c>
      <c r="E672" s="300">
        <f>SAÍDAS!F66*(SAÍDAS!$S66/100)</f>
        <v>0</v>
      </c>
      <c r="F672" s="300">
        <f>SAÍDAS!G66*(SAÍDAS!$S66/100)</f>
        <v>0</v>
      </c>
      <c r="G672" s="300">
        <f>SAÍDAS!H66*(SAÍDAS!$S66/100)</f>
        <v>0</v>
      </c>
      <c r="H672" s="300">
        <f>SAÍDAS!I66*(SAÍDAS!$S66/100)</f>
        <v>0</v>
      </c>
      <c r="I672" s="300">
        <f>SAÍDAS!J66*(SAÍDAS!$S66/100)</f>
        <v>0</v>
      </c>
      <c r="J672" s="300">
        <f>SAÍDAS!K66*(SAÍDAS!$S66/100)</f>
        <v>0</v>
      </c>
      <c r="K672" s="300">
        <f>SAÍDAS!L66*(SAÍDAS!$S66/100)</f>
        <v>0</v>
      </c>
      <c r="L672" s="300">
        <f>SAÍDAS!M66*(SAÍDAS!$S66/100)</f>
        <v>0</v>
      </c>
      <c r="M672" s="300">
        <f>SAÍDAS!N66*(SAÍDAS!$S66/100)</f>
        <v>0</v>
      </c>
      <c r="N672" s="300">
        <f>SAÍDAS!O66*(SAÍDAS!$S66/100)</f>
        <v>0</v>
      </c>
      <c r="O672" s="300">
        <f>SAÍDAS!P66*(SAÍDAS!$S66/100)</f>
        <v>0</v>
      </c>
      <c r="P672" s="300"/>
      <c r="Q672" s="678"/>
      <c r="R672" s="783"/>
      <c r="S672" s="783"/>
      <c r="T672" s="783"/>
      <c r="U672" s="783"/>
      <c r="V672" s="783"/>
      <c r="W672" s="783"/>
      <c r="X672" s="783"/>
      <c r="Y672" s="783"/>
    </row>
    <row r="673" spans="1:25" hidden="1" x14ac:dyDescent="0.25">
      <c r="A673" s="670"/>
      <c r="B673" s="739" t="str">
        <f>SAÍDAS!C67</f>
        <v>Outros</v>
      </c>
      <c r="C673" s="300">
        <f t="shared" si="190"/>
        <v>0</v>
      </c>
      <c r="D673" s="300">
        <f>SAÍDAS!E67*(SAÍDAS!$S67/100)</f>
        <v>0</v>
      </c>
      <c r="E673" s="300">
        <f>SAÍDAS!F67*(SAÍDAS!$S67/100)</f>
        <v>0</v>
      </c>
      <c r="F673" s="300">
        <f>SAÍDAS!G67*(SAÍDAS!$S67/100)</f>
        <v>0</v>
      </c>
      <c r="G673" s="300">
        <f>SAÍDAS!H67*(SAÍDAS!$S67/100)</f>
        <v>0</v>
      </c>
      <c r="H673" s="300">
        <f>SAÍDAS!I67*(SAÍDAS!$S67/100)</f>
        <v>0</v>
      </c>
      <c r="I673" s="300">
        <f>SAÍDAS!J67*(SAÍDAS!$S67/100)</f>
        <v>0</v>
      </c>
      <c r="J673" s="300">
        <f>SAÍDAS!K67*(SAÍDAS!$S67/100)</f>
        <v>0</v>
      </c>
      <c r="K673" s="300">
        <f>SAÍDAS!L67*(SAÍDAS!$S67/100)</f>
        <v>0</v>
      </c>
      <c r="L673" s="300">
        <f>SAÍDAS!M67*(SAÍDAS!$S67/100)</f>
        <v>0</v>
      </c>
      <c r="M673" s="300">
        <f>SAÍDAS!N67*(SAÍDAS!$S67/100)</f>
        <v>0</v>
      </c>
      <c r="N673" s="300">
        <f>SAÍDAS!O67*(SAÍDAS!$S67/100)</f>
        <v>0</v>
      </c>
      <c r="O673" s="300">
        <f>SAÍDAS!P67*(SAÍDAS!$S67/100)</f>
        <v>0</v>
      </c>
      <c r="P673" s="300"/>
      <c r="Q673" s="678"/>
      <c r="R673" s="783"/>
      <c r="S673" s="783"/>
      <c r="T673" s="783"/>
      <c r="U673" s="783"/>
      <c r="V673" s="783"/>
      <c r="W673" s="783"/>
      <c r="X673" s="783"/>
      <c r="Y673" s="783"/>
    </row>
    <row r="674" spans="1:25" hidden="1" x14ac:dyDescent="0.25">
      <c r="A674" s="670"/>
      <c r="B674" s="739" t="str">
        <f>SAÍDAS!C68</f>
        <v>Outros</v>
      </c>
      <c r="C674" s="300">
        <f t="shared" si="190"/>
        <v>0</v>
      </c>
      <c r="D674" s="300">
        <f>SAÍDAS!E68*(SAÍDAS!$S68/100)</f>
        <v>0</v>
      </c>
      <c r="E674" s="300">
        <f>SAÍDAS!F68*(SAÍDAS!$S68/100)</f>
        <v>0</v>
      </c>
      <c r="F674" s="300">
        <f>SAÍDAS!G68*(SAÍDAS!$S68/100)</f>
        <v>0</v>
      </c>
      <c r="G674" s="300">
        <f>SAÍDAS!H68*(SAÍDAS!$S68/100)</f>
        <v>0</v>
      </c>
      <c r="H674" s="300">
        <f>SAÍDAS!I68*(SAÍDAS!$S68/100)</f>
        <v>0</v>
      </c>
      <c r="I674" s="300">
        <f>SAÍDAS!J68*(SAÍDAS!$S68/100)</f>
        <v>0</v>
      </c>
      <c r="J674" s="300">
        <f>SAÍDAS!K68*(SAÍDAS!$S68/100)</f>
        <v>0</v>
      </c>
      <c r="K674" s="300">
        <f>SAÍDAS!L68*(SAÍDAS!$S68/100)</f>
        <v>0</v>
      </c>
      <c r="L674" s="300">
        <f>SAÍDAS!M68*(SAÍDAS!$S68/100)</f>
        <v>0</v>
      </c>
      <c r="M674" s="300">
        <f>SAÍDAS!N68*(SAÍDAS!$S68/100)</f>
        <v>0</v>
      </c>
      <c r="N674" s="300">
        <f>SAÍDAS!O68*(SAÍDAS!$S68/100)</f>
        <v>0</v>
      </c>
      <c r="O674" s="300">
        <f>SAÍDAS!P68*(SAÍDAS!$S68/100)</f>
        <v>0</v>
      </c>
      <c r="P674" s="300"/>
      <c r="Q674" s="678"/>
      <c r="R674" s="783"/>
      <c r="S674" s="783"/>
      <c r="T674" s="783"/>
      <c r="U674" s="783"/>
      <c r="V674" s="783"/>
      <c r="W674" s="783"/>
      <c r="X674" s="783"/>
      <c r="Y674" s="783"/>
    </row>
    <row r="675" spans="1:25" hidden="1" x14ac:dyDescent="0.25">
      <c r="A675" s="670"/>
      <c r="B675" s="739" t="str">
        <f>SAÍDAS!C69</f>
        <v>Animais</v>
      </c>
      <c r="C675" s="300">
        <f t="shared" si="190"/>
        <v>0</v>
      </c>
      <c r="D675" s="300">
        <f>SAÍDAS!E69*(SAÍDAS!$S69/100)</f>
        <v>0</v>
      </c>
      <c r="E675" s="300">
        <f>SAÍDAS!F69*(SAÍDAS!$S69/100)</f>
        <v>0</v>
      </c>
      <c r="F675" s="300">
        <f>SAÍDAS!G69*(SAÍDAS!$S69/100)</f>
        <v>0</v>
      </c>
      <c r="G675" s="300">
        <f>SAÍDAS!H69*(SAÍDAS!$S69/100)</f>
        <v>0</v>
      </c>
      <c r="H675" s="300">
        <f>SAÍDAS!I69*(SAÍDAS!$S69/100)</f>
        <v>0</v>
      </c>
      <c r="I675" s="300">
        <f>SAÍDAS!J69*(SAÍDAS!$S69/100)</f>
        <v>0</v>
      </c>
      <c r="J675" s="300">
        <f>SAÍDAS!K69*(SAÍDAS!$S69/100)</f>
        <v>0</v>
      </c>
      <c r="K675" s="300">
        <f>SAÍDAS!L69*(SAÍDAS!$S69/100)</f>
        <v>0</v>
      </c>
      <c r="L675" s="300">
        <f>SAÍDAS!M69*(SAÍDAS!$S69/100)</f>
        <v>0</v>
      </c>
      <c r="M675" s="300">
        <f>SAÍDAS!N69*(SAÍDAS!$S69/100)</f>
        <v>0</v>
      </c>
      <c r="N675" s="300">
        <f>SAÍDAS!O69*(SAÍDAS!$S69/100)</f>
        <v>0</v>
      </c>
      <c r="O675" s="300">
        <f>SAÍDAS!P69*(SAÍDAS!$S69/100)</f>
        <v>0</v>
      </c>
      <c r="P675" s="300"/>
      <c r="Q675" s="678"/>
      <c r="R675" s="783"/>
      <c r="S675" s="783"/>
      <c r="T675" s="783"/>
      <c r="U675" s="783"/>
      <c r="V675" s="783"/>
      <c r="W675" s="783"/>
      <c r="X675" s="783"/>
      <c r="Y675" s="783"/>
    </row>
    <row r="676" spans="1:25" hidden="1" x14ac:dyDescent="0.25">
      <c r="A676" s="670"/>
      <c r="B676" s="796" t="s">
        <v>444</v>
      </c>
      <c r="C676" s="300">
        <f t="shared" si="190"/>
        <v>0</v>
      </c>
      <c r="D676" s="300">
        <f t="shared" ref="D676:O676" si="191">SUM(D637:D675)</f>
        <v>0</v>
      </c>
      <c r="E676" s="300">
        <f t="shared" si="191"/>
        <v>0</v>
      </c>
      <c r="F676" s="300">
        <f t="shared" si="191"/>
        <v>0</v>
      </c>
      <c r="G676" s="300">
        <f t="shared" si="191"/>
        <v>0</v>
      </c>
      <c r="H676" s="300">
        <f t="shared" si="191"/>
        <v>0</v>
      </c>
      <c r="I676" s="300">
        <f t="shared" si="191"/>
        <v>0</v>
      </c>
      <c r="J676" s="300">
        <f t="shared" si="191"/>
        <v>0</v>
      </c>
      <c r="K676" s="300">
        <f t="shared" si="191"/>
        <v>0</v>
      </c>
      <c r="L676" s="300">
        <f t="shared" si="191"/>
        <v>0</v>
      </c>
      <c r="M676" s="300">
        <f t="shared" si="191"/>
        <v>0</v>
      </c>
      <c r="N676" s="300">
        <f t="shared" si="191"/>
        <v>0</v>
      </c>
      <c r="O676" s="300">
        <f t="shared" si="191"/>
        <v>0</v>
      </c>
      <c r="P676" s="300"/>
      <c r="Q676" s="678"/>
      <c r="R676" s="783"/>
      <c r="S676" s="783"/>
      <c r="T676" s="783"/>
      <c r="U676" s="783"/>
      <c r="V676" s="783"/>
      <c r="W676" s="783"/>
      <c r="X676" s="783"/>
      <c r="Y676" s="783"/>
    </row>
    <row r="677" spans="1:25" hidden="1" x14ac:dyDescent="0.25">
      <c r="A677" s="670"/>
      <c r="B677" s="739"/>
      <c r="C677" s="300"/>
      <c r="D677" s="300"/>
      <c r="E677" s="300"/>
      <c r="F677" s="300"/>
      <c r="G677" s="300"/>
      <c r="H677" s="300"/>
      <c r="I677" s="300"/>
      <c r="J677" s="300"/>
      <c r="K677" s="300"/>
      <c r="L677" s="300"/>
      <c r="M677" s="300"/>
      <c r="N677" s="300"/>
      <c r="O677" s="300"/>
      <c r="P677" s="300"/>
      <c r="Q677" s="678"/>
      <c r="R677" s="783"/>
      <c r="S677" s="783"/>
      <c r="T677" s="783"/>
      <c r="U677" s="783"/>
      <c r="V677" s="783"/>
      <c r="W677" s="783"/>
      <c r="X677" s="783"/>
      <c r="Y677" s="783"/>
    </row>
    <row r="678" spans="1:25" hidden="1" x14ac:dyDescent="0.25">
      <c r="A678" s="670"/>
      <c r="B678" s="739" t="str">
        <f>SAÍDAS!C73</f>
        <v>Tarifas e Impostos</v>
      </c>
      <c r="C678" s="300">
        <f t="shared" ref="C678:C695" si="192">SUM(D678:O678)</f>
        <v>0</v>
      </c>
      <c r="D678" s="300">
        <f>SAÍDAS!E73*(SAÍDAS!$S73/100)</f>
        <v>0</v>
      </c>
      <c r="E678" s="300">
        <f>SAÍDAS!F73*(SAÍDAS!$S73/100)</f>
        <v>0</v>
      </c>
      <c r="F678" s="300">
        <f>SAÍDAS!G73*(SAÍDAS!$S73/100)</f>
        <v>0</v>
      </c>
      <c r="G678" s="300">
        <f>SAÍDAS!H73*(SAÍDAS!$S73/100)</f>
        <v>0</v>
      </c>
      <c r="H678" s="300">
        <f>SAÍDAS!I73*(SAÍDAS!$S73/100)</f>
        <v>0</v>
      </c>
      <c r="I678" s="300">
        <f>SAÍDAS!J73*(SAÍDAS!$S73/100)</f>
        <v>0</v>
      </c>
      <c r="J678" s="300">
        <f>SAÍDAS!K73*(SAÍDAS!$S73/100)</f>
        <v>0</v>
      </c>
      <c r="K678" s="300">
        <f>SAÍDAS!L73*(SAÍDAS!$S73/100)</f>
        <v>0</v>
      </c>
      <c r="L678" s="300">
        <f>SAÍDAS!M73*(SAÍDAS!$S73/100)</f>
        <v>0</v>
      </c>
      <c r="M678" s="300">
        <f>SAÍDAS!N73*(SAÍDAS!$S73/100)</f>
        <v>0</v>
      </c>
      <c r="N678" s="300">
        <f>SAÍDAS!O73*(SAÍDAS!$S73/100)</f>
        <v>0</v>
      </c>
      <c r="O678" s="300">
        <f>SAÍDAS!P73*(SAÍDAS!$S73/100)</f>
        <v>0</v>
      </c>
      <c r="P678" s="300"/>
      <c r="Q678" s="678"/>
      <c r="R678" s="783"/>
      <c r="S678" s="783"/>
      <c r="T678" s="783"/>
      <c r="U678" s="783"/>
      <c r="V678" s="783"/>
      <c r="W678" s="783"/>
      <c r="X678" s="783"/>
      <c r="Y678" s="783"/>
    </row>
    <row r="679" spans="1:25" hidden="1" x14ac:dyDescent="0.25">
      <c r="A679" s="670"/>
      <c r="B679" s="739" t="str">
        <f>SAÍDAS!C74</f>
        <v>Tarifas e Impostos</v>
      </c>
      <c r="C679" s="300">
        <f t="shared" si="192"/>
        <v>0</v>
      </c>
      <c r="D679" s="300">
        <f>SAÍDAS!E74*(SAÍDAS!$S74/100)</f>
        <v>0</v>
      </c>
      <c r="E679" s="300">
        <f>SAÍDAS!F74*(SAÍDAS!$S74/100)</f>
        <v>0</v>
      </c>
      <c r="F679" s="300">
        <f>SAÍDAS!G74*(SAÍDAS!$S74/100)</f>
        <v>0</v>
      </c>
      <c r="G679" s="300">
        <f>SAÍDAS!H74*(SAÍDAS!$S74/100)</f>
        <v>0</v>
      </c>
      <c r="H679" s="300">
        <f>SAÍDAS!I74*(SAÍDAS!$S74/100)</f>
        <v>0</v>
      </c>
      <c r="I679" s="300">
        <f>SAÍDAS!J74*(SAÍDAS!$S74/100)</f>
        <v>0</v>
      </c>
      <c r="J679" s="300">
        <f>SAÍDAS!K74*(SAÍDAS!$S74/100)</f>
        <v>0</v>
      </c>
      <c r="K679" s="300">
        <f>SAÍDAS!L74*(SAÍDAS!$S74/100)</f>
        <v>0</v>
      </c>
      <c r="L679" s="300">
        <f>SAÍDAS!M74*(SAÍDAS!$S74/100)</f>
        <v>0</v>
      </c>
      <c r="M679" s="300">
        <f>SAÍDAS!N74*(SAÍDAS!$S74/100)</f>
        <v>0</v>
      </c>
      <c r="N679" s="300">
        <f>SAÍDAS!O74*(SAÍDAS!$S74/100)</f>
        <v>0</v>
      </c>
      <c r="O679" s="300">
        <f>SAÍDAS!P74*(SAÍDAS!$S74/100)</f>
        <v>0</v>
      </c>
      <c r="P679" s="300"/>
      <c r="Q679" s="678"/>
      <c r="R679" s="783"/>
      <c r="S679" s="783"/>
      <c r="T679" s="783"/>
      <c r="U679" s="783"/>
      <c r="V679" s="783"/>
      <c r="W679" s="783"/>
      <c r="X679" s="783"/>
      <c r="Y679" s="783"/>
    </row>
    <row r="680" spans="1:25" hidden="1" x14ac:dyDescent="0.25">
      <c r="A680" s="670"/>
      <c r="B680" s="739" t="str">
        <f>SAÍDAS!C75</f>
        <v>Tarifas e Impostos</v>
      </c>
      <c r="C680" s="300">
        <f t="shared" si="192"/>
        <v>0</v>
      </c>
      <c r="D680" s="300">
        <f>SAÍDAS!E75*(SAÍDAS!$S75/100)</f>
        <v>0</v>
      </c>
      <c r="E680" s="300">
        <f>SAÍDAS!F75*(SAÍDAS!$S75/100)</f>
        <v>0</v>
      </c>
      <c r="F680" s="300">
        <f>SAÍDAS!G75*(SAÍDAS!$S75/100)</f>
        <v>0</v>
      </c>
      <c r="G680" s="300">
        <f>SAÍDAS!H75*(SAÍDAS!$S75/100)</f>
        <v>0</v>
      </c>
      <c r="H680" s="300">
        <f>SAÍDAS!I75*(SAÍDAS!$S75/100)</f>
        <v>0</v>
      </c>
      <c r="I680" s="300">
        <f>SAÍDAS!J75*(SAÍDAS!$S75/100)</f>
        <v>0</v>
      </c>
      <c r="J680" s="300">
        <f>SAÍDAS!K75*(SAÍDAS!$S75/100)</f>
        <v>0</v>
      </c>
      <c r="K680" s="300">
        <f>SAÍDAS!L75*(SAÍDAS!$S75/100)</f>
        <v>0</v>
      </c>
      <c r="L680" s="300">
        <f>SAÍDAS!M75*(SAÍDAS!$S75/100)</f>
        <v>0</v>
      </c>
      <c r="M680" s="300">
        <f>SAÍDAS!N75*(SAÍDAS!$S75/100)</f>
        <v>0</v>
      </c>
      <c r="N680" s="300">
        <f>SAÍDAS!O75*(SAÍDAS!$S75/100)</f>
        <v>0</v>
      </c>
      <c r="O680" s="300">
        <f>SAÍDAS!P75*(SAÍDAS!$S75/100)</f>
        <v>0</v>
      </c>
      <c r="P680" s="300"/>
      <c r="Q680" s="678"/>
      <c r="R680" s="783"/>
      <c r="S680" s="783"/>
      <c r="T680" s="783"/>
      <c r="U680" s="783"/>
      <c r="V680" s="783"/>
      <c r="W680" s="783"/>
      <c r="X680" s="783"/>
      <c r="Y680" s="783"/>
    </row>
    <row r="681" spans="1:25" hidden="1" x14ac:dyDescent="0.25">
      <c r="A681" s="670"/>
      <c r="B681" s="739" t="str">
        <f>SAÍDAS!C76</f>
        <v>Tarifas e Impostos</v>
      </c>
      <c r="C681" s="300">
        <f t="shared" si="192"/>
        <v>0</v>
      </c>
      <c r="D681" s="300">
        <f>SAÍDAS!E76*(SAÍDAS!$S76/100)</f>
        <v>0</v>
      </c>
      <c r="E681" s="300">
        <f>SAÍDAS!F76*(SAÍDAS!$S76/100)</f>
        <v>0</v>
      </c>
      <c r="F681" s="300">
        <f>SAÍDAS!G76*(SAÍDAS!$S76/100)</f>
        <v>0</v>
      </c>
      <c r="G681" s="300">
        <f>SAÍDAS!H76*(SAÍDAS!$S76/100)</f>
        <v>0</v>
      </c>
      <c r="H681" s="300">
        <f>SAÍDAS!I76*(SAÍDAS!$S76/100)</f>
        <v>0</v>
      </c>
      <c r="I681" s="300">
        <f>SAÍDAS!J76*(SAÍDAS!$S76/100)</f>
        <v>0</v>
      </c>
      <c r="J681" s="300">
        <f>SAÍDAS!K76*(SAÍDAS!$S76/100)</f>
        <v>0</v>
      </c>
      <c r="K681" s="300">
        <f>SAÍDAS!L76*(SAÍDAS!$S76/100)</f>
        <v>0</v>
      </c>
      <c r="L681" s="300">
        <f>SAÍDAS!M76*(SAÍDAS!$S76/100)</f>
        <v>0</v>
      </c>
      <c r="M681" s="300">
        <f>SAÍDAS!N76*(SAÍDAS!$S76/100)</f>
        <v>0</v>
      </c>
      <c r="N681" s="300">
        <f>SAÍDAS!O76*(SAÍDAS!$S76/100)</f>
        <v>0</v>
      </c>
      <c r="O681" s="300">
        <f>SAÍDAS!P76*(SAÍDAS!$S76/100)</f>
        <v>0</v>
      </c>
      <c r="P681" s="300"/>
      <c r="Q681" s="678"/>
      <c r="R681" s="783"/>
      <c r="S681" s="783"/>
      <c r="T681" s="783"/>
      <c r="U681" s="783"/>
      <c r="V681" s="783"/>
      <c r="W681" s="783"/>
      <c r="X681" s="783"/>
      <c r="Y681" s="783"/>
    </row>
    <row r="682" spans="1:25" hidden="1" x14ac:dyDescent="0.25">
      <c r="A682" s="670"/>
      <c r="B682" s="739" t="str">
        <f>SAÍDAS!C77</f>
        <v>Tarifas e Impostos</v>
      </c>
      <c r="C682" s="300">
        <f t="shared" si="192"/>
        <v>0</v>
      </c>
      <c r="D682" s="300">
        <f>SAÍDAS!E77*(SAÍDAS!$S77/100)</f>
        <v>0</v>
      </c>
      <c r="E682" s="300">
        <f>SAÍDAS!F77*(SAÍDAS!$S77/100)</f>
        <v>0</v>
      </c>
      <c r="F682" s="300">
        <f>SAÍDAS!G77*(SAÍDAS!$S77/100)</f>
        <v>0</v>
      </c>
      <c r="G682" s="300">
        <f>SAÍDAS!H77*(SAÍDAS!$S77/100)</f>
        <v>0</v>
      </c>
      <c r="H682" s="300">
        <f>SAÍDAS!I77*(SAÍDAS!$S77/100)</f>
        <v>0</v>
      </c>
      <c r="I682" s="300">
        <f>SAÍDAS!J77*(SAÍDAS!$S77/100)</f>
        <v>0</v>
      </c>
      <c r="J682" s="300">
        <f>SAÍDAS!K77*(SAÍDAS!$S77/100)</f>
        <v>0</v>
      </c>
      <c r="K682" s="300">
        <f>SAÍDAS!L77*(SAÍDAS!$S77/100)</f>
        <v>0</v>
      </c>
      <c r="L682" s="300">
        <f>SAÍDAS!M77*(SAÍDAS!$S77/100)</f>
        <v>0</v>
      </c>
      <c r="M682" s="300">
        <f>SAÍDAS!N77*(SAÍDAS!$S77/100)</f>
        <v>0</v>
      </c>
      <c r="N682" s="300">
        <f>SAÍDAS!O77*(SAÍDAS!$S77/100)</f>
        <v>0</v>
      </c>
      <c r="O682" s="300">
        <f>SAÍDAS!P77*(SAÍDAS!$S77/100)</f>
        <v>0</v>
      </c>
      <c r="P682" s="300"/>
      <c r="Q682" s="678"/>
      <c r="R682" s="783"/>
      <c r="S682" s="783"/>
      <c r="T682" s="783"/>
      <c r="U682" s="783"/>
      <c r="V682" s="783"/>
      <c r="W682" s="783"/>
      <c r="X682" s="783"/>
      <c r="Y682" s="783"/>
    </row>
    <row r="683" spans="1:25" hidden="1" x14ac:dyDescent="0.25">
      <c r="A683" s="670"/>
      <c r="B683" s="739" t="str">
        <f>SAÍDAS!C78</f>
        <v>Administrativo</v>
      </c>
      <c r="C683" s="300">
        <f t="shared" si="192"/>
        <v>0</v>
      </c>
      <c r="D683" s="300">
        <f>SAÍDAS!E78*(SAÍDAS!$S78/100)</f>
        <v>0</v>
      </c>
      <c r="E683" s="300">
        <f>SAÍDAS!F78*(SAÍDAS!$S78/100)</f>
        <v>0</v>
      </c>
      <c r="F683" s="300">
        <f>SAÍDAS!G78*(SAÍDAS!$S78/100)</f>
        <v>0</v>
      </c>
      <c r="G683" s="300">
        <f>SAÍDAS!H78*(SAÍDAS!$S78/100)</f>
        <v>0</v>
      </c>
      <c r="H683" s="300">
        <f>SAÍDAS!I78*(SAÍDAS!$S78/100)</f>
        <v>0</v>
      </c>
      <c r="I683" s="300">
        <f>SAÍDAS!J78*(SAÍDAS!$S78/100)</f>
        <v>0</v>
      </c>
      <c r="J683" s="300">
        <f>SAÍDAS!K78*(SAÍDAS!$S78/100)</f>
        <v>0</v>
      </c>
      <c r="K683" s="300">
        <f>SAÍDAS!L78*(SAÍDAS!$S78/100)</f>
        <v>0</v>
      </c>
      <c r="L683" s="300">
        <f>SAÍDAS!M78*(SAÍDAS!$S78/100)</f>
        <v>0</v>
      </c>
      <c r="M683" s="300">
        <f>SAÍDAS!N78*(SAÍDAS!$S78/100)</f>
        <v>0</v>
      </c>
      <c r="N683" s="300">
        <f>SAÍDAS!O78*(SAÍDAS!$S78/100)</f>
        <v>0</v>
      </c>
      <c r="O683" s="300">
        <f>SAÍDAS!P78*(SAÍDAS!$S78/100)</f>
        <v>0</v>
      </c>
      <c r="P683" s="300"/>
      <c r="Q683" s="678"/>
      <c r="R683" s="783"/>
      <c r="S683" s="783"/>
      <c r="T683" s="783"/>
      <c r="U683" s="783"/>
      <c r="V683" s="783"/>
      <c r="W683" s="783"/>
      <c r="X683" s="783"/>
      <c r="Y683" s="783"/>
    </row>
    <row r="684" spans="1:25" hidden="1" x14ac:dyDescent="0.25">
      <c r="A684" s="670"/>
      <c r="B684" s="739" t="str">
        <f>SAÍDAS!C79</f>
        <v>Administrativo</v>
      </c>
      <c r="C684" s="300">
        <f t="shared" si="192"/>
        <v>0</v>
      </c>
      <c r="D684" s="300">
        <f>SAÍDAS!E79*(SAÍDAS!$S79/100)</f>
        <v>0</v>
      </c>
      <c r="E684" s="300">
        <f>SAÍDAS!F79*(SAÍDAS!$S79/100)</f>
        <v>0</v>
      </c>
      <c r="F684" s="300">
        <f>SAÍDAS!G79*(SAÍDAS!$S79/100)</f>
        <v>0</v>
      </c>
      <c r="G684" s="300">
        <f>SAÍDAS!H79*(SAÍDAS!$S79/100)</f>
        <v>0</v>
      </c>
      <c r="H684" s="300">
        <f>SAÍDAS!I79*(SAÍDAS!$S79/100)</f>
        <v>0</v>
      </c>
      <c r="I684" s="300">
        <f>SAÍDAS!J79*(SAÍDAS!$S79/100)</f>
        <v>0</v>
      </c>
      <c r="J684" s="300">
        <f>SAÍDAS!K79*(SAÍDAS!$S79/100)</f>
        <v>0</v>
      </c>
      <c r="K684" s="300">
        <f>SAÍDAS!L79*(SAÍDAS!$S79/100)</f>
        <v>0</v>
      </c>
      <c r="L684" s="300">
        <f>SAÍDAS!M79*(SAÍDAS!$S79/100)</f>
        <v>0</v>
      </c>
      <c r="M684" s="300">
        <f>SAÍDAS!N79*(SAÍDAS!$S79/100)</f>
        <v>0</v>
      </c>
      <c r="N684" s="300">
        <f>SAÍDAS!O79*(SAÍDAS!$S79/100)</f>
        <v>0</v>
      </c>
      <c r="O684" s="300">
        <f>SAÍDAS!P79*(SAÍDAS!$S79/100)</f>
        <v>0</v>
      </c>
      <c r="P684" s="300"/>
      <c r="Q684" s="678"/>
      <c r="R684" s="783"/>
      <c r="S684" s="783"/>
      <c r="T684" s="783"/>
      <c r="U684" s="783"/>
      <c r="V684" s="783"/>
      <c r="W684" s="783"/>
      <c r="X684" s="783"/>
      <c r="Y684" s="783"/>
    </row>
    <row r="685" spans="1:25" hidden="1" x14ac:dyDescent="0.25">
      <c r="A685" s="670"/>
      <c r="B685" s="739" t="str">
        <f>SAÍDAS!C80</f>
        <v>Mão de Obra</v>
      </c>
      <c r="C685" s="300">
        <f t="shared" si="192"/>
        <v>0</v>
      </c>
      <c r="D685" s="300">
        <f>SAÍDAS!E80*(SAÍDAS!$S80/100)</f>
        <v>0</v>
      </c>
      <c r="E685" s="300">
        <f>SAÍDAS!F80*(SAÍDAS!$S80/100)</f>
        <v>0</v>
      </c>
      <c r="F685" s="300">
        <f>SAÍDAS!G80*(SAÍDAS!$S80/100)</f>
        <v>0</v>
      </c>
      <c r="G685" s="300">
        <f>SAÍDAS!H80*(SAÍDAS!$S80/100)</f>
        <v>0</v>
      </c>
      <c r="H685" s="300">
        <f>SAÍDAS!I80*(SAÍDAS!$S80/100)</f>
        <v>0</v>
      </c>
      <c r="I685" s="300">
        <f>SAÍDAS!J80*(SAÍDAS!$S80/100)</f>
        <v>0</v>
      </c>
      <c r="J685" s="300">
        <f>SAÍDAS!K80*(SAÍDAS!$S80/100)</f>
        <v>0</v>
      </c>
      <c r="K685" s="300">
        <f>SAÍDAS!L80*(SAÍDAS!$S80/100)</f>
        <v>0</v>
      </c>
      <c r="L685" s="300">
        <f>SAÍDAS!M80*(SAÍDAS!$S80/100)</f>
        <v>0</v>
      </c>
      <c r="M685" s="300">
        <f>SAÍDAS!N80*(SAÍDAS!$S80/100)</f>
        <v>0</v>
      </c>
      <c r="N685" s="300">
        <f>SAÍDAS!O80*(SAÍDAS!$S80/100)</f>
        <v>0</v>
      </c>
      <c r="O685" s="300">
        <f>SAÍDAS!P80*(SAÍDAS!$S80/100)</f>
        <v>0</v>
      </c>
      <c r="P685" s="300"/>
      <c r="Q685" s="678"/>
      <c r="R685" s="783"/>
      <c r="S685" s="783"/>
      <c r="T685" s="783"/>
      <c r="U685" s="783"/>
      <c r="V685" s="783"/>
      <c r="W685" s="783"/>
      <c r="X685" s="783"/>
      <c r="Y685" s="783"/>
    </row>
    <row r="686" spans="1:25" hidden="1" x14ac:dyDescent="0.25">
      <c r="A686" s="670"/>
      <c r="B686" s="739" t="str">
        <f>SAÍDAS!C81</f>
        <v>Mão de Obra</v>
      </c>
      <c r="C686" s="300">
        <f t="shared" si="192"/>
        <v>0</v>
      </c>
      <c r="D686" s="300">
        <f>SAÍDAS!E81*(SAÍDAS!$S81/100)</f>
        <v>0</v>
      </c>
      <c r="E686" s="300">
        <f>SAÍDAS!F81*(SAÍDAS!$S81/100)</f>
        <v>0</v>
      </c>
      <c r="F686" s="300">
        <f>SAÍDAS!G81*(SAÍDAS!$S81/100)</f>
        <v>0</v>
      </c>
      <c r="G686" s="300">
        <f>SAÍDAS!H81*(SAÍDAS!$S81/100)</f>
        <v>0</v>
      </c>
      <c r="H686" s="300">
        <f>SAÍDAS!I81*(SAÍDAS!$S81/100)</f>
        <v>0</v>
      </c>
      <c r="I686" s="300">
        <f>SAÍDAS!J81*(SAÍDAS!$S81/100)</f>
        <v>0</v>
      </c>
      <c r="J686" s="300">
        <f>SAÍDAS!K81*(SAÍDAS!$S81/100)</f>
        <v>0</v>
      </c>
      <c r="K686" s="300">
        <f>SAÍDAS!L81*(SAÍDAS!$S81/100)</f>
        <v>0</v>
      </c>
      <c r="L686" s="300">
        <f>SAÍDAS!M81*(SAÍDAS!$S81/100)</f>
        <v>0</v>
      </c>
      <c r="M686" s="300">
        <f>SAÍDAS!N81*(SAÍDAS!$S81/100)</f>
        <v>0</v>
      </c>
      <c r="N686" s="300">
        <f>SAÍDAS!O81*(SAÍDAS!$S81/100)</f>
        <v>0</v>
      </c>
      <c r="O686" s="300">
        <f>SAÍDAS!P81*(SAÍDAS!$S81/100)</f>
        <v>0</v>
      </c>
      <c r="P686" s="300"/>
      <c r="Q686" s="678"/>
      <c r="R686" s="783"/>
      <c r="S686" s="783"/>
      <c r="T686" s="783"/>
      <c r="U686" s="783"/>
      <c r="V686" s="783"/>
      <c r="W686" s="783"/>
      <c r="X686" s="783"/>
      <c r="Y686" s="783"/>
    </row>
    <row r="687" spans="1:25" hidden="1" x14ac:dyDescent="0.25">
      <c r="A687" s="670"/>
      <c r="B687" s="739" t="str">
        <f>SAÍDAS!C82</f>
        <v>Despesas com viajens Consultor</v>
      </c>
      <c r="C687" s="300">
        <f t="shared" si="192"/>
        <v>0</v>
      </c>
      <c r="D687" s="300">
        <f>SAÍDAS!E82*(SAÍDAS!$S82/100)</f>
        <v>0</v>
      </c>
      <c r="E687" s="300">
        <f>SAÍDAS!F82*(SAÍDAS!$S82/100)</f>
        <v>0</v>
      </c>
      <c r="F687" s="300">
        <f>SAÍDAS!G82*(SAÍDAS!$S82/100)</f>
        <v>0</v>
      </c>
      <c r="G687" s="300">
        <f>SAÍDAS!H82*(SAÍDAS!$S82/100)</f>
        <v>0</v>
      </c>
      <c r="H687" s="300">
        <f>SAÍDAS!I82*(SAÍDAS!$S82/100)</f>
        <v>0</v>
      </c>
      <c r="I687" s="300">
        <f>SAÍDAS!J82*(SAÍDAS!$S82/100)</f>
        <v>0</v>
      </c>
      <c r="J687" s="300">
        <f>SAÍDAS!K82*(SAÍDAS!$S82/100)</f>
        <v>0</v>
      </c>
      <c r="K687" s="300">
        <f>SAÍDAS!L82*(SAÍDAS!$S82/100)</f>
        <v>0</v>
      </c>
      <c r="L687" s="300">
        <f>SAÍDAS!M82*(SAÍDAS!$S82/100)</f>
        <v>0</v>
      </c>
      <c r="M687" s="300">
        <f>SAÍDAS!N82*(SAÍDAS!$S82/100)</f>
        <v>0</v>
      </c>
      <c r="N687" s="300">
        <f>SAÍDAS!O82*(SAÍDAS!$S82/100)</f>
        <v>0</v>
      </c>
      <c r="O687" s="300">
        <f>SAÍDAS!P82*(SAÍDAS!$S82/100)</f>
        <v>0</v>
      </c>
      <c r="P687" s="300"/>
      <c r="Q687" s="678"/>
      <c r="R687" s="783"/>
      <c r="S687" s="783"/>
      <c r="T687" s="783"/>
      <c r="U687" s="783"/>
      <c r="V687" s="783"/>
      <c r="W687" s="783"/>
      <c r="X687" s="783"/>
      <c r="Y687" s="783"/>
    </row>
    <row r="688" spans="1:25" hidden="1" x14ac:dyDescent="0.25">
      <c r="A688" s="670"/>
      <c r="B688" s="739" t="str">
        <f>SAÍDAS!C83</f>
        <v>Consultoria</v>
      </c>
      <c r="C688" s="300">
        <f t="shared" si="192"/>
        <v>0</v>
      </c>
      <c r="D688" s="300">
        <f>SAÍDAS!E83*(SAÍDAS!$S83/100)</f>
        <v>0</v>
      </c>
      <c r="E688" s="300">
        <f>SAÍDAS!F83*(SAÍDAS!$S83/100)</f>
        <v>0</v>
      </c>
      <c r="F688" s="300">
        <f>SAÍDAS!G83*(SAÍDAS!$S83/100)</f>
        <v>0</v>
      </c>
      <c r="G688" s="300">
        <f>SAÍDAS!H83*(SAÍDAS!$S83/100)</f>
        <v>0</v>
      </c>
      <c r="H688" s="300">
        <f>SAÍDAS!I83*(SAÍDAS!$S83/100)</f>
        <v>0</v>
      </c>
      <c r="I688" s="300">
        <f>SAÍDAS!J83*(SAÍDAS!$S83/100)</f>
        <v>0</v>
      </c>
      <c r="J688" s="300">
        <f>SAÍDAS!K83*(SAÍDAS!$S83/100)</f>
        <v>0</v>
      </c>
      <c r="K688" s="300">
        <f>SAÍDAS!L83*(SAÍDAS!$S83/100)</f>
        <v>0</v>
      </c>
      <c r="L688" s="300">
        <f>SAÍDAS!M83*(SAÍDAS!$S83/100)</f>
        <v>0</v>
      </c>
      <c r="M688" s="300">
        <f>SAÍDAS!N83*(SAÍDAS!$S83/100)</f>
        <v>0</v>
      </c>
      <c r="N688" s="300">
        <f>SAÍDAS!O83*(SAÍDAS!$S83/100)</f>
        <v>0</v>
      </c>
      <c r="O688" s="300">
        <f>SAÍDAS!P83*(SAÍDAS!$S83/100)</f>
        <v>0</v>
      </c>
      <c r="P688" s="300"/>
      <c r="Q688" s="678"/>
      <c r="R688" s="783"/>
      <c r="S688" s="783"/>
      <c r="T688" s="783"/>
      <c r="U688" s="783"/>
      <c r="V688" s="783"/>
      <c r="W688" s="783"/>
      <c r="X688" s="783"/>
      <c r="Y688" s="783"/>
    </row>
    <row r="689" spans="1:25" hidden="1" x14ac:dyDescent="0.25">
      <c r="A689" s="670"/>
      <c r="B689" s="739" t="str">
        <f>SAÍDAS!C84</f>
        <v>Consultor</v>
      </c>
      <c r="C689" s="300">
        <f t="shared" si="192"/>
        <v>0</v>
      </c>
      <c r="D689" s="300">
        <f>SAÍDAS!E84*(SAÍDAS!$S84/100)</f>
        <v>0</v>
      </c>
      <c r="E689" s="300">
        <f>SAÍDAS!F84*(SAÍDAS!$S84/100)</f>
        <v>0</v>
      </c>
      <c r="F689" s="300">
        <f>SAÍDAS!G84*(SAÍDAS!$S84/100)</f>
        <v>0</v>
      </c>
      <c r="G689" s="300">
        <f>SAÍDAS!H84*(SAÍDAS!$S84/100)</f>
        <v>0</v>
      </c>
      <c r="H689" s="300">
        <f>SAÍDAS!I84*(SAÍDAS!$S84/100)</f>
        <v>0</v>
      </c>
      <c r="I689" s="300">
        <f>SAÍDAS!J84*(SAÍDAS!$S84/100)</f>
        <v>0</v>
      </c>
      <c r="J689" s="300">
        <f>SAÍDAS!K84*(SAÍDAS!$S84/100)</f>
        <v>0</v>
      </c>
      <c r="K689" s="300">
        <f>SAÍDAS!L84*(SAÍDAS!$S84/100)</f>
        <v>0</v>
      </c>
      <c r="L689" s="300">
        <f>SAÍDAS!M84*(SAÍDAS!$S84/100)</f>
        <v>0</v>
      </c>
      <c r="M689" s="300">
        <f>SAÍDAS!N84*(SAÍDAS!$S84/100)</f>
        <v>0</v>
      </c>
      <c r="N689" s="300">
        <f>SAÍDAS!O84*(SAÍDAS!$S84/100)</f>
        <v>0</v>
      </c>
      <c r="O689" s="300">
        <f>SAÍDAS!P84*(SAÍDAS!$S84/100)</f>
        <v>0</v>
      </c>
      <c r="P689" s="300"/>
      <c r="Q689" s="678"/>
      <c r="R689" s="783"/>
      <c r="S689" s="783"/>
      <c r="T689" s="783"/>
      <c r="U689" s="783"/>
      <c r="V689" s="783"/>
      <c r="W689" s="783"/>
      <c r="X689" s="783"/>
      <c r="Y689" s="783"/>
    </row>
    <row r="690" spans="1:25" hidden="1" x14ac:dyDescent="0.25">
      <c r="A690" s="670"/>
      <c r="B690" s="739" t="str">
        <f>SAÍDAS!C85</f>
        <v>Cassio</v>
      </c>
      <c r="C690" s="300">
        <f t="shared" si="192"/>
        <v>0</v>
      </c>
      <c r="D690" s="300">
        <f>SAÍDAS!E85*(SAÍDAS!$S85/100)</f>
        <v>0</v>
      </c>
      <c r="E690" s="300">
        <f>SAÍDAS!F85*(SAÍDAS!$S85/100)</f>
        <v>0</v>
      </c>
      <c r="F690" s="300">
        <f>SAÍDAS!G85*(SAÍDAS!$S85/100)</f>
        <v>0</v>
      </c>
      <c r="G690" s="300">
        <f>SAÍDAS!H85*(SAÍDAS!$S85/100)</f>
        <v>0</v>
      </c>
      <c r="H690" s="300">
        <f>SAÍDAS!I85*(SAÍDAS!$S85/100)</f>
        <v>0</v>
      </c>
      <c r="I690" s="300">
        <f>SAÍDAS!J85*(SAÍDAS!$S85/100)</f>
        <v>0</v>
      </c>
      <c r="J690" s="300">
        <f>SAÍDAS!K85*(SAÍDAS!$S85/100)</f>
        <v>0</v>
      </c>
      <c r="K690" s="300">
        <f>SAÍDAS!L85*(SAÍDAS!$S85/100)</f>
        <v>0</v>
      </c>
      <c r="L690" s="300">
        <f>SAÍDAS!M85*(SAÍDAS!$S85/100)</f>
        <v>0</v>
      </c>
      <c r="M690" s="300">
        <f>SAÍDAS!N85*(SAÍDAS!$S85/100)</f>
        <v>0</v>
      </c>
      <c r="N690" s="300">
        <f>SAÍDAS!O85*(SAÍDAS!$S85/100)</f>
        <v>0</v>
      </c>
      <c r="O690" s="300">
        <f>SAÍDAS!P85*(SAÍDAS!$S85/100)</f>
        <v>0</v>
      </c>
      <c r="P690" s="300"/>
      <c r="Q690" s="678"/>
      <c r="R690" s="783"/>
      <c r="S690" s="783"/>
      <c r="T690" s="783"/>
      <c r="U690" s="783"/>
      <c r="V690" s="783"/>
      <c r="W690" s="783"/>
      <c r="X690" s="783"/>
      <c r="Y690" s="783"/>
    </row>
    <row r="691" spans="1:25" hidden="1" x14ac:dyDescent="0.25">
      <c r="A691" s="670"/>
      <c r="B691" s="739" t="str">
        <f>SAÍDAS!C86</f>
        <v>material limpeza, vidro</v>
      </c>
      <c r="C691" s="300">
        <f t="shared" si="192"/>
        <v>0</v>
      </c>
      <c r="D691" s="300">
        <f>SAÍDAS!E86*(SAÍDAS!$S86/100)</f>
        <v>0</v>
      </c>
      <c r="E691" s="300">
        <f>SAÍDAS!F86*(SAÍDAS!$S86/100)</f>
        <v>0</v>
      </c>
      <c r="F691" s="300">
        <f>SAÍDAS!G86*(SAÍDAS!$S86/100)</f>
        <v>0</v>
      </c>
      <c r="G691" s="300">
        <f>SAÍDAS!H86*(SAÍDAS!$S86/100)</f>
        <v>0</v>
      </c>
      <c r="H691" s="300">
        <f>SAÍDAS!I86*(SAÍDAS!$S86/100)</f>
        <v>0</v>
      </c>
      <c r="I691" s="300">
        <f>SAÍDAS!J86*(SAÍDAS!$S86/100)</f>
        <v>0</v>
      </c>
      <c r="J691" s="300">
        <f>SAÍDAS!K86*(SAÍDAS!$S86/100)</f>
        <v>0</v>
      </c>
      <c r="K691" s="300">
        <f>SAÍDAS!L86*(SAÍDAS!$S86/100)</f>
        <v>0</v>
      </c>
      <c r="L691" s="300">
        <f>SAÍDAS!M86*(SAÍDAS!$S86/100)</f>
        <v>0</v>
      </c>
      <c r="M691" s="300">
        <f>SAÍDAS!N86*(SAÍDAS!$S86/100)</f>
        <v>0</v>
      </c>
      <c r="N691" s="300">
        <f>SAÍDAS!O86*(SAÍDAS!$S86/100)</f>
        <v>0</v>
      </c>
      <c r="O691" s="300">
        <f>SAÍDAS!P86*(SAÍDAS!$S86/100)</f>
        <v>0</v>
      </c>
      <c r="P691" s="300"/>
      <c r="Q691" s="678"/>
      <c r="R691" s="783"/>
      <c r="S691" s="783"/>
      <c r="T691" s="783"/>
      <c r="U691" s="783"/>
      <c r="V691" s="783"/>
      <c r="W691" s="783"/>
      <c r="X691" s="783"/>
      <c r="Y691" s="783"/>
    </row>
    <row r="692" spans="1:25" hidden="1" x14ac:dyDescent="0.25">
      <c r="A692" s="670"/>
      <c r="B692" s="739" t="str">
        <f>SAÍDAS!C87</f>
        <v>madeiras manutencao</v>
      </c>
      <c r="C692" s="300">
        <f t="shared" si="192"/>
        <v>0</v>
      </c>
      <c r="D692" s="300">
        <f>SAÍDAS!E87*(SAÍDAS!$S87/100)</f>
        <v>0</v>
      </c>
      <c r="E692" s="300">
        <f>SAÍDAS!F87*(SAÍDAS!$S87/100)</f>
        <v>0</v>
      </c>
      <c r="F692" s="300">
        <f>SAÍDAS!G87*(SAÍDAS!$S87/100)</f>
        <v>0</v>
      </c>
      <c r="G692" s="300">
        <f>SAÍDAS!H87*(SAÍDAS!$S87/100)</f>
        <v>0</v>
      </c>
      <c r="H692" s="300">
        <f>SAÍDAS!I87*(SAÍDAS!$S87/100)</f>
        <v>0</v>
      </c>
      <c r="I692" s="300">
        <f>SAÍDAS!J87*(SAÍDAS!$S87/100)</f>
        <v>0</v>
      </c>
      <c r="J692" s="300">
        <f>SAÍDAS!K87*(SAÍDAS!$S87/100)</f>
        <v>0</v>
      </c>
      <c r="K692" s="300">
        <f>SAÍDAS!L87*(SAÍDAS!$S87/100)</f>
        <v>0</v>
      </c>
      <c r="L692" s="300">
        <f>SAÍDAS!M87*(SAÍDAS!$S87/100)</f>
        <v>0</v>
      </c>
      <c r="M692" s="300">
        <f>SAÍDAS!N87*(SAÍDAS!$S87/100)</f>
        <v>0</v>
      </c>
      <c r="N692" s="300">
        <f>SAÍDAS!O87*(SAÍDAS!$S87/100)</f>
        <v>0</v>
      </c>
      <c r="O692" s="300">
        <f>SAÍDAS!P87*(SAÍDAS!$S87/100)</f>
        <v>0</v>
      </c>
      <c r="P692" s="300"/>
      <c r="Q692" s="678"/>
      <c r="R692" s="783"/>
      <c r="S692" s="783"/>
      <c r="T692" s="783"/>
      <c r="U692" s="783"/>
      <c r="V692" s="783"/>
      <c r="W692" s="783"/>
      <c r="X692" s="783"/>
      <c r="Y692" s="783"/>
    </row>
    <row r="693" spans="1:25" hidden="1" x14ac:dyDescent="0.25">
      <c r="A693" s="670"/>
      <c r="B693" s="739" t="str">
        <f>SAÍDAS!C88</f>
        <v>Outros</v>
      </c>
      <c r="C693" s="300">
        <f t="shared" si="192"/>
        <v>0</v>
      </c>
      <c r="D693" s="300">
        <f>SAÍDAS!E88*(SAÍDAS!$S88/100)</f>
        <v>0</v>
      </c>
      <c r="E693" s="300">
        <f>SAÍDAS!F88*(SAÍDAS!$S88/100)</f>
        <v>0</v>
      </c>
      <c r="F693" s="300">
        <f>SAÍDAS!G88*(SAÍDAS!$S88/100)</f>
        <v>0</v>
      </c>
      <c r="G693" s="300">
        <f>SAÍDAS!H88*(SAÍDAS!$S88/100)</f>
        <v>0</v>
      </c>
      <c r="H693" s="300">
        <f>SAÍDAS!I88*(SAÍDAS!$S88/100)</f>
        <v>0</v>
      </c>
      <c r="I693" s="300">
        <f>SAÍDAS!J88*(SAÍDAS!$S88/100)</f>
        <v>0</v>
      </c>
      <c r="J693" s="300">
        <f>SAÍDAS!K88*(SAÍDAS!$S88/100)</f>
        <v>0</v>
      </c>
      <c r="K693" s="300">
        <f>SAÍDAS!L88*(SAÍDAS!$S88/100)</f>
        <v>0</v>
      </c>
      <c r="L693" s="300">
        <f>SAÍDAS!M88*(SAÍDAS!$S88/100)</f>
        <v>0</v>
      </c>
      <c r="M693" s="300">
        <f>SAÍDAS!N88*(SAÍDAS!$S88/100)</f>
        <v>0</v>
      </c>
      <c r="N693" s="300">
        <f>SAÍDAS!O88*(SAÍDAS!$S88/100)</f>
        <v>0</v>
      </c>
      <c r="O693" s="300">
        <f>SAÍDAS!P88*(SAÍDAS!$S88/100)</f>
        <v>0</v>
      </c>
      <c r="P693" s="300"/>
      <c r="Q693" s="678"/>
      <c r="R693" s="783"/>
      <c r="S693" s="783"/>
      <c r="T693" s="783"/>
      <c r="U693" s="783"/>
      <c r="V693" s="783"/>
      <c r="W693" s="783"/>
      <c r="X693" s="783"/>
      <c r="Y693" s="783"/>
    </row>
    <row r="694" spans="1:25" hidden="1" x14ac:dyDescent="0.25">
      <c r="A694" s="670"/>
      <c r="B694" s="739" t="str">
        <f>SAÍDAS!C89</f>
        <v>frete</v>
      </c>
      <c r="C694" s="300">
        <f t="shared" si="192"/>
        <v>0</v>
      </c>
      <c r="D694" s="300">
        <f>SAÍDAS!E89*(SAÍDAS!$S89/100)</f>
        <v>0</v>
      </c>
      <c r="E694" s="300">
        <f>SAÍDAS!F89*(SAÍDAS!$S89/100)</f>
        <v>0</v>
      </c>
      <c r="F694" s="300">
        <f>SAÍDAS!G89*(SAÍDAS!$S89/100)</f>
        <v>0</v>
      </c>
      <c r="G694" s="300">
        <f>SAÍDAS!H89*(SAÍDAS!$S89/100)</f>
        <v>0</v>
      </c>
      <c r="H694" s="300">
        <f>SAÍDAS!I89*(SAÍDAS!$S89/100)</f>
        <v>0</v>
      </c>
      <c r="I694" s="300">
        <f>SAÍDAS!J89*(SAÍDAS!$S89/100)</f>
        <v>0</v>
      </c>
      <c r="J694" s="300">
        <f>SAÍDAS!K89*(SAÍDAS!$S89/100)</f>
        <v>0</v>
      </c>
      <c r="K694" s="300">
        <f>SAÍDAS!L89*(SAÍDAS!$S89/100)</f>
        <v>0</v>
      </c>
      <c r="L694" s="300">
        <f>SAÍDAS!M89*(SAÍDAS!$S89/100)</f>
        <v>0</v>
      </c>
      <c r="M694" s="300">
        <f>SAÍDAS!N89*(SAÍDAS!$S89/100)</f>
        <v>0</v>
      </c>
      <c r="N694" s="300">
        <f>SAÍDAS!O89*(SAÍDAS!$S89/100)</f>
        <v>0</v>
      </c>
      <c r="O694" s="300">
        <f>SAÍDAS!P89*(SAÍDAS!$S89/100)</f>
        <v>0</v>
      </c>
      <c r="P694" s="300"/>
      <c r="Q694" s="678"/>
      <c r="R694" s="783"/>
      <c r="S694" s="783"/>
      <c r="T694" s="783"/>
      <c r="U694" s="783"/>
      <c r="V694" s="783"/>
      <c r="W694" s="783"/>
      <c r="X694" s="783"/>
      <c r="Y694" s="783"/>
    </row>
    <row r="695" spans="1:25" hidden="1" x14ac:dyDescent="0.25">
      <c r="A695" s="670"/>
      <c r="B695" s="739" t="str">
        <f>SAÍDAS!C90</f>
        <v>Depreciação</v>
      </c>
      <c r="C695" s="300">
        <f t="shared" si="192"/>
        <v>0</v>
      </c>
      <c r="D695" s="300">
        <f>SAÍDAS!E90*(SAÍDAS!$S90/100)</f>
        <v>0</v>
      </c>
      <c r="E695" s="300">
        <f>SAÍDAS!F90*(SAÍDAS!$S90/100)</f>
        <v>0</v>
      </c>
      <c r="F695" s="300">
        <f>SAÍDAS!G90*(SAÍDAS!$S90/100)</f>
        <v>0</v>
      </c>
      <c r="G695" s="300">
        <f>SAÍDAS!H90*(SAÍDAS!$S90/100)</f>
        <v>0</v>
      </c>
      <c r="H695" s="300">
        <f>SAÍDAS!I90*(SAÍDAS!$S90/100)</f>
        <v>0</v>
      </c>
      <c r="I695" s="300">
        <f>SAÍDAS!J90*(SAÍDAS!$S90/100)</f>
        <v>0</v>
      </c>
      <c r="J695" s="300">
        <f>SAÍDAS!K90*(SAÍDAS!$S90/100)</f>
        <v>0</v>
      </c>
      <c r="K695" s="300">
        <f>SAÍDAS!L90*(SAÍDAS!$S90/100)</f>
        <v>0</v>
      </c>
      <c r="L695" s="300">
        <f>SAÍDAS!M90*(SAÍDAS!$S90/100)</f>
        <v>0</v>
      </c>
      <c r="M695" s="300">
        <f>SAÍDAS!N90*(SAÍDAS!$S90/100)</f>
        <v>0</v>
      </c>
      <c r="N695" s="300">
        <f>SAÍDAS!O90*(SAÍDAS!$S90/100)</f>
        <v>0</v>
      </c>
      <c r="O695" s="300">
        <f>SAÍDAS!P90*(SAÍDAS!$S90/100)</f>
        <v>0</v>
      </c>
      <c r="P695" s="300"/>
      <c r="Q695" s="678"/>
      <c r="R695" s="783"/>
      <c r="S695" s="783"/>
      <c r="T695" s="783"/>
      <c r="U695" s="783"/>
      <c r="V695" s="783"/>
      <c r="W695" s="783"/>
      <c r="X695" s="783"/>
      <c r="Y695" s="783"/>
    </row>
    <row r="696" spans="1:25" hidden="1" x14ac:dyDescent="0.25">
      <c r="A696" s="670"/>
      <c r="B696" s="739"/>
      <c r="C696" s="300"/>
      <c r="D696" s="300"/>
      <c r="E696" s="300"/>
      <c r="F696" s="300"/>
      <c r="G696" s="300"/>
      <c r="H696" s="300"/>
      <c r="I696" s="300"/>
      <c r="J696" s="300"/>
      <c r="K696" s="300"/>
      <c r="L696" s="300"/>
      <c r="M696" s="300"/>
      <c r="N696" s="300"/>
      <c r="O696" s="300"/>
      <c r="P696" s="300"/>
      <c r="Q696" s="678"/>
      <c r="R696" s="783"/>
      <c r="S696" s="783"/>
      <c r="T696" s="783"/>
      <c r="U696" s="783"/>
      <c r="V696" s="783"/>
      <c r="W696" s="783"/>
      <c r="X696" s="783"/>
      <c r="Y696" s="783"/>
    </row>
    <row r="697" spans="1:25" hidden="1" x14ac:dyDescent="0.25">
      <c r="A697" s="670"/>
      <c r="B697" s="741" t="s">
        <v>180</v>
      </c>
      <c r="C697" s="300">
        <f>SUM(D697:O697)</f>
        <v>0</v>
      </c>
      <c r="D697" s="300">
        <f>SUM(D678:D694)</f>
        <v>0</v>
      </c>
      <c r="E697" s="300">
        <f t="shared" ref="E697:O697" si="193">SUM(E678:E694)</f>
        <v>0</v>
      </c>
      <c r="F697" s="300">
        <f t="shared" si="193"/>
        <v>0</v>
      </c>
      <c r="G697" s="300">
        <f t="shared" si="193"/>
        <v>0</v>
      </c>
      <c r="H697" s="300">
        <f t="shared" si="193"/>
        <v>0</v>
      </c>
      <c r="I697" s="300">
        <f t="shared" si="193"/>
        <v>0</v>
      </c>
      <c r="J697" s="300">
        <f t="shared" si="193"/>
        <v>0</v>
      </c>
      <c r="K697" s="300">
        <f t="shared" si="193"/>
        <v>0</v>
      </c>
      <c r="L697" s="300">
        <f t="shared" si="193"/>
        <v>0</v>
      </c>
      <c r="M697" s="300">
        <f t="shared" si="193"/>
        <v>0</v>
      </c>
      <c r="N697" s="300">
        <f t="shared" si="193"/>
        <v>0</v>
      </c>
      <c r="O697" s="300">
        <f t="shared" si="193"/>
        <v>0</v>
      </c>
      <c r="P697" s="300"/>
      <c r="Q697" s="678"/>
      <c r="R697" s="783"/>
      <c r="S697" s="783"/>
      <c r="T697" s="783"/>
      <c r="U697" s="783"/>
      <c r="V697" s="783"/>
      <c r="W697" s="783"/>
      <c r="X697" s="783"/>
      <c r="Y697" s="783"/>
    </row>
    <row r="698" spans="1:25" hidden="1" x14ac:dyDescent="0.25">
      <c r="A698" s="670"/>
      <c r="B698" s="741"/>
      <c r="C698" s="228"/>
      <c r="D698" s="300"/>
      <c r="E698" s="300"/>
      <c r="F698" s="300"/>
      <c r="G698" s="300"/>
      <c r="H698" s="300"/>
      <c r="I698" s="300"/>
      <c r="J698" s="300"/>
      <c r="K698" s="300"/>
      <c r="L698" s="300"/>
      <c r="M698" s="300"/>
      <c r="N698" s="300"/>
      <c r="O698" s="300"/>
      <c r="P698" s="300"/>
      <c r="Q698" s="678"/>
      <c r="R698" s="783"/>
      <c r="S698" s="783"/>
      <c r="T698" s="783"/>
      <c r="U698" s="783"/>
      <c r="V698" s="783"/>
      <c r="W698" s="783"/>
      <c r="X698" s="783"/>
      <c r="Y698" s="783"/>
    </row>
    <row r="699" spans="1:25" hidden="1" x14ac:dyDescent="0.25">
      <c r="A699" s="670"/>
      <c r="B699" s="742" t="s">
        <v>17</v>
      </c>
      <c r="C699" s="743"/>
      <c r="D699" s="744">
        <f t="shared" ref="D699:O699" si="194">D697+D676</f>
        <v>0</v>
      </c>
      <c r="E699" s="744">
        <f t="shared" si="194"/>
        <v>0</v>
      </c>
      <c r="F699" s="744">
        <f t="shared" si="194"/>
        <v>0</v>
      </c>
      <c r="G699" s="744">
        <f t="shared" si="194"/>
        <v>0</v>
      </c>
      <c r="H699" s="744">
        <f t="shared" si="194"/>
        <v>0</v>
      </c>
      <c r="I699" s="744">
        <f t="shared" si="194"/>
        <v>0</v>
      </c>
      <c r="J699" s="744">
        <f t="shared" si="194"/>
        <v>0</v>
      </c>
      <c r="K699" s="744">
        <f t="shared" si="194"/>
        <v>0</v>
      </c>
      <c r="L699" s="744">
        <f t="shared" si="194"/>
        <v>0</v>
      </c>
      <c r="M699" s="744">
        <f t="shared" si="194"/>
        <v>0</v>
      </c>
      <c r="N699" s="744">
        <f t="shared" si="194"/>
        <v>0</v>
      </c>
      <c r="O699" s="744">
        <f t="shared" si="194"/>
        <v>0</v>
      </c>
      <c r="P699" s="744">
        <f>SUM(D699:O699)</f>
        <v>0</v>
      </c>
      <c r="Q699" s="678"/>
      <c r="R699" s="783"/>
      <c r="S699" s="783"/>
      <c r="T699" s="783"/>
      <c r="U699" s="783"/>
      <c r="V699" s="783"/>
      <c r="W699" s="783"/>
      <c r="X699" s="783"/>
      <c r="Y699" s="783"/>
    </row>
    <row r="700" spans="1:25" hidden="1" x14ac:dyDescent="0.25">
      <c r="A700" s="670"/>
      <c r="B700" s="745" t="s">
        <v>178</v>
      </c>
      <c r="C700" s="680"/>
      <c r="D700" s="746">
        <f>D699</f>
        <v>0</v>
      </c>
      <c r="E700" s="746">
        <f t="shared" ref="E700:O700" si="195">D700+E699</f>
        <v>0</v>
      </c>
      <c r="F700" s="746">
        <f t="shared" si="195"/>
        <v>0</v>
      </c>
      <c r="G700" s="746">
        <f>F700+G699</f>
        <v>0</v>
      </c>
      <c r="H700" s="746">
        <f>G700+H699</f>
        <v>0</v>
      </c>
      <c r="I700" s="746">
        <f>H700+I699</f>
        <v>0</v>
      </c>
      <c r="J700" s="746">
        <f>I700+J699</f>
        <v>0</v>
      </c>
      <c r="K700" s="746">
        <f t="shared" si="195"/>
        <v>0</v>
      </c>
      <c r="L700" s="746">
        <f t="shared" si="195"/>
        <v>0</v>
      </c>
      <c r="M700" s="746">
        <f t="shared" si="195"/>
        <v>0</v>
      </c>
      <c r="N700" s="746">
        <f t="shared" si="195"/>
        <v>0</v>
      </c>
      <c r="O700" s="747">
        <f t="shared" si="195"/>
        <v>0</v>
      </c>
      <c r="P700" s="748"/>
      <c r="Q700" s="678"/>
      <c r="R700" s="783"/>
      <c r="S700" s="783"/>
      <c r="T700" s="783"/>
      <c r="U700" s="783"/>
      <c r="V700" s="783"/>
      <c r="W700" s="783"/>
      <c r="X700" s="783"/>
      <c r="Y700" s="783"/>
    </row>
    <row r="701" spans="1:25" hidden="1" x14ac:dyDescent="0.25">
      <c r="A701" s="670"/>
      <c r="B701" s="745" t="s">
        <v>181</v>
      </c>
      <c r="C701" s="680"/>
      <c r="D701" s="749">
        <f t="shared" ref="D701:O701" si="196">IF(D165="",0,D699)</f>
        <v>0</v>
      </c>
      <c r="E701" s="749">
        <f t="shared" si="196"/>
        <v>0</v>
      </c>
      <c r="F701" s="749">
        <f t="shared" si="196"/>
        <v>0</v>
      </c>
      <c r="G701" s="749">
        <f t="shared" si="196"/>
        <v>0</v>
      </c>
      <c r="H701" s="749">
        <f t="shared" si="196"/>
        <v>0</v>
      </c>
      <c r="I701" s="749">
        <f t="shared" si="196"/>
        <v>0</v>
      </c>
      <c r="J701" s="749">
        <f t="shared" si="196"/>
        <v>0</v>
      </c>
      <c r="K701" s="749">
        <f t="shared" si="196"/>
        <v>0</v>
      </c>
      <c r="L701" s="749">
        <f t="shared" si="196"/>
        <v>0</v>
      </c>
      <c r="M701" s="749">
        <f t="shared" si="196"/>
        <v>0</v>
      </c>
      <c r="N701" s="749">
        <f t="shared" si="196"/>
        <v>0</v>
      </c>
      <c r="O701" s="749">
        <f t="shared" si="196"/>
        <v>0</v>
      </c>
      <c r="P701" s="748"/>
      <c r="Q701" s="678"/>
      <c r="R701" s="783"/>
      <c r="S701" s="783"/>
      <c r="T701" s="783"/>
      <c r="U701" s="783"/>
      <c r="V701" s="783"/>
      <c r="W701" s="783"/>
      <c r="X701" s="783"/>
      <c r="Y701" s="783"/>
    </row>
    <row r="702" spans="1:25" hidden="1" x14ac:dyDescent="0.25">
      <c r="A702" s="670"/>
      <c r="B702" s="745" t="s">
        <v>182</v>
      </c>
      <c r="C702" s="680"/>
      <c r="D702" s="759">
        <f>D701</f>
        <v>0</v>
      </c>
      <c r="E702" s="759">
        <f t="shared" ref="E702:O702" si="197">(D702+E701)</f>
        <v>0</v>
      </c>
      <c r="F702" s="759">
        <f t="shared" si="197"/>
        <v>0</v>
      </c>
      <c r="G702" s="759">
        <f>(F702+G701)</f>
        <v>0</v>
      </c>
      <c r="H702" s="759">
        <f>(G702+H701)</f>
        <v>0</v>
      </c>
      <c r="I702" s="759">
        <f>(H702+I701)</f>
        <v>0</v>
      </c>
      <c r="J702" s="759">
        <f>(I702+J701)</f>
        <v>0</v>
      </c>
      <c r="K702" s="759">
        <f t="shared" si="197"/>
        <v>0</v>
      </c>
      <c r="L702" s="759">
        <f t="shared" si="197"/>
        <v>0</v>
      </c>
      <c r="M702" s="759">
        <f t="shared" si="197"/>
        <v>0</v>
      </c>
      <c r="N702" s="759">
        <f t="shared" si="197"/>
        <v>0</v>
      </c>
      <c r="O702" s="760">
        <f t="shared" si="197"/>
        <v>0</v>
      </c>
      <c r="P702" s="748"/>
      <c r="Q702" s="678"/>
      <c r="R702" s="783"/>
      <c r="S702" s="783"/>
      <c r="T702" s="783"/>
      <c r="U702" s="783"/>
      <c r="V702" s="783"/>
      <c r="W702" s="783"/>
      <c r="X702" s="783"/>
      <c r="Y702" s="783"/>
    </row>
    <row r="703" spans="1:25" hidden="1" x14ac:dyDescent="0.25">
      <c r="A703" s="670"/>
      <c r="B703" s="752" t="s">
        <v>184</v>
      </c>
      <c r="C703" s="680"/>
      <c r="D703" s="749">
        <f>IF(D165="",0,1)</f>
        <v>1</v>
      </c>
      <c r="E703" s="749">
        <f>IF(E165="",0,2)</f>
        <v>2</v>
      </c>
      <c r="F703" s="749">
        <f>IF(F165="",0,3)</f>
        <v>3</v>
      </c>
      <c r="G703" s="749">
        <f>IF(G165="",0,4)</f>
        <v>4</v>
      </c>
      <c r="H703" s="749">
        <f>IF(H165="",0,5)</f>
        <v>5</v>
      </c>
      <c r="I703" s="749">
        <f>IF(I165="",0,6)</f>
        <v>6</v>
      </c>
      <c r="J703" s="749">
        <f>IF(J165="",0,7)</f>
        <v>7</v>
      </c>
      <c r="K703" s="749">
        <f>IF(K165="",0,8)</f>
        <v>8</v>
      </c>
      <c r="L703" s="749">
        <f>IF(L165="",0,9)</f>
        <v>0</v>
      </c>
      <c r="M703" s="749">
        <f>IF(M165="",0,10)</f>
        <v>0</v>
      </c>
      <c r="N703" s="749">
        <f>IF(N165="",0,11)</f>
        <v>0</v>
      </c>
      <c r="O703" s="749">
        <f>IF(O165="",0,12)</f>
        <v>0</v>
      </c>
      <c r="P703" s="680">
        <f>LARGE(D703:O703,1)</f>
        <v>8</v>
      </c>
      <c r="Q703" s="678"/>
      <c r="R703" s="783"/>
      <c r="S703" s="783"/>
      <c r="T703" s="783"/>
      <c r="U703" s="783"/>
      <c r="V703" s="783"/>
      <c r="W703" s="783"/>
      <c r="X703" s="783"/>
      <c r="Y703" s="783"/>
    </row>
    <row r="704" spans="1:25" hidden="1" x14ac:dyDescent="0.25">
      <c r="A704" s="670"/>
      <c r="B704" s="752" t="s">
        <v>185</v>
      </c>
      <c r="C704" s="680"/>
      <c r="D704" s="680">
        <f>IF(D703=0,0,IF(D699=D701,0,1))</f>
        <v>0</v>
      </c>
      <c r="E704" s="680">
        <f t="shared" ref="E704:O704" si="198">IF(AND(D703=0,E703&lt;&gt;0),E703,0)</f>
        <v>0</v>
      </c>
      <c r="F704" s="680">
        <f t="shared" si="198"/>
        <v>0</v>
      </c>
      <c r="G704" s="680">
        <f>IF(AND(F703=0,G703&lt;&gt;0),G703,0)</f>
        <v>0</v>
      </c>
      <c r="H704" s="680">
        <f>IF(AND(G703=0,H703&lt;&gt;0),H703,0)</f>
        <v>0</v>
      </c>
      <c r="I704" s="680">
        <f>IF(AND(H703=0,I703&lt;&gt;0),I703,0)</f>
        <v>0</v>
      </c>
      <c r="J704" s="680">
        <f>IF(AND(I703=0,J703&lt;&gt;0),J703,0)</f>
        <v>0</v>
      </c>
      <c r="K704" s="680">
        <f t="shared" si="198"/>
        <v>0</v>
      </c>
      <c r="L704" s="680">
        <f t="shared" si="198"/>
        <v>0</v>
      </c>
      <c r="M704" s="680">
        <f t="shared" si="198"/>
        <v>0</v>
      </c>
      <c r="N704" s="680">
        <f t="shared" si="198"/>
        <v>0</v>
      </c>
      <c r="O704" s="751">
        <f t="shared" si="198"/>
        <v>0</v>
      </c>
      <c r="P704" s="748"/>
      <c r="Q704" s="678"/>
      <c r="R704" s="783"/>
      <c r="S704" s="783"/>
      <c r="T704" s="783"/>
      <c r="U704" s="783"/>
      <c r="V704" s="783"/>
      <c r="W704" s="783"/>
      <c r="X704" s="783"/>
      <c r="Y704" s="783"/>
    </row>
    <row r="705" spans="1:25" hidden="1" x14ac:dyDescent="0.25">
      <c r="A705" s="670"/>
      <c r="B705" s="752" t="s">
        <v>186</v>
      </c>
      <c r="C705" s="680"/>
      <c r="D705" s="746">
        <f>D700-D702</f>
        <v>0</v>
      </c>
      <c r="E705" s="746">
        <f t="shared" ref="E705:O705" si="199">IF(E704=0,0,E700-E702)</f>
        <v>0</v>
      </c>
      <c r="F705" s="746">
        <f t="shared" si="199"/>
        <v>0</v>
      </c>
      <c r="G705" s="746">
        <f t="shared" si="199"/>
        <v>0</v>
      </c>
      <c r="H705" s="746">
        <f t="shared" si="199"/>
        <v>0</v>
      </c>
      <c r="I705" s="746">
        <f t="shared" si="199"/>
        <v>0</v>
      </c>
      <c r="J705" s="746">
        <f t="shared" si="199"/>
        <v>0</v>
      </c>
      <c r="K705" s="746">
        <f t="shared" si="199"/>
        <v>0</v>
      </c>
      <c r="L705" s="746">
        <f t="shared" si="199"/>
        <v>0</v>
      </c>
      <c r="M705" s="746">
        <f t="shared" si="199"/>
        <v>0</v>
      </c>
      <c r="N705" s="746">
        <f t="shared" si="199"/>
        <v>0</v>
      </c>
      <c r="O705" s="747">
        <f t="shared" si="199"/>
        <v>0</v>
      </c>
      <c r="P705" s="746">
        <f>P699-P706</f>
        <v>0</v>
      </c>
      <c r="Q705" s="678"/>
      <c r="R705" s="783"/>
      <c r="S705" s="783"/>
      <c r="T705" s="783"/>
      <c r="U705" s="783"/>
      <c r="V705" s="783"/>
      <c r="W705" s="783"/>
      <c r="X705" s="783"/>
      <c r="Y705" s="783"/>
    </row>
    <row r="706" spans="1:25" hidden="1" x14ac:dyDescent="0.25">
      <c r="A706" s="670"/>
      <c r="B706" s="746" t="s">
        <v>187</v>
      </c>
      <c r="C706" s="680"/>
      <c r="D706" s="746">
        <f t="shared" ref="D706:O706" si="200">D701+D705</f>
        <v>0</v>
      </c>
      <c r="E706" s="746">
        <f t="shared" si="200"/>
        <v>0</v>
      </c>
      <c r="F706" s="746">
        <f t="shared" si="200"/>
        <v>0</v>
      </c>
      <c r="G706" s="746">
        <f t="shared" si="200"/>
        <v>0</v>
      </c>
      <c r="H706" s="746">
        <f t="shared" si="200"/>
        <v>0</v>
      </c>
      <c r="I706" s="746">
        <f t="shared" si="200"/>
        <v>0</v>
      </c>
      <c r="J706" s="746">
        <f t="shared" si="200"/>
        <v>0</v>
      </c>
      <c r="K706" s="746">
        <f t="shared" si="200"/>
        <v>0</v>
      </c>
      <c r="L706" s="746">
        <f t="shared" si="200"/>
        <v>0</v>
      </c>
      <c r="M706" s="746">
        <f t="shared" si="200"/>
        <v>0</v>
      </c>
      <c r="N706" s="746">
        <f t="shared" si="200"/>
        <v>0</v>
      </c>
      <c r="O706" s="746">
        <f t="shared" si="200"/>
        <v>0</v>
      </c>
      <c r="P706" s="746">
        <f>SUM(D706:O706)</f>
        <v>0</v>
      </c>
      <c r="Q706" s="678"/>
      <c r="R706" s="783"/>
      <c r="S706" s="783"/>
      <c r="T706" s="783"/>
      <c r="U706" s="783"/>
      <c r="V706" s="783"/>
      <c r="W706" s="783"/>
      <c r="X706" s="783"/>
      <c r="Y706" s="783"/>
    </row>
    <row r="707" spans="1:25" ht="15.75" hidden="1" thickBot="1" x14ac:dyDescent="0.3">
      <c r="A707" s="670"/>
      <c r="B707" s="746" t="s">
        <v>183</v>
      </c>
      <c r="C707" s="754">
        <f>COUNTIF(D703:O703,0)</f>
        <v>4</v>
      </c>
      <c r="D707" s="746">
        <f t="shared" ref="D707:O707" si="201">IF(D703=$P703,$P705,0)+D706</f>
        <v>0</v>
      </c>
      <c r="E707" s="746">
        <f t="shared" si="201"/>
        <v>0</v>
      </c>
      <c r="F707" s="746">
        <f t="shared" si="201"/>
        <v>0</v>
      </c>
      <c r="G707" s="746">
        <f t="shared" si="201"/>
        <v>0</v>
      </c>
      <c r="H707" s="746">
        <f t="shared" si="201"/>
        <v>0</v>
      </c>
      <c r="I707" s="746">
        <f t="shared" si="201"/>
        <v>0</v>
      </c>
      <c r="J707" s="746">
        <f t="shared" si="201"/>
        <v>0</v>
      </c>
      <c r="K707" s="746">
        <f t="shared" si="201"/>
        <v>0</v>
      </c>
      <c r="L707" s="746">
        <f t="shared" si="201"/>
        <v>0</v>
      </c>
      <c r="M707" s="746">
        <f t="shared" si="201"/>
        <v>0</v>
      </c>
      <c r="N707" s="746">
        <f t="shared" si="201"/>
        <v>0</v>
      </c>
      <c r="O707" s="746">
        <f t="shared" si="201"/>
        <v>0</v>
      </c>
      <c r="P707" s="746">
        <f>SUM(D707:O707)</f>
        <v>0</v>
      </c>
      <c r="Q707" s="678"/>
      <c r="R707" s="783"/>
      <c r="S707" s="783"/>
      <c r="T707" s="783"/>
      <c r="U707" s="783"/>
      <c r="V707" s="783"/>
      <c r="W707" s="783"/>
      <c r="X707" s="783"/>
      <c r="Y707" s="783"/>
    </row>
    <row r="708" spans="1:25" ht="15.75" hidden="1" thickBot="1" x14ac:dyDescent="0.3">
      <c r="A708" s="670"/>
      <c r="B708" s="751" t="s">
        <v>190</v>
      </c>
      <c r="C708" s="757">
        <f>HLOOKUP(P703,D331:O333,3,FALSE)</f>
        <v>0</v>
      </c>
      <c r="D708" s="228"/>
      <c r="E708" s="228"/>
      <c r="F708" s="228"/>
      <c r="G708" s="228"/>
      <c r="H708" s="228"/>
      <c r="I708" s="228"/>
      <c r="J708" s="228"/>
      <c r="K708" s="228"/>
      <c r="L708" s="228"/>
      <c r="M708" s="228"/>
      <c r="N708" s="228"/>
      <c r="O708" s="228"/>
      <c r="P708" s="300"/>
      <c r="Q708" s="678"/>
      <c r="R708" s="783"/>
      <c r="S708" s="783"/>
      <c r="T708" s="783"/>
      <c r="U708" s="783"/>
      <c r="V708" s="783"/>
      <c r="W708" s="783"/>
      <c r="X708" s="783"/>
      <c r="Y708" s="783"/>
    </row>
    <row r="709" spans="1:25" ht="15.75" hidden="1" thickBot="1" x14ac:dyDescent="0.3">
      <c r="A709" s="670"/>
      <c r="B709" s="751" t="s">
        <v>191</v>
      </c>
      <c r="C709" s="758">
        <f>P333</f>
        <v>0</v>
      </c>
      <c r="D709" s="228"/>
      <c r="E709" s="228"/>
      <c r="F709" s="228"/>
      <c r="G709" s="228"/>
      <c r="H709" s="228"/>
      <c r="I709" s="228"/>
      <c r="J709" s="228"/>
      <c r="K709" s="228"/>
      <c r="L709" s="228"/>
      <c r="M709" s="228"/>
      <c r="N709" s="228"/>
      <c r="O709" s="228"/>
      <c r="P709" s="300"/>
      <c r="Q709" s="678"/>
      <c r="R709" s="783"/>
      <c r="S709" s="783"/>
      <c r="T709" s="783"/>
      <c r="U709" s="783"/>
      <c r="V709" s="783"/>
      <c r="W709" s="783"/>
      <c r="X709" s="783"/>
      <c r="Y709" s="783"/>
    </row>
    <row r="710" spans="1:25" hidden="1" x14ac:dyDescent="0.25">
      <c r="A710" s="670"/>
      <c r="B710" s="224"/>
      <c r="C710" s="228"/>
      <c r="D710" s="228"/>
      <c r="E710" s="228"/>
      <c r="F710" s="228"/>
      <c r="G710" s="228"/>
      <c r="H710" s="228"/>
      <c r="I710" s="228"/>
      <c r="J710" s="228"/>
      <c r="K710" s="228"/>
      <c r="L710" s="228"/>
      <c r="M710" s="228"/>
      <c r="N710" s="228"/>
      <c r="O710" s="228"/>
      <c r="P710" s="300"/>
      <c r="Q710" s="678"/>
      <c r="R710" s="783"/>
      <c r="S710" s="783"/>
      <c r="T710" s="783"/>
      <c r="U710" s="783"/>
      <c r="V710" s="783"/>
      <c r="W710" s="783"/>
      <c r="X710" s="783"/>
      <c r="Y710" s="783"/>
    </row>
    <row r="711" spans="1:25" hidden="1" x14ac:dyDescent="0.25">
      <c r="A711" s="670"/>
      <c r="B711" s="224"/>
      <c r="C711" s="228"/>
      <c r="D711" s="228"/>
      <c r="E711" s="228"/>
      <c r="F711" s="228"/>
      <c r="G711" s="228"/>
      <c r="H711" s="228"/>
      <c r="I711" s="228"/>
      <c r="J711" s="228"/>
      <c r="K711" s="228"/>
      <c r="L711" s="228"/>
      <c r="M711" s="228"/>
      <c r="N711" s="228"/>
      <c r="O711" s="228"/>
      <c r="P711" s="300"/>
      <c r="Q711" s="678"/>
      <c r="R711" s="783"/>
      <c r="S711" s="783"/>
      <c r="T711" s="783"/>
      <c r="U711" s="783"/>
      <c r="V711" s="783"/>
      <c r="W711" s="783"/>
      <c r="X711" s="783"/>
      <c r="Y711" s="783"/>
    </row>
    <row r="712" spans="1:25" hidden="1" x14ac:dyDescent="0.25">
      <c r="A712" s="670"/>
      <c r="B712" s="224"/>
      <c r="C712" s="228"/>
      <c r="D712" s="228"/>
      <c r="E712" s="228"/>
      <c r="F712" s="228"/>
      <c r="G712" s="228"/>
      <c r="H712" s="228"/>
      <c r="I712" s="228"/>
      <c r="J712" s="228"/>
      <c r="K712" s="228"/>
      <c r="L712" s="228"/>
      <c r="M712" s="228"/>
      <c r="N712" s="228"/>
      <c r="O712" s="228"/>
      <c r="P712" s="300"/>
      <c r="Q712" s="678"/>
      <c r="R712" s="783"/>
      <c r="S712" s="783"/>
      <c r="T712" s="783"/>
      <c r="U712" s="783"/>
      <c r="V712" s="783"/>
      <c r="W712" s="783"/>
      <c r="X712" s="783"/>
      <c r="Y712" s="783"/>
    </row>
    <row r="713" spans="1:25" hidden="1" x14ac:dyDescent="0.25">
      <c r="A713" s="670"/>
      <c r="B713" s="224" t="s">
        <v>438</v>
      </c>
      <c r="C713" s="228"/>
      <c r="D713" s="228"/>
      <c r="E713" s="228"/>
      <c r="F713" s="228"/>
      <c r="G713" s="228"/>
      <c r="H713" s="228"/>
      <c r="I713" s="228"/>
      <c r="J713" s="228"/>
      <c r="K713" s="228"/>
      <c r="L713" s="228"/>
      <c r="M713" s="228"/>
      <c r="N713" s="228"/>
      <c r="O713" s="228"/>
      <c r="P713" s="300"/>
      <c r="Q713" s="678"/>
      <c r="R713" s="783"/>
      <c r="S713" s="783"/>
      <c r="T713" s="783"/>
      <c r="U713" s="783"/>
      <c r="V713" s="783"/>
      <c r="W713" s="783"/>
      <c r="X713" s="783"/>
      <c r="Y713" s="783"/>
    </row>
    <row r="714" spans="1:25" hidden="1" x14ac:dyDescent="0.25">
      <c r="A714" s="670"/>
      <c r="B714" s="739" t="str">
        <f>SAÍDAS!C31</f>
        <v>Mão de Obra</v>
      </c>
      <c r="C714" s="300">
        <f t="shared" ref="C714:C753" si="202">SUM(D714:O714)</f>
        <v>15645</v>
      </c>
      <c r="D714" s="300">
        <f>SAÍDAS!E31</f>
        <v>2715</v>
      </c>
      <c r="E714" s="300">
        <f>SAÍDAS!F31</f>
        <v>2715</v>
      </c>
      <c r="F714" s="300">
        <f>SAÍDAS!G31</f>
        <v>2715</v>
      </c>
      <c r="G714" s="300">
        <f>SAÍDAS!H31</f>
        <v>1500</v>
      </c>
      <c r="H714" s="300">
        <f>SAÍDAS!I31</f>
        <v>1500</v>
      </c>
      <c r="I714" s="300">
        <f>SAÍDAS!J31</f>
        <v>1500</v>
      </c>
      <c r="J714" s="300">
        <f>SAÍDAS!K31</f>
        <v>1500</v>
      </c>
      <c r="K714" s="300">
        <f>SAÍDAS!L31</f>
        <v>1500</v>
      </c>
      <c r="L714" s="300">
        <f>SAÍDAS!M31</f>
        <v>0</v>
      </c>
      <c r="M714" s="300">
        <f>SAÍDAS!N31</f>
        <v>0</v>
      </c>
      <c r="N714" s="300">
        <f>SAÍDAS!O31</f>
        <v>0</v>
      </c>
      <c r="O714" s="300">
        <f>SAÍDAS!P31</f>
        <v>0</v>
      </c>
      <c r="P714" s="300"/>
      <c r="Q714" s="678"/>
      <c r="R714" s="783"/>
      <c r="S714" s="783"/>
      <c r="T714" s="783"/>
      <c r="U714" s="783"/>
      <c r="V714" s="783"/>
      <c r="W714" s="783"/>
      <c r="X714" s="783"/>
      <c r="Y714" s="783"/>
    </row>
    <row r="715" spans="1:25" hidden="1" x14ac:dyDescent="0.25">
      <c r="A715" s="670"/>
      <c r="B715" s="739" t="str">
        <f>SAÍDAS!C32</f>
        <v>Mão de Obra</v>
      </c>
      <c r="C715" s="300">
        <f t="shared" si="202"/>
        <v>4840</v>
      </c>
      <c r="D715" s="300">
        <f>SAÍDAS!E32</f>
        <v>500</v>
      </c>
      <c r="E715" s="300">
        <f>SAÍDAS!F32</f>
        <v>0</v>
      </c>
      <c r="F715" s="300">
        <f>SAÍDAS!G32</f>
        <v>1200</v>
      </c>
      <c r="G715" s="300">
        <f>SAÍDAS!H32</f>
        <v>1320</v>
      </c>
      <c r="H715" s="300">
        <f>SAÍDAS!I32</f>
        <v>840</v>
      </c>
      <c r="I715" s="300">
        <f>SAÍDAS!J32</f>
        <v>480</v>
      </c>
      <c r="J715" s="300">
        <f>SAÍDAS!K32</f>
        <v>500</v>
      </c>
      <c r="K715" s="300">
        <f>SAÍDAS!L32</f>
        <v>0</v>
      </c>
      <c r="L715" s="300">
        <f>SAÍDAS!M32</f>
        <v>0</v>
      </c>
      <c r="M715" s="300">
        <f>SAÍDAS!N32</f>
        <v>0</v>
      </c>
      <c r="N715" s="300">
        <f>SAÍDAS!O32</f>
        <v>0</v>
      </c>
      <c r="O715" s="300">
        <f>SAÍDAS!P32</f>
        <v>0</v>
      </c>
      <c r="P715" s="300"/>
      <c r="Q715" s="678"/>
      <c r="R715" s="783"/>
      <c r="S715" s="783"/>
      <c r="T715" s="783"/>
      <c r="U715" s="783"/>
      <c r="V715" s="783"/>
      <c r="W715" s="783"/>
      <c r="X715" s="783"/>
      <c r="Y715" s="783"/>
    </row>
    <row r="716" spans="1:25" hidden="1" x14ac:dyDescent="0.25">
      <c r="A716" s="670"/>
      <c r="B716" s="739" t="str">
        <f>SAÍDAS!C33</f>
        <v>Mão de Obra</v>
      </c>
      <c r="C716" s="300">
        <f t="shared" si="202"/>
        <v>1920</v>
      </c>
      <c r="D716" s="300">
        <f>SAÍDAS!E33</f>
        <v>240</v>
      </c>
      <c r="E716" s="300">
        <f>SAÍDAS!F33</f>
        <v>240</v>
      </c>
      <c r="F716" s="300">
        <f>SAÍDAS!G33</f>
        <v>240</v>
      </c>
      <c r="G716" s="300">
        <f>SAÍDAS!H33</f>
        <v>240</v>
      </c>
      <c r="H716" s="300">
        <f>SAÍDAS!I33</f>
        <v>240</v>
      </c>
      <c r="I716" s="300">
        <f>SAÍDAS!J33</f>
        <v>240</v>
      </c>
      <c r="J716" s="300">
        <f>SAÍDAS!K33</f>
        <v>240</v>
      </c>
      <c r="K716" s="300">
        <f>SAÍDAS!L33</f>
        <v>240</v>
      </c>
      <c r="L716" s="300">
        <f>SAÍDAS!M33</f>
        <v>0</v>
      </c>
      <c r="M716" s="300">
        <f>SAÍDAS!N33</f>
        <v>0</v>
      </c>
      <c r="N716" s="300">
        <f>SAÍDAS!O33</f>
        <v>0</v>
      </c>
      <c r="O716" s="300">
        <f>SAÍDAS!P33</f>
        <v>0</v>
      </c>
      <c r="P716" s="300"/>
      <c r="Q716" s="678"/>
      <c r="R716" s="783"/>
      <c r="S716" s="783"/>
      <c r="T716" s="783"/>
      <c r="U716" s="783"/>
      <c r="V716" s="783"/>
      <c r="W716" s="783"/>
      <c r="X716" s="783"/>
      <c r="Y716" s="783"/>
    </row>
    <row r="717" spans="1:25" hidden="1" x14ac:dyDescent="0.25">
      <c r="A717" s="670"/>
      <c r="B717" s="739" t="str">
        <f>SAÍDAS!C34</f>
        <v>Serviços Terceirizados</v>
      </c>
      <c r="C717" s="300">
        <f t="shared" si="202"/>
        <v>2330</v>
      </c>
      <c r="D717" s="300">
        <f>SAÍDAS!E34</f>
        <v>0</v>
      </c>
      <c r="E717" s="300">
        <f>SAÍDAS!F34</f>
        <v>0</v>
      </c>
      <c r="F717" s="300">
        <f>SAÍDAS!G34</f>
        <v>700</v>
      </c>
      <c r="G717" s="300">
        <f>SAÍDAS!H34</f>
        <v>750</v>
      </c>
      <c r="H717" s="300">
        <f>SAÍDAS!I34</f>
        <v>0</v>
      </c>
      <c r="I717" s="300">
        <f>SAÍDAS!J34</f>
        <v>880</v>
      </c>
      <c r="J717" s="300">
        <f>SAÍDAS!K34</f>
        <v>0</v>
      </c>
      <c r="K717" s="300">
        <f>SAÍDAS!L34</f>
        <v>0</v>
      </c>
      <c r="L717" s="300">
        <f>SAÍDAS!M34</f>
        <v>0</v>
      </c>
      <c r="M717" s="300">
        <f>SAÍDAS!N34</f>
        <v>0</v>
      </c>
      <c r="N717" s="300">
        <f>SAÍDAS!O34</f>
        <v>0</v>
      </c>
      <c r="O717" s="300">
        <f>SAÍDAS!P34</f>
        <v>0</v>
      </c>
      <c r="P717" s="224"/>
      <c r="Q717" s="678"/>
    </row>
    <row r="718" spans="1:25" hidden="1" x14ac:dyDescent="0.25">
      <c r="A718" s="670"/>
      <c r="B718" s="739" t="str">
        <f>SAÍDAS!C35</f>
        <v>Alimentação</v>
      </c>
      <c r="C718" s="300">
        <f t="shared" si="202"/>
        <v>310</v>
      </c>
      <c r="D718" s="300">
        <f>SAÍDAS!E35</f>
        <v>0</v>
      </c>
      <c r="E718" s="300">
        <f>SAÍDAS!F35</f>
        <v>0</v>
      </c>
      <c r="F718" s="300">
        <f>SAÍDAS!G35</f>
        <v>310</v>
      </c>
      <c r="G718" s="300">
        <f>SAÍDAS!H35</f>
        <v>0</v>
      </c>
      <c r="H718" s="300">
        <f>SAÍDAS!I35</f>
        <v>0</v>
      </c>
      <c r="I718" s="300">
        <f>SAÍDAS!J35</f>
        <v>0</v>
      </c>
      <c r="J718" s="300">
        <f>SAÍDAS!K35</f>
        <v>0</v>
      </c>
      <c r="K718" s="300">
        <f>SAÍDAS!L35</f>
        <v>0</v>
      </c>
      <c r="L718" s="300">
        <f>SAÍDAS!M35</f>
        <v>0</v>
      </c>
      <c r="M718" s="300">
        <f>SAÍDAS!N35</f>
        <v>0</v>
      </c>
      <c r="N718" s="300">
        <f>SAÍDAS!O35</f>
        <v>0</v>
      </c>
      <c r="O718" s="300">
        <f>SAÍDAS!P35</f>
        <v>0</v>
      </c>
      <c r="P718" s="224"/>
      <c r="Q718" s="678"/>
    </row>
    <row r="719" spans="1:25" hidden="1" x14ac:dyDescent="0.25">
      <c r="A719" s="670"/>
      <c r="B719" s="739" t="str">
        <f>SAÍDAS!C36</f>
        <v>Alimentação</v>
      </c>
      <c r="C719" s="300">
        <f t="shared" si="202"/>
        <v>0</v>
      </c>
      <c r="D719" s="300">
        <f>SAÍDAS!E36</f>
        <v>0</v>
      </c>
      <c r="E719" s="300">
        <f>SAÍDAS!F36</f>
        <v>0</v>
      </c>
      <c r="F719" s="300">
        <f>SAÍDAS!G36</f>
        <v>0</v>
      </c>
      <c r="G719" s="300">
        <f>SAÍDAS!H36</f>
        <v>0</v>
      </c>
      <c r="H719" s="300">
        <f>SAÍDAS!I36</f>
        <v>0</v>
      </c>
      <c r="I719" s="300">
        <f>SAÍDAS!J36</f>
        <v>0</v>
      </c>
      <c r="J719" s="300">
        <f>SAÍDAS!K36</f>
        <v>0</v>
      </c>
      <c r="K719" s="300">
        <f>SAÍDAS!L36</f>
        <v>0</v>
      </c>
      <c r="L719" s="300">
        <f>SAÍDAS!M36</f>
        <v>0</v>
      </c>
      <c r="M719" s="300">
        <f>SAÍDAS!N36</f>
        <v>0</v>
      </c>
      <c r="N719" s="300">
        <f>SAÍDAS!O36</f>
        <v>0</v>
      </c>
      <c r="O719" s="300">
        <f>SAÍDAS!P36</f>
        <v>0</v>
      </c>
      <c r="P719" s="224"/>
      <c r="Q719" s="678"/>
    </row>
    <row r="720" spans="1:25" hidden="1" x14ac:dyDescent="0.25">
      <c r="A720" s="670"/>
      <c r="B720" s="739" t="str">
        <f>SAÍDAS!C37</f>
        <v>Alimentação</v>
      </c>
      <c r="C720" s="300">
        <f t="shared" si="202"/>
        <v>0</v>
      </c>
      <c r="D720" s="300">
        <f>SAÍDAS!E37</f>
        <v>0</v>
      </c>
      <c r="E720" s="300">
        <f>SAÍDAS!F37</f>
        <v>0</v>
      </c>
      <c r="F720" s="300">
        <f>SAÍDAS!G37</f>
        <v>0</v>
      </c>
      <c r="G720" s="300">
        <f>SAÍDAS!H37</f>
        <v>0</v>
      </c>
      <c r="H720" s="300">
        <f>SAÍDAS!I37</f>
        <v>0</v>
      </c>
      <c r="I720" s="300">
        <f>SAÍDAS!J37</f>
        <v>0</v>
      </c>
      <c r="J720" s="300">
        <f>SAÍDAS!K37</f>
        <v>0</v>
      </c>
      <c r="K720" s="300">
        <f>SAÍDAS!L37</f>
        <v>0</v>
      </c>
      <c r="L720" s="300">
        <f>SAÍDAS!M37</f>
        <v>0</v>
      </c>
      <c r="M720" s="300">
        <f>SAÍDAS!N37</f>
        <v>0</v>
      </c>
      <c r="N720" s="300">
        <f>SAÍDAS!O37</f>
        <v>0</v>
      </c>
      <c r="O720" s="300">
        <f>SAÍDAS!P37</f>
        <v>0</v>
      </c>
      <c r="P720" s="224"/>
      <c r="Q720" s="678"/>
    </row>
    <row r="721" spans="1:17" hidden="1" x14ac:dyDescent="0.25">
      <c r="A721" s="670"/>
      <c r="B721" s="739" t="str">
        <f>SAÍDAS!C38</f>
        <v>Alimentação</v>
      </c>
      <c r="C721" s="300">
        <f t="shared" si="202"/>
        <v>0</v>
      </c>
      <c r="D721" s="300">
        <f>SAÍDAS!E38</f>
        <v>0</v>
      </c>
      <c r="E721" s="300">
        <f>SAÍDAS!F38</f>
        <v>0</v>
      </c>
      <c r="F721" s="300">
        <f>SAÍDAS!G38</f>
        <v>0</v>
      </c>
      <c r="G721" s="300">
        <f>SAÍDAS!H38</f>
        <v>0</v>
      </c>
      <c r="H721" s="300">
        <f>SAÍDAS!I38</f>
        <v>0</v>
      </c>
      <c r="I721" s="300">
        <f>SAÍDAS!J38</f>
        <v>0</v>
      </c>
      <c r="J721" s="300">
        <f>SAÍDAS!K38</f>
        <v>0</v>
      </c>
      <c r="K721" s="300">
        <f>SAÍDAS!L38</f>
        <v>0</v>
      </c>
      <c r="L721" s="300">
        <f>SAÍDAS!M38</f>
        <v>0</v>
      </c>
      <c r="M721" s="300">
        <f>SAÍDAS!N38</f>
        <v>0</v>
      </c>
      <c r="N721" s="300">
        <f>SAÍDAS!O38</f>
        <v>0</v>
      </c>
      <c r="O721" s="300">
        <f>SAÍDAS!P38</f>
        <v>0</v>
      </c>
      <c r="P721" s="224"/>
      <c r="Q721" s="678"/>
    </row>
    <row r="722" spans="1:17" hidden="1" x14ac:dyDescent="0.25">
      <c r="A722" s="670"/>
      <c r="B722" s="739" t="str">
        <f>SAÍDAS!C39</f>
        <v>Alimentação</v>
      </c>
      <c r="C722" s="300">
        <f t="shared" si="202"/>
        <v>0</v>
      </c>
      <c r="D722" s="300">
        <f>SAÍDAS!E39</f>
        <v>0</v>
      </c>
      <c r="E722" s="300">
        <f>SAÍDAS!F39</f>
        <v>0</v>
      </c>
      <c r="F722" s="300">
        <f>SAÍDAS!G39</f>
        <v>0</v>
      </c>
      <c r="G722" s="300">
        <f>SAÍDAS!H39</f>
        <v>0</v>
      </c>
      <c r="H722" s="300">
        <f>SAÍDAS!I39</f>
        <v>0</v>
      </c>
      <c r="I722" s="300">
        <f>SAÍDAS!J39</f>
        <v>0</v>
      </c>
      <c r="J722" s="300">
        <f>SAÍDAS!K39</f>
        <v>0</v>
      </c>
      <c r="K722" s="300">
        <f>SAÍDAS!L39</f>
        <v>0</v>
      </c>
      <c r="L722" s="300">
        <f>SAÍDAS!M39</f>
        <v>0</v>
      </c>
      <c r="M722" s="300">
        <f>SAÍDAS!N39</f>
        <v>0</v>
      </c>
      <c r="N722" s="300">
        <f>SAÍDAS!O39</f>
        <v>0</v>
      </c>
      <c r="O722" s="300">
        <f>SAÍDAS!P39</f>
        <v>0</v>
      </c>
      <c r="P722" s="224"/>
      <c r="Q722" s="678"/>
    </row>
    <row r="723" spans="1:17" hidden="1" x14ac:dyDescent="0.25">
      <c r="A723" s="670"/>
      <c r="B723" s="739" t="str">
        <f>SAÍDAS!C40</f>
        <v>Alimentação</v>
      </c>
      <c r="C723" s="300">
        <f t="shared" si="202"/>
        <v>0</v>
      </c>
      <c r="D723" s="300">
        <f>SAÍDAS!E40</f>
        <v>0</v>
      </c>
      <c r="E723" s="300">
        <f>SAÍDAS!F40</f>
        <v>0</v>
      </c>
      <c r="F723" s="300">
        <f>SAÍDAS!G40</f>
        <v>0</v>
      </c>
      <c r="G723" s="300">
        <f>SAÍDAS!H40</f>
        <v>0</v>
      </c>
      <c r="H723" s="300">
        <f>SAÍDAS!I40</f>
        <v>0</v>
      </c>
      <c r="I723" s="300">
        <f>SAÍDAS!J40</f>
        <v>0</v>
      </c>
      <c r="J723" s="300">
        <f>SAÍDAS!K40</f>
        <v>0</v>
      </c>
      <c r="K723" s="300">
        <f>SAÍDAS!L40</f>
        <v>0</v>
      </c>
      <c r="L723" s="300">
        <f>SAÍDAS!M40</f>
        <v>0</v>
      </c>
      <c r="M723" s="300">
        <f>SAÍDAS!N40</f>
        <v>0</v>
      </c>
      <c r="N723" s="300">
        <f>SAÍDAS!O40</f>
        <v>0</v>
      </c>
      <c r="O723" s="300">
        <f>SAÍDAS!P40</f>
        <v>0</v>
      </c>
      <c r="P723" s="224"/>
      <c r="Q723" s="678"/>
    </row>
    <row r="724" spans="1:17" hidden="1" x14ac:dyDescent="0.25">
      <c r="A724" s="670"/>
      <c r="B724" s="739" t="str">
        <f>SAÍDAS!C41</f>
        <v>Alimentação</v>
      </c>
      <c r="C724" s="300">
        <f t="shared" si="202"/>
        <v>0</v>
      </c>
      <c r="D724" s="300">
        <f>SAÍDAS!E41</f>
        <v>0</v>
      </c>
      <c r="E724" s="300">
        <f>SAÍDAS!F41</f>
        <v>0</v>
      </c>
      <c r="F724" s="300">
        <f>SAÍDAS!G41</f>
        <v>0</v>
      </c>
      <c r="G724" s="300">
        <f>SAÍDAS!H41</f>
        <v>0</v>
      </c>
      <c r="H724" s="300">
        <f>SAÍDAS!I41</f>
        <v>0</v>
      </c>
      <c r="I724" s="300">
        <f>SAÍDAS!J41</f>
        <v>0</v>
      </c>
      <c r="J724" s="300">
        <f>SAÍDAS!K41</f>
        <v>0</v>
      </c>
      <c r="K724" s="300">
        <f>SAÍDAS!L41</f>
        <v>0</v>
      </c>
      <c r="L724" s="300">
        <f>SAÍDAS!M41</f>
        <v>0</v>
      </c>
      <c r="M724" s="300">
        <f>SAÍDAS!N41</f>
        <v>0</v>
      </c>
      <c r="N724" s="300">
        <f>SAÍDAS!O41</f>
        <v>0</v>
      </c>
      <c r="O724" s="300">
        <f>SAÍDAS!P41</f>
        <v>0</v>
      </c>
      <c r="P724" s="224"/>
      <c r="Q724" s="678"/>
    </row>
    <row r="725" spans="1:17" hidden="1" x14ac:dyDescent="0.25">
      <c r="A725" s="670"/>
      <c r="B725" s="739" t="str">
        <f>SAÍDAS!C42</f>
        <v>Alimentação</v>
      </c>
      <c r="C725" s="300">
        <f t="shared" si="202"/>
        <v>0</v>
      </c>
      <c r="D725" s="300">
        <f>SAÍDAS!E42</f>
        <v>0</v>
      </c>
      <c r="E725" s="300">
        <f>SAÍDAS!F42</f>
        <v>0</v>
      </c>
      <c r="F725" s="300">
        <f>SAÍDAS!G42</f>
        <v>0</v>
      </c>
      <c r="G725" s="300">
        <f>SAÍDAS!H42</f>
        <v>0</v>
      </c>
      <c r="H725" s="300">
        <f>SAÍDAS!I42</f>
        <v>0</v>
      </c>
      <c r="I725" s="300">
        <f>SAÍDAS!J42</f>
        <v>0</v>
      </c>
      <c r="J725" s="300">
        <f>SAÍDAS!K42</f>
        <v>0</v>
      </c>
      <c r="K725" s="300">
        <f>SAÍDAS!L42</f>
        <v>0</v>
      </c>
      <c r="L725" s="300">
        <f>SAÍDAS!M42</f>
        <v>0</v>
      </c>
      <c r="M725" s="300">
        <f>SAÍDAS!N42</f>
        <v>0</v>
      </c>
      <c r="N725" s="300">
        <f>SAÍDAS!O42</f>
        <v>0</v>
      </c>
      <c r="O725" s="300">
        <f>SAÍDAS!P42</f>
        <v>0</v>
      </c>
      <c r="P725" s="224"/>
      <c r="Q725" s="678"/>
    </row>
    <row r="726" spans="1:17" hidden="1" x14ac:dyDescent="0.25">
      <c r="A726" s="670"/>
      <c r="B726" s="739" t="str">
        <f>SAÍDAS!C43</f>
        <v>Alimentação</v>
      </c>
      <c r="C726" s="300">
        <f t="shared" si="202"/>
        <v>0</v>
      </c>
      <c r="D726" s="300">
        <f>SAÍDAS!E43</f>
        <v>0</v>
      </c>
      <c r="E726" s="300">
        <f>SAÍDAS!F43</f>
        <v>0</v>
      </c>
      <c r="F726" s="300">
        <f>SAÍDAS!G43</f>
        <v>0</v>
      </c>
      <c r="G726" s="300">
        <f>SAÍDAS!H43</f>
        <v>0</v>
      </c>
      <c r="H726" s="300">
        <f>SAÍDAS!I43</f>
        <v>0</v>
      </c>
      <c r="I726" s="300">
        <f>SAÍDAS!J43</f>
        <v>0</v>
      </c>
      <c r="J726" s="300">
        <f>SAÍDAS!K43</f>
        <v>0</v>
      </c>
      <c r="K726" s="300">
        <f>SAÍDAS!L43</f>
        <v>0</v>
      </c>
      <c r="L726" s="300">
        <f>SAÍDAS!M43</f>
        <v>0</v>
      </c>
      <c r="M726" s="300">
        <f>SAÍDAS!N43</f>
        <v>0</v>
      </c>
      <c r="N726" s="300">
        <f>SAÍDAS!O43</f>
        <v>0</v>
      </c>
      <c r="O726" s="300">
        <f>SAÍDAS!P43</f>
        <v>0</v>
      </c>
      <c r="P726" s="224"/>
      <c r="Q726" s="678"/>
    </row>
    <row r="727" spans="1:17" hidden="1" x14ac:dyDescent="0.25">
      <c r="A727" s="670"/>
      <c r="B727" s="739" t="str">
        <f>SAÍDAS!C44</f>
        <v>Alimentação</v>
      </c>
      <c r="C727" s="300">
        <f t="shared" si="202"/>
        <v>0</v>
      </c>
      <c r="D727" s="300">
        <f>SAÍDAS!E44</f>
        <v>0</v>
      </c>
      <c r="E727" s="300">
        <f>SAÍDAS!F44</f>
        <v>0</v>
      </c>
      <c r="F727" s="300">
        <f>SAÍDAS!G44</f>
        <v>0</v>
      </c>
      <c r="G727" s="300">
        <f>SAÍDAS!H44</f>
        <v>0</v>
      </c>
      <c r="H727" s="300">
        <f>SAÍDAS!I44</f>
        <v>0</v>
      </c>
      <c r="I727" s="300">
        <f>SAÍDAS!J44</f>
        <v>0</v>
      </c>
      <c r="J727" s="300">
        <f>SAÍDAS!K44</f>
        <v>0</v>
      </c>
      <c r="K727" s="300">
        <f>SAÍDAS!L44</f>
        <v>0</v>
      </c>
      <c r="L727" s="300">
        <f>SAÍDAS!M44</f>
        <v>0</v>
      </c>
      <c r="M727" s="300">
        <f>SAÍDAS!N44</f>
        <v>0</v>
      </c>
      <c r="N727" s="300">
        <f>SAÍDAS!O44</f>
        <v>0</v>
      </c>
      <c r="O727" s="300">
        <f>SAÍDAS!P44</f>
        <v>0</v>
      </c>
      <c r="P727" s="224"/>
      <c r="Q727" s="678"/>
    </row>
    <row r="728" spans="1:17" hidden="1" x14ac:dyDescent="0.25">
      <c r="A728" s="670"/>
      <c r="B728" s="739" t="str">
        <f>SAÍDAS!C45</f>
        <v>Alimentação</v>
      </c>
      <c r="C728" s="300">
        <f t="shared" si="202"/>
        <v>7004.64</v>
      </c>
      <c r="D728" s="300">
        <f>SAÍDAS!E45</f>
        <v>0</v>
      </c>
      <c r="E728" s="300">
        <f>SAÍDAS!F45</f>
        <v>0</v>
      </c>
      <c r="F728" s="300">
        <f>SAÍDAS!G45</f>
        <v>1159.8800000000001</v>
      </c>
      <c r="G728" s="300">
        <f>SAÍDAS!H45</f>
        <v>1159.8800000000001</v>
      </c>
      <c r="H728" s="300">
        <f>SAÍDAS!I45</f>
        <v>1159.8800000000001</v>
      </c>
      <c r="I728" s="300">
        <f>SAÍDAS!J45</f>
        <v>1175</v>
      </c>
      <c r="J728" s="300">
        <f>SAÍDAS!K45</f>
        <v>1175</v>
      </c>
      <c r="K728" s="300">
        <f>SAÍDAS!L45</f>
        <v>1175</v>
      </c>
      <c r="L728" s="300">
        <f>SAÍDAS!M45</f>
        <v>0</v>
      </c>
      <c r="M728" s="300">
        <f>SAÍDAS!N45</f>
        <v>0</v>
      </c>
      <c r="N728" s="300">
        <f>SAÍDAS!O45</f>
        <v>0</v>
      </c>
      <c r="O728" s="300">
        <f>SAÍDAS!P45</f>
        <v>0</v>
      </c>
      <c r="P728" s="224"/>
      <c r="Q728" s="678"/>
    </row>
    <row r="729" spans="1:17" hidden="1" x14ac:dyDescent="0.25">
      <c r="A729" s="670"/>
      <c r="B729" s="739" t="str">
        <f>SAÍDAS!C46</f>
        <v>Manutenção de Forragem</v>
      </c>
      <c r="C729" s="300">
        <f t="shared" si="202"/>
        <v>0</v>
      </c>
      <c r="D729" s="300">
        <f>SAÍDAS!E46</f>
        <v>0</v>
      </c>
      <c r="E729" s="300">
        <f>SAÍDAS!F46</f>
        <v>0</v>
      </c>
      <c r="F729" s="300">
        <f>SAÍDAS!G46</f>
        <v>0</v>
      </c>
      <c r="G729" s="300">
        <f>SAÍDAS!H46</f>
        <v>0</v>
      </c>
      <c r="H729" s="300">
        <f>SAÍDAS!I46</f>
        <v>0</v>
      </c>
      <c r="I729" s="300">
        <f>SAÍDAS!J46</f>
        <v>0</v>
      </c>
      <c r="J729" s="300">
        <f>SAÍDAS!K46</f>
        <v>0</v>
      </c>
      <c r="K729" s="300">
        <f>SAÍDAS!L46</f>
        <v>0</v>
      </c>
      <c r="L729" s="300">
        <f>SAÍDAS!M46</f>
        <v>0</v>
      </c>
      <c r="M729" s="300">
        <f>SAÍDAS!N46</f>
        <v>0</v>
      </c>
      <c r="N729" s="300">
        <f>SAÍDAS!O46</f>
        <v>0</v>
      </c>
      <c r="O729" s="300">
        <f>SAÍDAS!P46</f>
        <v>0</v>
      </c>
      <c r="P729" s="224"/>
      <c r="Q729" s="678"/>
    </row>
    <row r="730" spans="1:17" hidden="1" x14ac:dyDescent="0.25">
      <c r="A730" s="670"/>
      <c r="B730" s="739" t="str">
        <f>SAÍDAS!C47</f>
        <v>Manutenção de Forragem</v>
      </c>
      <c r="C730" s="300">
        <f t="shared" si="202"/>
        <v>0</v>
      </c>
      <c r="D730" s="300">
        <f>SAÍDAS!E47</f>
        <v>0</v>
      </c>
      <c r="E730" s="300">
        <f>SAÍDAS!F47</f>
        <v>0</v>
      </c>
      <c r="F730" s="300">
        <f>SAÍDAS!G47</f>
        <v>0</v>
      </c>
      <c r="G730" s="300">
        <f>SAÍDAS!H47</f>
        <v>0</v>
      </c>
      <c r="H730" s="300">
        <f>SAÍDAS!I47</f>
        <v>0</v>
      </c>
      <c r="I730" s="300">
        <f>SAÍDAS!J47</f>
        <v>0</v>
      </c>
      <c r="J730" s="300">
        <f>SAÍDAS!K47</f>
        <v>0</v>
      </c>
      <c r="K730" s="300">
        <f>SAÍDAS!L47</f>
        <v>0</v>
      </c>
      <c r="L730" s="300">
        <f>SAÍDAS!M47</f>
        <v>0</v>
      </c>
      <c r="M730" s="300">
        <f>SAÍDAS!N47</f>
        <v>0</v>
      </c>
      <c r="N730" s="300">
        <f>SAÍDAS!O47</f>
        <v>0</v>
      </c>
      <c r="O730" s="300">
        <f>SAÍDAS!P47</f>
        <v>0</v>
      </c>
      <c r="P730" s="224"/>
      <c r="Q730" s="678"/>
    </row>
    <row r="731" spans="1:17" hidden="1" x14ac:dyDescent="0.25">
      <c r="A731" s="670"/>
      <c r="B731" s="739" t="str">
        <f>SAÍDAS!C48</f>
        <v>Manutenção de Forragem</v>
      </c>
      <c r="C731" s="300">
        <f t="shared" si="202"/>
        <v>2555.61</v>
      </c>
      <c r="D731" s="300">
        <f>SAÍDAS!E48</f>
        <v>2245.61</v>
      </c>
      <c r="E731" s="300">
        <f>SAÍDAS!F48</f>
        <v>0</v>
      </c>
      <c r="F731" s="300">
        <f>SAÍDAS!G48</f>
        <v>310</v>
      </c>
      <c r="G731" s="300">
        <f>SAÍDAS!H48</f>
        <v>0</v>
      </c>
      <c r="H731" s="300">
        <f>SAÍDAS!I48</f>
        <v>0</v>
      </c>
      <c r="I731" s="300">
        <f>SAÍDAS!J48</f>
        <v>0</v>
      </c>
      <c r="J731" s="300">
        <f>SAÍDAS!K48</f>
        <v>0</v>
      </c>
      <c r="K731" s="300">
        <f>SAÍDAS!L48</f>
        <v>0</v>
      </c>
      <c r="L731" s="300">
        <f>SAÍDAS!M48</f>
        <v>0</v>
      </c>
      <c r="M731" s="300">
        <f>SAÍDAS!N48</f>
        <v>0</v>
      </c>
      <c r="N731" s="300">
        <f>SAÍDAS!O48</f>
        <v>0</v>
      </c>
      <c r="O731" s="300">
        <f>SAÍDAS!P48</f>
        <v>0</v>
      </c>
      <c r="P731" s="224"/>
      <c r="Q731" s="678"/>
    </row>
    <row r="732" spans="1:17" hidden="1" x14ac:dyDescent="0.25">
      <c r="A732" s="670"/>
      <c r="B732" s="739" t="str">
        <f>SAÍDAS!C49</f>
        <v>Manutenção de Forragem</v>
      </c>
      <c r="C732" s="300">
        <f t="shared" si="202"/>
        <v>0</v>
      </c>
      <c r="D732" s="300">
        <f>SAÍDAS!E49</f>
        <v>0</v>
      </c>
      <c r="E732" s="300">
        <f>SAÍDAS!F49</f>
        <v>0</v>
      </c>
      <c r="F732" s="300">
        <f>SAÍDAS!G49</f>
        <v>0</v>
      </c>
      <c r="G732" s="300">
        <f>SAÍDAS!H49</f>
        <v>0</v>
      </c>
      <c r="H732" s="300">
        <f>SAÍDAS!I49</f>
        <v>0</v>
      </c>
      <c r="I732" s="300">
        <f>SAÍDAS!J49</f>
        <v>0</v>
      </c>
      <c r="J732" s="300">
        <f>SAÍDAS!K49</f>
        <v>0</v>
      </c>
      <c r="K732" s="300">
        <f>SAÍDAS!L49</f>
        <v>0</v>
      </c>
      <c r="L732" s="300">
        <f>SAÍDAS!M49</f>
        <v>0</v>
      </c>
      <c r="M732" s="300">
        <f>SAÍDAS!N49</f>
        <v>0</v>
      </c>
      <c r="N732" s="300">
        <f>SAÍDAS!O49</f>
        <v>0</v>
      </c>
      <c r="O732" s="300">
        <f>SAÍDAS!P49</f>
        <v>0</v>
      </c>
      <c r="P732" s="224"/>
      <c r="Q732" s="678"/>
    </row>
    <row r="733" spans="1:17" hidden="1" x14ac:dyDescent="0.25">
      <c r="A733" s="670"/>
      <c r="B733" s="739" t="str">
        <f>SAÍDAS!C50</f>
        <v>Reprodução</v>
      </c>
      <c r="C733" s="300">
        <f t="shared" si="202"/>
        <v>0</v>
      </c>
      <c r="D733" s="300">
        <f>SAÍDAS!E50</f>
        <v>0</v>
      </c>
      <c r="E733" s="300">
        <f>SAÍDAS!F50</f>
        <v>0</v>
      </c>
      <c r="F733" s="300">
        <f>SAÍDAS!G50</f>
        <v>0</v>
      </c>
      <c r="G733" s="300">
        <f>SAÍDAS!H50</f>
        <v>0</v>
      </c>
      <c r="H733" s="300">
        <f>SAÍDAS!I50</f>
        <v>0</v>
      </c>
      <c r="I733" s="300">
        <f>SAÍDAS!J50</f>
        <v>0</v>
      </c>
      <c r="J733" s="300">
        <f>SAÍDAS!K50</f>
        <v>0</v>
      </c>
      <c r="K733" s="300">
        <f>SAÍDAS!L50</f>
        <v>0</v>
      </c>
      <c r="L733" s="300">
        <f>SAÍDAS!M50</f>
        <v>0</v>
      </c>
      <c r="M733" s="300">
        <f>SAÍDAS!N50</f>
        <v>0</v>
      </c>
      <c r="N733" s="300">
        <f>SAÍDAS!O50</f>
        <v>0</v>
      </c>
      <c r="O733" s="300">
        <f>SAÍDAS!P50</f>
        <v>0</v>
      </c>
      <c r="P733" s="224"/>
      <c r="Q733" s="678"/>
    </row>
    <row r="734" spans="1:17" hidden="1" x14ac:dyDescent="0.25">
      <c r="A734" s="670"/>
      <c r="B734" s="739" t="str">
        <f>SAÍDAS!C51</f>
        <v>Reprodução</v>
      </c>
      <c r="C734" s="300">
        <f t="shared" si="202"/>
        <v>0</v>
      </c>
      <c r="D734" s="300">
        <f>SAÍDAS!E51</f>
        <v>0</v>
      </c>
      <c r="E734" s="300">
        <f>SAÍDAS!F51</f>
        <v>0</v>
      </c>
      <c r="F734" s="300">
        <f>SAÍDAS!G51</f>
        <v>0</v>
      </c>
      <c r="G734" s="300">
        <f>SAÍDAS!H51</f>
        <v>0</v>
      </c>
      <c r="H734" s="300">
        <f>SAÍDAS!I51</f>
        <v>0</v>
      </c>
      <c r="I734" s="300">
        <f>SAÍDAS!J51</f>
        <v>0</v>
      </c>
      <c r="J734" s="300">
        <f>SAÍDAS!K51</f>
        <v>0</v>
      </c>
      <c r="K734" s="300">
        <f>SAÍDAS!L51</f>
        <v>0</v>
      </c>
      <c r="L734" s="300">
        <f>SAÍDAS!M51</f>
        <v>0</v>
      </c>
      <c r="M734" s="300">
        <f>SAÍDAS!N51</f>
        <v>0</v>
      </c>
      <c r="N734" s="300">
        <f>SAÍDAS!O51</f>
        <v>0</v>
      </c>
      <c r="O734" s="300">
        <f>SAÍDAS!P51</f>
        <v>0</v>
      </c>
      <c r="P734" s="224"/>
      <c r="Q734" s="678"/>
    </row>
    <row r="735" spans="1:17" hidden="1" x14ac:dyDescent="0.25">
      <c r="A735" s="670"/>
      <c r="B735" s="739" t="str">
        <f>SAÍDAS!C52</f>
        <v>Sanidade</v>
      </c>
      <c r="C735" s="300">
        <f t="shared" si="202"/>
        <v>6099.8</v>
      </c>
      <c r="D735" s="300">
        <f>SAÍDAS!E52</f>
        <v>443</v>
      </c>
      <c r="E735" s="300">
        <f>SAÍDAS!F52</f>
        <v>1001.1</v>
      </c>
      <c r="F735" s="300">
        <f>SAÍDAS!G52</f>
        <v>333.2</v>
      </c>
      <c r="G735" s="300">
        <f>SAÍDAS!H52</f>
        <v>1898</v>
      </c>
      <c r="H735" s="300">
        <f>SAÍDAS!I52</f>
        <v>498.8</v>
      </c>
      <c r="I735" s="300">
        <f>SAÍDAS!J52</f>
        <v>1378.9</v>
      </c>
      <c r="J735" s="300">
        <f>SAÍDAS!K52</f>
        <v>167.8</v>
      </c>
      <c r="K735" s="300">
        <f>SAÍDAS!L52</f>
        <v>379</v>
      </c>
      <c r="L735" s="300">
        <f>SAÍDAS!M52</f>
        <v>0</v>
      </c>
      <c r="M735" s="300">
        <f>SAÍDAS!N52</f>
        <v>0</v>
      </c>
      <c r="N735" s="300">
        <f>SAÍDAS!O52</f>
        <v>0</v>
      </c>
      <c r="O735" s="300">
        <f>SAÍDAS!P52</f>
        <v>0</v>
      </c>
      <c r="P735" s="224"/>
      <c r="Q735" s="678"/>
    </row>
    <row r="736" spans="1:17" hidden="1" x14ac:dyDescent="0.25">
      <c r="A736" s="670"/>
      <c r="B736" s="739" t="str">
        <f>SAÍDAS!C53</f>
        <v>Sanidade</v>
      </c>
      <c r="C736" s="300">
        <f t="shared" si="202"/>
        <v>0</v>
      </c>
      <c r="D736" s="300">
        <f>SAÍDAS!E53</f>
        <v>0</v>
      </c>
      <c r="E736" s="300">
        <f>SAÍDAS!F53</f>
        <v>0</v>
      </c>
      <c r="F736" s="300">
        <f>SAÍDAS!G53</f>
        <v>0</v>
      </c>
      <c r="G736" s="300">
        <f>SAÍDAS!H53</f>
        <v>0</v>
      </c>
      <c r="H736" s="300">
        <f>SAÍDAS!I53</f>
        <v>0</v>
      </c>
      <c r="I736" s="300">
        <f>SAÍDAS!J53</f>
        <v>0</v>
      </c>
      <c r="J736" s="300">
        <f>SAÍDAS!K53</f>
        <v>0</v>
      </c>
      <c r="K736" s="300">
        <f>SAÍDAS!L53</f>
        <v>0</v>
      </c>
      <c r="L736" s="300">
        <f>SAÍDAS!M53</f>
        <v>0</v>
      </c>
      <c r="M736" s="300">
        <f>SAÍDAS!N53</f>
        <v>0</v>
      </c>
      <c r="N736" s="300">
        <f>SAÍDAS!O53</f>
        <v>0</v>
      </c>
      <c r="O736" s="300">
        <f>SAÍDAS!P53</f>
        <v>0</v>
      </c>
      <c r="P736" s="224"/>
      <c r="Q736" s="678"/>
    </row>
    <row r="737" spans="1:17" hidden="1" x14ac:dyDescent="0.25">
      <c r="A737" s="670"/>
      <c r="B737" s="739" t="str">
        <f>SAÍDAS!C54</f>
        <v>Sanidade</v>
      </c>
      <c r="C737" s="300">
        <f t="shared" si="202"/>
        <v>0</v>
      </c>
      <c r="D737" s="300">
        <f>SAÍDAS!E54</f>
        <v>0</v>
      </c>
      <c r="E737" s="300">
        <f>SAÍDAS!F54</f>
        <v>0</v>
      </c>
      <c r="F737" s="300">
        <f>SAÍDAS!G54</f>
        <v>0</v>
      </c>
      <c r="G737" s="300">
        <f>SAÍDAS!H54</f>
        <v>0</v>
      </c>
      <c r="H737" s="300">
        <f>SAÍDAS!I54</f>
        <v>0</v>
      </c>
      <c r="I737" s="300">
        <f>SAÍDAS!J54</f>
        <v>0</v>
      </c>
      <c r="J737" s="300">
        <f>SAÍDAS!K54</f>
        <v>0</v>
      </c>
      <c r="K737" s="300">
        <f>SAÍDAS!L54</f>
        <v>0</v>
      </c>
      <c r="L737" s="300">
        <f>SAÍDAS!M54</f>
        <v>0</v>
      </c>
      <c r="M737" s="300">
        <f>SAÍDAS!N54</f>
        <v>0</v>
      </c>
      <c r="N737" s="300">
        <f>SAÍDAS!O54</f>
        <v>0</v>
      </c>
      <c r="O737" s="300">
        <f>SAÍDAS!P54</f>
        <v>0</v>
      </c>
      <c r="P737" s="224"/>
      <c r="Q737" s="678"/>
    </row>
    <row r="738" spans="1:17" hidden="1" x14ac:dyDescent="0.25">
      <c r="A738" s="670"/>
      <c r="B738" s="739" t="str">
        <f>SAÍDAS!C55</f>
        <v>Manutenção de Máquinas e Instalações</v>
      </c>
      <c r="C738" s="300">
        <f t="shared" si="202"/>
        <v>2052.6</v>
      </c>
      <c r="D738" s="300">
        <f>SAÍDAS!E55</f>
        <v>352.6</v>
      </c>
      <c r="E738" s="300">
        <f>SAÍDAS!F55</f>
        <v>0</v>
      </c>
      <c r="F738" s="300">
        <f>SAÍDAS!G55</f>
        <v>0</v>
      </c>
      <c r="G738" s="300">
        <f>SAÍDAS!H55</f>
        <v>1700</v>
      </c>
      <c r="H738" s="300">
        <f>SAÍDAS!I55</f>
        <v>0</v>
      </c>
      <c r="I738" s="300">
        <f>SAÍDAS!J55</f>
        <v>0</v>
      </c>
      <c r="J738" s="300">
        <f>SAÍDAS!K55</f>
        <v>0</v>
      </c>
      <c r="K738" s="300">
        <f>SAÍDAS!L55</f>
        <v>0</v>
      </c>
      <c r="L738" s="300">
        <f>SAÍDAS!M55</f>
        <v>0</v>
      </c>
      <c r="M738" s="300">
        <f>SAÍDAS!N55</f>
        <v>0</v>
      </c>
      <c r="N738" s="300">
        <f>SAÍDAS!O55</f>
        <v>0</v>
      </c>
      <c r="O738" s="300">
        <f>SAÍDAS!P55</f>
        <v>0</v>
      </c>
      <c r="P738" s="224"/>
      <c r="Q738" s="678"/>
    </row>
    <row r="739" spans="1:17" hidden="1" x14ac:dyDescent="0.25">
      <c r="A739" s="670"/>
      <c r="B739" s="739" t="str">
        <f>SAÍDAS!C56</f>
        <v>Combustível e Energia</v>
      </c>
      <c r="C739" s="300">
        <f t="shared" si="202"/>
        <v>7149.3099999999995</v>
      </c>
      <c r="D739" s="300">
        <f>SAÍDAS!E56</f>
        <v>1092.25</v>
      </c>
      <c r="E739" s="300">
        <f>SAÍDAS!F56</f>
        <v>1163</v>
      </c>
      <c r="F739" s="300">
        <f>SAÍDAS!G56</f>
        <v>1026</v>
      </c>
      <c r="G739" s="300">
        <f>SAÍDAS!H56</f>
        <v>1870.5</v>
      </c>
      <c r="H739" s="300">
        <f>SAÍDAS!I56</f>
        <v>710</v>
      </c>
      <c r="I739" s="300">
        <f>SAÍDAS!J56</f>
        <v>1086.33</v>
      </c>
      <c r="J739" s="300">
        <f>SAÍDAS!K56</f>
        <v>201.23</v>
      </c>
      <c r="K739" s="300">
        <f>SAÍDAS!L56</f>
        <v>0</v>
      </c>
      <c r="L739" s="300">
        <f>SAÍDAS!M56</f>
        <v>0</v>
      </c>
      <c r="M739" s="300">
        <f>SAÍDAS!N56</f>
        <v>0</v>
      </c>
      <c r="N739" s="300">
        <f>SAÍDAS!O56</f>
        <v>0</v>
      </c>
      <c r="O739" s="300">
        <f>SAÍDAS!P56</f>
        <v>0</v>
      </c>
      <c r="P739" s="224"/>
      <c r="Q739" s="678"/>
    </row>
    <row r="740" spans="1:17" hidden="1" x14ac:dyDescent="0.25">
      <c r="A740" s="670"/>
      <c r="B740" s="739" t="str">
        <f>SAÍDAS!C57</f>
        <v>Serviços Terceirizados</v>
      </c>
      <c r="C740" s="300">
        <f t="shared" si="202"/>
        <v>0</v>
      </c>
      <c r="D740" s="300">
        <f>SAÍDAS!E57</f>
        <v>0</v>
      </c>
      <c r="E740" s="300">
        <f>SAÍDAS!F57</f>
        <v>0</v>
      </c>
      <c r="F740" s="300">
        <f>SAÍDAS!G57</f>
        <v>0</v>
      </c>
      <c r="G740" s="300">
        <f>SAÍDAS!H57</f>
        <v>0</v>
      </c>
      <c r="H740" s="300">
        <f>SAÍDAS!I57</f>
        <v>0</v>
      </c>
      <c r="I740" s="300">
        <f>SAÍDAS!J57</f>
        <v>0</v>
      </c>
      <c r="J740" s="300">
        <f>SAÍDAS!K57</f>
        <v>0</v>
      </c>
      <c r="K740" s="300">
        <f>SAÍDAS!L57</f>
        <v>0</v>
      </c>
      <c r="L740" s="300">
        <f>SAÍDAS!M57</f>
        <v>0</v>
      </c>
      <c r="M740" s="300">
        <f>SAÍDAS!N57</f>
        <v>0</v>
      </c>
      <c r="N740" s="300">
        <f>SAÍDAS!O57</f>
        <v>0</v>
      </c>
      <c r="O740" s="300">
        <f>SAÍDAS!P57</f>
        <v>0</v>
      </c>
      <c r="P740" s="224"/>
      <c r="Q740" s="678"/>
    </row>
    <row r="741" spans="1:17" hidden="1" x14ac:dyDescent="0.25">
      <c r="A741" s="670"/>
      <c r="B741" s="739" t="str">
        <f>SAÍDAS!C58</f>
        <v>Manutenção de Máquinas e Instalações</v>
      </c>
      <c r="C741" s="300">
        <f t="shared" si="202"/>
        <v>2328.85</v>
      </c>
      <c r="D741" s="300">
        <f>SAÍDAS!E58</f>
        <v>280</v>
      </c>
      <c r="E741" s="300">
        <f>SAÍDAS!F58</f>
        <v>75</v>
      </c>
      <c r="F741" s="300">
        <f>SAÍDAS!G58</f>
        <v>462.2</v>
      </c>
      <c r="G741" s="300">
        <f>SAÍDAS!H58</f>
        <v>248</v>
      </c>
      <c r="H741" s="300">
        <f>SAÍDAS!I58</f>
        <v>150</v>
      </c>
      <c r="I741" s="300">
        <f>SAÍDAS!J58</f>
        <v>514.65</v>
      </c>
      <c r="J741" s="300">
        <f>SAÍDAS!K58</f>
        <v>220</v>
      </c>
      <c r="K741" s="300">
        <f>SAÍDAS!L58</f>
        <v>379</v>
      </c>
      <c r="L741" s="300">
        <f>SAÍDAS!M58</f>
        <v>0</v>
      </c>
      <c r="M741" s="300">
        <f>SAÍDAS!N58</f>
        <v>0</v>
      </c>
      <c r="N741" s="300">
        <f>SAÍDAS!O58</f>
        <v>0</v>
      </c>
      <c r="O741" s="300">
        <f>SAÍDAS!P58</f>
        <v>0</v>
      </c>
      <c r="P741" s="224"/>
      <c r="Q741" s="678"/>
    </row>
    <row r="742" spans="1:17" hidden="1" x14ac:dyDescent="0.25">
      <c r="A742" s="670"/>
      <c r="B742" s="739" t="str">
        <f>SAÍDAS!C59</f>
        <v>Manutenção de Máquinas e Instalações</v>
      </c>
      <c r="C742" s="300">
        <f t="shared" si="202"/>
        <v>2909.49</v>
      </c>
      <c r="D742" s="300">
        <f>SAÍDAS!E59</f>
        <v>0</v>
      </c>
      <c r="E742" s="300">
        <f>SAÍDAS!F59</f>
        <v>0</v>
      </c>
      <c r="F742" s="300">
        <f>SAÍDAS!G59</f>
        <v>583.9</v>
      </c>
      <c r="G742" s="300">
        <f>SAÍDAS!H59</f>
        <v>723.3</v>
      </c>
      <c r="H742" s="300">
        <f>SAÍDAS!I59</f>
        <v>503.95000000000005</v>
      </c>
      <c r="I742" s="300">
        <f>SAÍDAS!J59</f>
        <v>396.2</v>
      </c>
      <c r="J742" s="300">
        <f>SAÍDAS!K59</f>
        <v>702.14</v>
      </c>
      <c r="K742" s="300">
        <f>SAÍDAS!L59</f>
        <v>0</v>
      </c>
      <c r="L742" s="300">
        <f>SAÍDAS!M59</f>
        <v>0</v>
      </c>
      <c r="M742" s="300">
        <f>SAÍDAS!N59</f>
        <v>0</v>
      </c>
      <c r="N742" s="300">
        <f>SAÍDAS!O59</f>
        <v>0</v>
      </c>
      <c r="O742" s="300">
        <f>SAÍDAS!P59</f>
        <v>0</v>
      </c>
      <c r="P742" s="224"/>
      <c r="Q742" s="678"/>
    </row>
    <row r="743" spans="1:17" hidden="1" x14ac:dyDescent="0.25">
      <c r="A743" s="670"/>
      <c r="B743" s="739" t="str">
        <f>SAÍDAS!C60</f>
        <v>Combustível e Energia</v>
      </c>
      <c r="C743" s="300">
        <f t="shared" si="202"/>
        <v>309.95</v>
      </c>
      <c r="D743" s="300">
        <f>SAÍDAS!E60</f>
        <v>54.01</v>
      </c>
      <c r="E743" s="300">
        <f>SAÍDAS!F60</f>
        <v>37.04</v>
      </c>
      <c r="F743" s="300">
        <f>SAÍDAS!G60</f>
        <v>34.42</v>
      </c>
      <c r="G743" s="300">
        <f>SAÍDAS!H60</f>
        <v>34.86</v>
      </c>
      <c r="H743" s="300">
        <f>SAÍDAS!I60</f>
        <v>33.590000000000003</v>
      </c>
      <c r="I743" s="300">
        <f>SAÍDAS!J60</f>
        <v>39.24</v>
      </c>
      <c r="J743" s="300">
        <f>SAÍDAS!K60</f>
        <v>35.08</v>
      </c>
      <c r="K743" s="300">
        <f>SAÍDAS!L60</f>
        <v>41.71</v>
      </c>
      <c r="L743" s="300">
        <f>SAÍDAS!M60</f>
        <v>0</v>
      </c>
      <c r="M743" s="300">
        <f>SAÍDAS!N60</f>
        <v>0</v>
      </c>
      <c r="N743" s="300">
        <f>SAÍDAS!O60</f>
        <v>0</v>
      </c>
      <c r="O743" s="300">
        <f>SAÍDAS!P60</f>
        <v>0</v>
      </c>
      <c r="P743" s="224"/>
      <c r="Q743" s="678"/>
    </row>
    <row r="744" spans="1:17" hidden="1" x14ac:dyDescent="0.25">
      <c r="A744" s="670"/>
      <c r="B744" s="739" t="str">
        <f>SAÍDAS!C61</f>
        <v>Tarifas e Impostos</v>
      </c>
      <c r="C744" s="300">
        <f t="shared" si="202"/>
        <v>0</v>
      </c>
      <c r="D744" s="300">
        <f>SAÍDAS!E61</f>
        <v>0</v>
      </c>
      <c r="E744" s="300">
        <f>SAÍDAS!F61</f>
        <v>0</v>
      </c>
      <c r="F744" s="300">
        <f>SAÍDAS!G61</f>
        <v>0</v>
      </c>
      <c r="G744" s="300">
        <f>SAÍDAS!H61</f>
        <v>0</v>
      </c>
      <c r="H744" s="300">
        <f>SAÍDAS!I61</f>
        <v>0</v>
      </c>
      <c r="I744" s="300">
        <f>SAÍDAS!J61</f>
        <v>0</v>
      </c>
      <c r="J744" s="300">
        <f>SAÍDAS!K61</f>
        <v>0</v>
      </c>
      <c r="K744" s="300">
        <f>SAÍDAS!L61</f>
        <v>0</v>
      </c>
      <c r="L744" s="300">
        <f>SAÍDAS!M61</f>
        <v>0</v>
      </c>
      <c r="M744" s="300">
        <f>SAÍDAS!N61</f>
        <v>0</v>
      </c>
      <c r="N744" s="300">
        <f>SAÍDAS!O61</f>
        <v>0</v>
      </c>
      <c r="O744" s="300">
        <f>SAÍDAS!P61</f>
        <v>0</v>
      </c>
      <c r="P744" s="224"/>
      <c r="Q744" s="678"/>
    </row>
    <row r="745" spans="1:17" hidden="1" x14ac:dyDescent="0.25">
      <c r="A745" s="670"/>
      <c r="B745" s="739" t="str">
        <f>SAÍDAS!C62</f>
        <v>Tarifas e Impostos</v>
      </c>
      <c r="C745" s="300">
        <f t="shared" si="202"/>
        <v>70.650000000000006</v>
      </c>
      <c r="D745" s="300">
        <f>SAÍDAS!E62</f>
        <v>0</v>
      </c>
      <c r="E745" s="300">
        <f>SAÍDAS!F62</f>
        <v>0</v>
      </c>
      <c r="F745" s="300">
        <f>SAÍDAS!G62</f>
        <v>0</v>
      </c>
      <c r="G745" s="300">
        <f>SAÍDAS!H62</f>
        <v>56.52</v>
      </c>
      <c r="H745" s="300">
        <f>SAÍDAS!I62</f>
        <v>14.13</v>
      </c>
      <c r="I745" s="300">
        <f>SAÍDAS!J62</f>
        <v>0</v>
      </c>
      <c r="J745" s="300">
        <f>SAÍDAS!K62</f>
        <v>0</v>
      </c>
      <c r="K745" s="300">
        <f>SAÍDAS!L62</f>
        <v>0</v>
      </c>
      <c r="L745" s="300">
        <f>SAÍDAS!M62</f>
        <v>0</v>
      </c>
      <c r="M745" s="300">
        <f>SAÍDAS!N62</f>
        <v>0</v>
      </c>
      <c r="N745" s="300">
        <f>SAÍDAS!O62</f>
        <v>0</v>
      </c>
      <c r="O745" s="300">
        <f>SAÍDAS!P62</f>
        <v>0</v>
      </c>
      <c r="P745" s="224"/>
      <c r="Q745" s="678"/>
    </row>
    <row r="746" spans="1:17" hidden="1" x14ac:dyDescent="0.25">
      <c r="A746" s="670"/>
      <c r="B746" s="739" t="str">
        <f>SAÍDAS!C63</f>
        <v>Tarifas e Impostos</v>
      </c>
      <c r="C746" s="300">
        <f t="shared" si="202"/>
        <v>0</v>
      </c>
      <c r="D746" s="300">
        <f>SAÍDAS!E63</f>
        <v>0</v>
      </c>
      <c r="E746" s="300">
        <f>SAÍDAS!F63</f>
        <v>0</v>
      </c>
      <c r="F746" s="300">
        <f>SAÍDAS!G63</f>
        <v>0</v>
      </c>
      <c r="G746" s="300">
        <f>SAÍDAS!H63</f>
        <v>0</v>
      </c>
      <c r="H746" s="300">
        <f>SAÍDAS!I63</f>
        <v>0</v>
      </c>
      <c r="I746" s="300">
        <f>SAÍDAS!J63</f>
        <v>0</v>
      </c>
      <c r="J746" s="300">
        <f>SAÍDAS!K63</f>
        <v>0</v>
      </c>
      <c r="K746" s="300">
        <f>SAÍDAS!L63</f>
        <v>0</v>
      </c>
      <c r="L746" s="300">
        <f>SAÍDAS!M63</f>
        <v>0</v>
      </c>
      <c r="M746" s="300">
        <f>SAÍDAS!N63</f>
        <v>0</v>
      </c>
      <c r="N746" s="300">
        <f>SAÍDAS!O63</f>
        <v>0</v>
      </c>
      <c r="O746" s="300">
        <f>SAÍDAS!P63</f>
        <v>0</v>
      </c>
      <c r="P746" s="224"/>
      <c r="Q746" s="678"/>
    </row>
    <row r="747" spans="1:17" hidden="1" x14ac:dyDescent="0.25">
      <c r="A747" s="670"/>
      <c r="B747" s="739" t="str">
        <f>SAÍDAS!C64</f>
        <v>Tarifas e Impostos</v>
      </c>
      <c r="C747" s="300">
        <f t="shared" si="202"/>
        <v>0</v>
      </c>
      <c r="D747" s="300">
        <f>SAÍDAS!E64</f>
        <v>0</v>
      </c>
      <c r="E747" s="300">
        <f>SAÍDAS!F64</f>
        <v>0</v>
      </c>
      <c r="F747" s="300">
        <f>SAÍDAS!G64</f>
        <v>0</v>
      </c>
      <c r="G747" s="300">
        <f>SAÍDAS!H64</f>
        <v>0</v>
      </c>
      <c r="H747" s="300">
        <f>SAÍDAS!I64</f>
        <v>0</v>
      </c>
      <c r="I747" s="300">
        <f>SAÍDAS!J64</f>
        <v>0</v>
      </c>
      <c r="J747" s="300">
        <f>SAÍDAS!K64</f>
        <v>0</v>
      </c>
      <c r="K747" s="300">
        <f>SAÍDAS!L64</f>
        <v>0</v>
      </c>
      <c r="L747" s="300">
        <f>SAÍDAS!M64</f>
        <v>0</v>
      </c>
      <c r="M747" s="300">
        <f>SAÍDAS!N64</f>
        <v>0</v>
      </c>
      <c r="N747" s="300">
        <f>SAÍDAS!O64</f>
        <v>0</v>
      </c>
      <c r="O747" s="300">
        <f>SAÍDAS!P64</f>
        <v>0</v>
      </c>
      <c r="P747" s="224"/>
      <c r="Q747" s="678"/>
    </row>
    <row r="748" spans="1:17" hidden="1" x14ac:dyDescent="0.25">
      <c r="A748" s="670"/>
      <c r="B748" s="739" t="str">
        <f>SAÍDAS!C65</f>
        <v>Outros</v>
      </c>
      <c r="C748" s="300">
        <f t="shared" si="202"/>
        <v>150</v>
      </c>
      <c r="D748" s="300">
        <f>SAÍDAS!E65</f>
        <v>150</v>
      </c>
      <c r="E748" s="300">
        <f>SAÍDAS!F65</f>
        <v>0</v>
      </c>
      <c r="F748" s="300">
        <f>SAÍDAS!G65</f>
        <v>0</v>
      </c>
      <c r="G748" s="300">
        <f>SAÍDAS!H65</f>
        <v>0</v>
      </c>
      <c r="H748" s="300">
        <f>SAÍDAS!I65</f>
        <v>0</v>
      </c>
      <c r="I748" s="300">
        <f>SAÍDAS!J65</f>
        <v>0</v>
      </c>
      <c r="J748" s="300">
        <f>SAÍDAS!K65</f>
        <v>0</v>
      </c>
      <c r="K748" s="300">
        <f>SAÍDAS!L65</f>
        <v>0</v>
      </c>
      <c r="L748" s="300">
        <f>SAÍDAS!M65</f>
        <v>0</v>
      </c>
      <c r="M748" s="300">
        <f>SAÍDAS!N65</f>
        <v>0</v>
      </c>
      <c r="N748" s="300">
        <f>SAÍDAS!O65</f>
        <v>0</v>
      </c>
      <c r="O748" s="300">
        <f>SAÍDAS!P65</f>
        <v>0</v>
      </c>
      <c r="P748" s="224"/>
      <c r="Q748" s="678"/>
    </row>
    <row r="749" spans="1:17" hidden="1" x14ac:dyDescent="0.25">
      <c r="A749" s="670"/>
      <c r="B749" s="739" t="str">
        <f>SAÍDAS!C66</f>
        <v>Parceria em Confinamento Chaparral</v>
      </c>
      <c r="C749" s="300">
        <f t="shared" si="202"/>
        <v>115605.35</v>
      </c>
      <c r="D749" s="300">
        <f>SAÍDAS!E66</f>
        <v>0</v>
      </c>
      <c r="E749" s="300">
        <f>SAÍDAS!F66</f>
        <v>0</v>
      </c>
      <c r="F749" s="300">
        <f>SAÍDAS!G66</f>
        <v>0</v>
      </c>
      <c r="G749" s="300">
        <f>SAÍDAS!H66</f>
        <v>0</v>
      </c>
      <c r="H749" s="300">
        <f>SAÍDAS!I66</f>
        <v>0</v>
      </c>
      <c r="I749" s="300">
        <f>SAÍDAS!J66</f>
        <v>0</v>
      </c>
      <c r="J749" s="300">
        <f>SAÍDAS!K66</f>
        <v>115605.35</v>
      </c>
      <c r="K749" s="300">
        <f>SAÍDAS!L66</f>
        <v>0</v>
      </c>
      <c r="L749" s="300">
        <f>SAÍDAS!M66</f>
        <v>0</v>
      </c>
      <c r="M749" s="300">
        <f>SAÍDAS!N66</f>
        <v>0</v>
      </c>
      <c r="N749" s="300">
        <f>SAÍDAS!O66</f>
        <v>0</v>
      </c>
      <c r="O749" s="300">
        <f>SAÍDAS!P66</f>
        <v>0</v>
      </c>
      <c r="P749" s="224"/>
      <c r="Q749" s="678"/>
    </row>
    <row r="750" spans="1:17" hidden="1" x14ac:dyDescent="0.25">
      <c r="A750" s="670"/>
      <c r="B750" s="739" t="str">
        <f>SAÍDAS!C67</f>
        <v>Outros</v>
      </c>
      <c r="C750" s="300">
        <f t="shared" si="202"/>
        <v>0</v>
      </c>
      <c r="D750" s="300">
        <f>SAÍDAS!E67</f>
        <v>0</v>
      </c>
      <c r="E750" s="300">
        <f>SAÍDAS!F67</f>
        <v>0</v>
      </c>
      <c r="F750" s="300">
        <f>SAÍDAS!G67</f>
        <v>0</v>
      </c>
      <c r="G750" s="300">
        <f>SAÍDAS!H67</f>
        <v>0</v>
      </c>
      <c r="H750" s="300">
        <f>SAÍDAS!I67</f>
        <v>0</v>
      </c>
      <c r="I750" s="300">
        <f>SAÍDAS!J67</f>
        <v>0</v>
      </c>
      <c r="J750" s="300">
        <f>SAÍDAS!K67</f>
        <v>0</v>
      </c>
      <c r="K750" s="300">
        <f>SAÍDAS!L67</f>
        <v>0</v>
      </c>
      <c r="L750" s="300">
        <f>SAÍDAS!M67</f>
        <v>0</v>
      </c>
      <c r="M750" s="300">
        <f>SAÍDAS!N67</f>
        <v>0</v>
      </c>
      <c r="N750" s="300">
        <f>SAÍDAS!O67</f>
        <v>0</v>
      </c>
      <c r="O750" s="300">
        <f>SAÍDAS!P67</f>
        <v>0</v>
      </c>
      <c r="P750" s="224"/>
      <c r="Q750" s="678"/>
    </row>
    <row r="751" spans="1:17" hidden="1" x14ac:dyDescent="0.25">
      <c r="A751" s="670"/>
      <c r="B751" s="739" t="str">
        <f>SAÍDAS!C68</f>
        <v>Outros</v>
      </c>
      <c r="C751" s="300">
        <f t="shared" si="202"/>
        <v>0</v>
      </c>
      <c r="D751" s="300">
        <f>SAÍDAS!E68</f>
        <v>0</v>
      </c>
      <c r="E751" s="300">
        <f>SAÍDAS!F68</f>
        <v>0</v>
      </c>
      <c r="F751" s="300">
        <f>SAÍDAS!G68</f>
        <v>0</v>
      </c>
      <c r="G751" s="300">
        <f>SAÍDAS!H68</f>
        <v>0</v>
      </c>
      <c r="H751" s="300">
        <f>SAÍDAS!I68</f>
        <v>0</v>
      </c>
      <c r="I751" s="300">
        <f>SAÍDAS!J68</f>
        <v>0</v>
      </c>
      <c r="J751" s="300">
        <f>SAÍDAS!K68</f>
        <v>0</v>
      </c>
      <c r="K751" s="300">
        <f>SAÍDAS!L68</f>
        <v>0</v>
      </c>
      <c r="L751" s="300">
        <f>SAÍDAS!M68</f>
        <v>0</v>
      </c>
      <c r="M751" s="300">
        <f>SAÍDAS!N68</f>
        <v>0</v>
      </c>
      <c r="N751" s="300">
        <f>SAÍDAS!O68</f>
        <v>0</v>
      </c>
      <c r="O751" s="300">
        <f>SAÍDAS!P68</f>
        <v>0</v>
      </c>
      <c r="P751" s="224"/>
      <c r="Q751" s="678"/>
    </row>
    <row r="752" spans="1:17" hidden="1" x14ac:dyDescent="0.25">
      <c r="A752" s="670"/>
      <c r="B752" s="739" t="str">
        <f>SAÍDAS!C69</f>
        <v>Animais</v>
      </c>
      <c r="C752" s="300">
        <f t="shared" si="202"/>
        <v>334635</v>
      </c>
      <c r="D752" s="300">
        <f>SAÍDAS!E69</f>
        <v>0</v>
      </c>
      <c r="E752" s="300">
        <f>SAÍDAS!F69</f>
        <v>0</v>
      </c>
      <c r="F752" s="300">
        <f>SAÍDAS!G69</f>
        <v>180000</v>
      </c>
      <c r="G752" s="300">
        <f>SAÍDAS!H69</f>
        <v>0</v>
      </c>
      <c r="H752" s="300">
        <f>SAÍDAS!I69</f>
        <v>0</v>
      </c>
      <c r="I752" s="300">
        <f>SAÍDAS!J69</f>
        <v>0</v>
      </c>
      <c r="J752" s="300">
        <f>SAÍDAS!K69</f>
        <v>112785</v>
      </c>
      <c r="K752" s="300">
        <f>SAÍDAS!L69</f>
        <v>41850</v>
      </c>
      <c r="L752" s="300">
        <f>SAÍDAS!M69</f>
        <v>0</v>
      </c>
      <c r="M752" s="300">
        <f>SAÍDAS!N69</f>
        <v>0</v>
      </c>
      <c r="N752" s="300">
        <f>SAÍDAS!O69</f>
        <v>0</v>
      </c>
      <c r="O752" s="300">
        <f>SAÍDAS!P69</f>
        <v>0</v>
      </c>
      <c r="P752" s="224"/>
      <c r="Q752" s="678"/>
    </row>
    <row r="753" spans="1:17" hidden="1" x14ac:dyDescent="0.25">
      <c r="A753" s="670"/>
      <c r="B753" s="740" t="s">
        <v>179</v>
      </c>
      <c r="C753" s="300">
        <f t="shared" si="202"/>
        <v>505916.25000000006</v>
      </c>
      <c r="D753" s="300">
        <f>SAÍDAS!E70</f>
        <v>8072.4700000000012</v>
      </c>
      <c r="E753" s="300">
        <f>SAÍDAS!F70</f>
        <v>5231.1400000000003</v>
      </c>
      <c r="F753" s="300">
        <f>SAÍDAS!G70</f>
        <v>189074.6</v>
      </c>
      <c r="G753" s="300">
        <f>SAÍDAS!H70</f>
        <v>11501.060000000001</v>
      </c>
      <c r="H753" s="300">
        <f>SAÍDAS!I70</f>
        <v>5650.35</v>
      </c>
      <c r="I753" s="300">
        <f>SAÍDAS!J70</f>
        <v>7690.3199999999988</v>
      </c>
      <c r="J753" s="300">
        <f>SAÍDAS!K70</f>
        <v>233131.6</v>
      </c>
      <c r="K753" s="300">
        <f>SAÍDAS!L70</f>
        <v>45564.71</v>
      </c>
      <c r="L753" s="300">
        <f>SAÍDAS!M70</f>
        <v>0</v>
      </c>
      <c r="M753" s="300">
        <f>SAÍDAS!N70</f>
        <v>0</v>
      </c>
      <c r="N753" s="300">
        <f>SAÍDAS!O70</f>
        <v>0</v>
      </c>
      <c r="O753" s="300">
        <f>SAÍDAS!P70</f>
        <v>0</v>
      </c>
      <c r="P753" s="224"/>
      <c r="Q753" s="678"/>
    </row>
    <row r="754" spans="1:17" ht="15.75" hidden="1" thickBot="1" x14ac:dyDescent="0.3">
      <c r="A754" s="670"/>
      <c r="B754" s="740"/>
      <c r="C754" s="300"/>
      <c r="D754" s="300"/>
      <c r="E754" s="300"/>
      <c r="F754" s="300"/>
      <c r="G754" s="300"/>
      <c r="H754" s="300"/>
      <c r="I754" s="300"/>
      <c r="J754" s="300"/>
      <c r="K754" s="300"/>
      <c r="L754" s="300"/>
      <c r="M754" s="300"/>
      <c r="N754" s="300"/>
      <c r="O754" s="300"/>
      <c r="P754" s="224"/>
      <c r="Q754" s="678"/>
    </row>
    <row r="755" spans="1:17" ht="15.75" hidden="1" thickTop="1" x14ac:dyDescent="0.25">
      <c r="A755" s="670"/>
      <c r="B755" s="789"/>
      <c r="C755" s="300"/>
      <c r="D755" s="300"/>
      <c r="E755" s="300"/>
      <c r="F755" s="300"/>
      <c r="G755" s="300"/>
      <c r="H755" s="300"/>
      <c r="I755" s="300"/>
      <c r="J755" s="300"/>
      <c r="K755" s="300"/>
      <c r="L755" s="300"/>
      <c r="M755" s="300"/>
      <c r="N755" s="300"/>
      <c r="O755" s="300"/>
      <c r="P755" s="224"/>
      <c r="Q755" s="678"/>
    </row>
    <row r="756" spans="1:17" hidden="1" x14ac:dyDescent="0.25">
      <c r="A756" s="670"/>
      <c r="B756" s="790" t="str">
        <f>SAÍDAS!C73</f>
        <v>Tarifas e Impostos</v>
      </c>
      <c r="C756" s="300">
        <f t="shared" ref="C756:C773" si="203">SUM(D756:O756)</f>
        <v>0</v>
      </c>
      <c r="D756" s="300">
        <f>SAÍDAS!E73</f>
        <v>0</v>
      </c>
      <c r="E756" s="300">
        <f>SAÍDAS!F73</f>
        <v>0</v>
      </c>
      <c r="F756" s="300">
        <f>SAÍDAS!G73</f>
        <v>0</v>
      </c>
      <c r="G756" s="300">
        <f>SAÍDAS!H73</f>
        <v>0</v>
      </c>
      <c r="H756" s="300">
        <f>SAÍDAS!I73</f>
        <v>0</v>
      </c>
      <c r="I756" s="300">
        <f>SAÍDAS!J73</f>
        <v>0</v>
      </c>
      <c r="J756" s="300">
        <f>SAÍDAS!K73</f>
        <v>0</v>
      </c>
      <c r="K756" s="300">
        <f>SAÍDAS!L73</f>
        <v>0</v>
      </c>
      <c r="L756" s="300">
        <f>SAÍDAS!M73</f>
        <v>0</v>
      </c>
      <c r="M756" s="300">
        <f>SAÍDAS!N73</f>
        <v>0</v>
      </c>
      <c r="N756" s="300">
        <f>SAÍDAS!O73</f>
        <v>0</v>
      </c>
      <c r="O756" s="300">
        <f>SAÍDAS!P73</f>
        <v>0</v>
      </c>
      <c r="P756" s="224"/>
      <c r="Q756" s="678"/>
    </row>
    <row r="757" spans="1:17" hidden="1" x14ac:dyDescent="0.25">
      <c r="A757" s="670"/>
      <c r="B757" s="790" t="str">
        <f>SAÍDAS!C74</f>
        <v>Tarifas e Impostos</v>
      </c>
      <c r="C757" s="300">
        <f t="shared" si="203"/>
        <v>131.56</v>
      </c>
      <c r="D757" s="300">
        <f>SAÍDAS!E74</f>
        <v>131.56</v>
      </c>
      <c r="E757" s="300">
        <f>SAÍDAS!F74</f>
        <v>0</v>
      </c>
      <c r="F757" s="300">
        <f>SAÍDAS!G74</f>
        <v>0</v>
      </c>
      <c r="G757" s="300">
        <f>SAÍDAS!H74</f>
        <v>0</v>
      </c>
      <c r="H757" s="300">
        <f>SAÍDAS!I74</f>
        <v>0</v>
      </c>
      <c r="I757" s="300">
        <f>SAÍDAS!J74</f>
        <v>0</v>
      </c>
      <c r="J757" s="300">
        <f>SAÍDAS!K74</f>
        <v>0</v>
      </c>
      <c r="K757" s="300">
        <f>SAÍDAS!L74</f>
        <v>0</v>
      </c>
      <c r="L757" s="300">
        <f>SAÍDAS!M74</f>
        <v>0</v>
      </c>
      <c r="M757" s="300">
        <f>SAÍDAS!N74</f>
        <v>0</v>
      </c>
      <c r="N757" s="300">
        <f>SAÍDAS!O74</f>
        <v>0</v>
      </c>
      <c r="O757" s="300">
        <f>SAÍDAS!P74</f>
        <v>0</v>
      </c>
      <c r="P757" s="224"/>
      <c r="Q757" s="678"/>
    </row>
    <row r="758" spans="1:17" hidden="1" x14ac:dyDescent="0.25">
      <c r="A758" s="670"/>
      <c r="B758" s="790" t="str">
        <f>SAÍDAS!C75</f>
        <v>Tarifas e Impostos</v>
      </c>
      <c r="C758" s="300">
        <f t="shared" si="203"/>
        <v>0</v>
      </c>
      <c r="D758" s="300">
        <f>SAÍDAS!E75</f>
        <v>0</v>
      </c>
      <c r="E758" s="300">
        <f>SAÍDAS!F75</f>
        <v>0</v>
      </c>
      <c r="F758" s="300">
        <f>SAÍDAS!G75</f>
        <v>0</v>
      </c>
      <c r="G758" s="300">
        <f>SAÍDAS!H75</f>
        <v>0</v>
      </c>
      <c r="H758" s="300">
        <f>SAÍDAS!I75</f>
        <v>0</v>
      </c>
      <c r="I758" s="300">
        <f>SAÍDAS!J75</f>
        <v>0</v>
      </c>
      <c r="J758" s="300">
        <f>SAÍDAS!K75</f>
        <v>0</v>
      </c>
      <c r="K758" s="300">
        <f>SAÍDAS!L75</f>
        <v>0</v>
      </c>
      <c r="L758" s="300">
        <f>SAÍDAS!M75</f>
        <v>0</v>
      </c>
      <c r="M758" s="300">
        <f>SAÍDAS!N75</f>
        <v>0</v>
      </c>
      <c r="N758" s="300">
        <f>SAÍDAS!O75</f>
        <v>0</v>
      </c>
      <c r="O758" s="300">
        <f>SAÍDAS!P75</f>
        <v>0</v>
      </c>
      <c r="P758" s="224"/>
      <c r="Q758" s="678"/>
    </row>
    <row r="759" spans="1:17" hidden="1" x14ac:dyDescent="0.25">
      <c r="A759" s="670"/>
      <c r="B759" s="790" t="str">
        <f>SAÍDAS!C76</f>
        <v>Tarifas e Impostos</v>
      </c>
      <c r="C759" s="300">
        <f t="shared" si="203"/>
        <v>315</v>
      </c>
      <c r="D759" s="300">
        <f>SAÍDAS!E76</f>
        <v>45</v>
      </c>
      <c r="E759" s="300">
        <f>SAÍDAS!F76</f>
        <v>45</v>
      </c>
      <c r="F759" s="300">
        <f>SAÍDAS!G76</f>
        <v>45</v>
      </c>
      <c r="G759" s="300">
        <f>SAÍDAS!H76</f>
        <v>45</v>
      </c>
      <c r="H759" s="300">
        <f>SAÍDAS!I76</f>
        <v>45</v>
      </c>
      <c r="I759" s="300">
        <f>SAÍDAS!J76</f>
        <v>45</v>
      </c>
      <c r="J759" s="300">
        <f>SAÍDAS!K76</f>
        <v>22.5</v>
      </c>
      <c r="K759" s="300">
        <f>SAÍDAS!L76</f>
        <v>22.5</v>
      </c>
      <c r="L759" s="300">
        <f>SAÍDAS!M76</f>
        <v>0</v>
      </c>
      <c r="M759" s="300">
        <f>SAÍDAS!N76</f>
        <v>0</v>
      </c>
      <c r="N759" s="300">
        <f>SAÍDAS!O76</f>
        <v>0</v>
      </c>
      <c r="O759" s="300">
        <f>SAÍDAS!P76</f>
        <v>0</v>
      </c>
      <c r="P759" s="224"/>
      <c r="Q759" s="678"/>
    </row>
    <row r="760" spans="1:17" hidden="1" x14ac:dyDescent="0.25">
      <c r="A760" s="670"/>
      <c r="B760" s="790" t="str">
        <f>SAÍDAS!C77</f>
        <v>Tarifas e Impostos</v>
      </c>
      <c r="C760" s="300">
        <f t="shared" si="203"/>
        <v>0</v>
      </c>
      <c r="D760" s="300">
        <f>SAÍDAS!E77</f>
        <v>0</v>
      </c>
      <c r="E760" s="300">
        <f>SAÍDAS!F77</f>
        <v>0</v>
      </c>
      <c r="F760" s="300">
        <f>SAÍDAS!G77</f>
        <v>0</v>
      </c>
      <c r="G760" s="300">
        <f>SAÍDAS!H77</f>
        <v>0</v>
      </c>
      <c r="H760" s="300">
        <f>SAÍDAS!I77</f>
        <v>0</v>
      </c>
      <c r="I760" s="300">
        <f>SAÍDAS!J77</f>
        <v>0</v>
      </c>
      <c r="J760" s="300">
        <f>SAÍDAS!K77</f>
        <v>0</v>
      </c>
      <c r="K760" s="300">
        <f>SAÍDAS!L77</f>
        <v>0</v>
      </c>
      <c r="L760" s="300">
        <f>SAÍDAS!M77</f>
        <v>0</v>
      </c>
      <c r="M760" s="300">
        <f>SAÍDAS!N77</f>
        <v>0</v>
      </c>
      <c r="N760" s="300">
        <f>SAÍDAS!O77</f>
        <v>0</v>
      </c>
      <c r="O760" s="300">
        <f>SAÍDAS!P77</f>
        <v>0</v>
      </c>
      <c r="P760" s="224"/>
      <c r="Q760" s="678"/>
    </row>
    <row r="761" spans="1:17" hidden="1" x14ac:dyDescent="0.25">
      <c r="A761" s="670"/>
      <c r="B761" s="790" t="str">
        <f>SAÍDAS!C78</f>
        <v>Administrativo</v>
      </c>
      <c r="C761" s="300">
        <f t="shared" si="203"/>
        <v>0</v>
      </c>
      <c r="D761" s="300">
        <f>SAÍDAS!E78</f>
        <v>0</v>
      </c>
      <c r="E761" s="300">
        <f>SAÍDAS!F78</f>
        <v>0</v>
      </c>
      <c r="F761" s="300">
        <f>SAÍDAS!G78</f>
        <v>0</v>
      </c>
      <c r="G761" s="300">
        <f>SAÍDAS!H78</f>
        <v>0</v>
      </c>
      <c r="H761" s="300">
        <f>SAÍDAS!I78</f>
        <v>0</v>
      </c>
      <c r="I761" s="300">
        <f>SAÍDAS!J78</f>
        <v>0</v>
      </c>
      <c r="J761" s="300">
        <f>SAÍDAS!K78</f>
        <v>0</v>
      </c>
      <c r="K761" s="300">
        <f>SAÍDAS!L78</f>
        <v>0</v>
      </c>
      <c r="L761" s="300">
        <f>SAÍDAS!M78</f>
        <v>0</v>
      </c>
      <c r="M761" s="300">
        <f>SAÍDAS!N78</f>
        <v>0</v>
      </c>
      <c r="N761" s="300">
        <f>SAÍDAS!O78</f>
        <v>0</v>
      </c>
      <c r="O761" s="300">
        <f>SAÍDAS!P78</f>
        <v>0</v>
      </c>
      <c r="P761" s="224"/>
      <c r="Q761" s="678"/>
    </row>
    <row r="762" spans="1:17" hidden="1" x14ac:dyDescent="0.25">
      <c r="A762" s="670"/>
      <c r="B762" s="790" t="str">
        <f>SAÍDAS!C79</f>
        <v>Administrativo</v>
      </c>
      <c r="C762" s="300">
        <f t="shared" si="203"/>
        <v>0</v>
      </c>
      <c r="D762" s="300">
        <f>SAÍDAS!E79</f>
        <v>0</v>
      </c>
      <c r="E762" s="300">
        <f>SAÍDAS!F79</f>
        <v>0</v>
      </c>
      <c r="F762" s="300">
        <f>SAÍDAS!G79</f>
        <v>0</v>
      </c>
      <c r="G762" s="300">
        <f>SAÍDAS!H79</f>
        <v>0</v>
      </c>
      <c r="H762" s="300">
        <f>SAÍDAS!I79</f>
        <v>0</v>
      </c>
      <c r="I762" s="300">
        <f>SAÍDAS!J79</f>
        <v>0</v>
      </c>
      <c r="J762" s="300">
        <f>SAÍDAS!K79</f>
        <v>0</v>
      </c>
      <c r="K762" s="300">
        <f>SAÍDAS!L79</f>
        <v>0</v>
      </c>
      <c r="L762" s="300">
        <f>SAÍDAS!M79</f>
        <v>0</v>
      </c>
      <c r="M762" s="300">
        <f>SAÍDAS!N79</f>
        <v>0</v>
      </c>
      <c r="N762" s="300">
        <f>SAÍDAS!O79</f>
        <v>0</v>
      </c>
      <c r="O762" s="300">
        <f>SAÍDAS!P79</f>
        <v>0</v>
      </c>
      <c r="P762" s="224"/>
      <c r="Q762" s="678"/>
    </row>
    <row r="763" spans="1:17" hidden="1" x14ac:dyDescent="0.25">
      <c r="A763" s="670"/>
      <c r="B763" s="790" t="str">
        <f>SAÍDAS!C80</f>
        <v>Mão de Obra</v>
      </c>
      <c r="C763" s="300">
        <f t="shared" si="203"/>
        <v>1600</v>
      </c>
      <c r="D763" s="300">
        <f>SAÍDAS!E80</f>
        <v>200</v>
      </c>
      <c r="E763" s="300">
        <f>SAÍDAS!F80</f>
        <v>200</v>
      </c>
      <c r="F763" s="300">
        <f>SAÍDAS!G80</f>
        <v>200</v>
      </c>
      <c r="G763" s="300">
        <f>SAÍDAS!H80</f>
        <v>200</v>
      </c>
      <c r="H763" s="300">
        <f>SAÍDAS!I80</f>
        <v>200</v>
      </c>
      <c r="I763" s="300">
        <f>SAÍDAS!J80</f>
        <v>200</v>
      </c>
      <c r="J763" s="300">
        <f>SAÍDAS!K80</f>
        <v>200</v>
      </c>
      <c r="K763" s="300">
        <f>SAÍDAS!L80</f>
        <v>200</v>
      </c>
      <c r="L763" s="300">
        <f>SAÍDAS!M80</f>
        <v>0</v>
      </c>
      <c r="M763" s="300">
        <f>SAÍDAS!N80</f>
        <v>0</v>
      </c>
      <c r="N763" s="300">
        <f>SAÍDAS!O80</f>
        <v>0</v>
      </c>
      <c r="O763" s="300">
        <f>SAÍDAS!P80</f>
        <v>0</v>
      </c>
      <c r="P763" s="224"/>
      <c r="Q763" s="678"/>
    </row>
    <row r="764" spans="1:17" hidden="1" x14ac:dyDescent="0.25">
      <c r="A764" s="670"/>
      <c r="B764" s="790" t="str">
        <f>SAÍDAS!C81</f>
        <v>Mão de Obra</v>
      </c>
      <c r="C764" s="300">
        <f t="shared" si="203"/>
        <v>0</v>
      </c>
      <c r="D764" s="300">
        <f>SAÍDAS!E81</f>
        <v>0</v>
      </c>
      <c r="E764" s="300">
        <f>SAÍDAS!F81</f>
        <v>0</v>
      </c>
      <c r="F764" s="300">
        <f>SAÍDAS!G81</f>
        <v>0</v>
      </c>
      <c r="G764" s="300">
        <f>SAÍDAS!H81</f>
        <v>0</v>
      </c>
      <c r="H764" s="300">
        <f>SAÍDAS!I81</f>
        <v>0</v>
      </c>
      <c r="I764" s="300">
        <f>SAÍDAS!J81</f>
        <v>0</v>
      </c>
      <c r="J764" s="300">
        <f>SAÍDAS!K81</f>
        <v>0</v>
      </c>
      <c r="K764" s="300">
        <f>SAÍDAS!L81</f>
        <v>0</v>
      </c>
      <c r="L764" s="300">
        <f>SAÍDAS!M81</f>
        <v>0</v>
      </c>
      <c r="M764" s="300">
        <f>SAÍDAS!N81</f>
        <v>0</v>
      </c>
      <c r="N764" s="300">
        <f>SAÍDAS!O81</f>
        <v>0</v>
      </c>
      <c r="O764" s="300">
        <f>SAÍDAS!P81</f>
        <v>0</v>
      </c>
      <c r="P764" s="224"/>
      <c r="Q764" s="678"/>
    </row>
    <row r="765" spans="1:17" hidden="1" x14ac:dyDescent="0.25">
      <c r="A765" s="670"/>
      <c r="B765" s="790" t="str">
        <f>SAÍDAS!C82</f>
        <v>Despesas com viajens Consultor</v>
      </c>
      <c r="C765" s="300">
        <f t="shared" si="203"/>
        <v>6516.4800000000005</v>
      </c>
      <c r="D765" s="300">
        <f>SAÍDAS!E82</f>
        <v>974.66</v>
      </c>
      <c r="E765" s="300">
        <f>SAÍDAS!F82</f>
        <v>359.23</v>
      </c>
      <c r="F765" s="300">
        <f>SAÍDAS!G82</f>
        <v>1441.94</v>
      </c>
      <c r="G765" s="300">
        <f>SAÍDAS!H82</f>
        <v>785.3</v>
      </c>
      <c r="H765" s="300">
        <f>SAÍDAS!I82</f>
        <v>1064.45</v>
      </c>
      <c r="I765" s="300">
        <f>SAÍDAS!J82</f>
        <v>525.85</v>
      </c>
      <c r="J765" s="300">
        <f>SAÍDAS!K82</f>
        <v>421.17</v>
      </c>
      <c r="K765" s="300">
        <f>SAÍDAS!L82</f>
        <v>943.88</v>
      </c>
      <c r="L765" s="300">
        <f>SAÍDAS!M82</f>
        <v>0</v>
      </c>
      <c r="M765" s="300">
        <f>SAÍDAS!N82</f>
        <v>0</v>
      </c>
      <c r="N765" s="300">
        <f>SAÍDAS!O82</f>
        <v>0</v>
      </c>
      <c r="O765" s="300">
        <f>SAÍDAS!P82</f>
        <v>0</v>
      </c>
      <c r="P765" s="224"/>
      <c r="Q765" s="678"/>
    </row>
    <row r="766" spans="1:17" hidden="1" x14ac:dyDescent="0.25">
      <c r="A766" s="670"/>
      <c r="B766" s="790" t="str">
        <f>SAÍDAS!C83</f>
        <v>Consultoria</v>
      </c>
      <c r="C766" s="300">
        <f t="shared" si="203"/>
        <v>16000</v>
      </c>
      <c r="D766" s="300">
        <f>SAÍDAS!E83</f>
        <v>2000</v>
      </c>
      <c r="E766" s="300">
        <f>SAÍDAS!F83</f>
        <v>2000</v>
      </c>
      <c r="F766" s="300">
        <f>SAÍDAS!G83</f>
        <v>2000</v>
      </c>
      <c r="G766" s="300">
        <f>SAÍDAS!H83</f>
        <v>2000</v>
      </c>
      <c r="H766" s="300">
        <f>SAÍDAS!I83</f>
        <v>2000</v>
      </c>
      <c r="I766" s="300">
        <f>SAÍDAS!J83</f>
        <v>2000</v>
      </c>
      <c r="J766" s="300">
        <f>SAÍDAS!K83</f>
        <v>2000</v>
      </c>
      <c r="K766" s="300">
        <f>SAÍDAS!L83</f>
        <v>2000</v>
      </c>
      <c r="L766" s="300">
        <f>SAÍDAS!M83</f>
        <v>0</v>
      </c>
      <c r="M766" s="300">
        <f>SAÍDAS!N83</f>
        <v>0</v>
      </c>
      <c r="N766" s="300">
        <f>SAÍDAS!O83</f>
        <v>0</v>
      </c>
      <c r="O766" s="300">
        <f>SAÍDAS!P83</f>
        <v>0</v>
      </c>
      <c r="P766" s="224"/>
      <c r="Q766" s="678"/>
    </row>
    <row r="767" spans="1:17" hidden="1" x14ac:dyDescent="0.25">
      <c r="A767" s="670"/>
      <c r="B767" s="790" t="str">
        <f>SAÍDAS!C84</f>
        <v>Consultor</v>
      </c>
      <c r="C767" s="300">
        <f t="shared" si="203"/>
        <v>4000</v>
      </c>
      <c r="D767" s="300">
        <f>SAÍDAS!E84</f>
        <v>600</v>
      </c>
      <c r="E767" s="300">
        <f>SAÍDAS!F84</f>
        <v>300</v>
      </c>
      <c r="F767" s="300">
        <f>SAÍDAS!G84</f>
        <v>800</v>
      </c>
      <c r="G767" s="300">
        <f>SAÍDAS!H84</f>
        <v>500</v>
      </c>
      <c r="H767" s="300">
        <f>SAÍDAS!I84</f>
        <v>600</v>
      </c>
      <c r="I767" s="300">
        <f>SAÍDAS!J84</f>
        <v>300</v>
      </c>
      <c r="J767" s="300">
        <f>SAÍDAS!K84</f>
        <v>350</v>
      </c>
      <c r="K767" s="300">
        <f>SAÍDAS!L84</f>
        <v>550</v>
      </c>
      <c r="L767" s="300">
        <f>SAÍDAS!M84</f>
        <v>0</v>
      </c>
      <c r="M767" s="300">
        <f>SAÍDAS!N84</f>
        <v>0</v>
      </c>
      <c r="N767" s="300">
        <f>SAÍDAS!O84</f>
        <v>0</v>
      </c>
      <c r="O767" s="300">
        <f>SAÍDAS!P84</f>
        <v>0</v>
      </c>
      <c r="P767" s="224"/>
      <c r="Q767" s="678"/>
    </row>
    <row r="768" spans="1:17" hidden="1" x14ac:dyDescent="0.25">
      <c r="A768" s="670"/>
      <c r="B768" s="790" t="str">
        <f>SAÍDAS!C85</f>
        <v>Cassio</v>
      </c>
      <c r="C768" s="300">
        <f t="shared" si="203"/>
        <v>790</v>
      </c>
      <c r="D768" s="300">
        <f>SAÍDAS!E85</f>
        <v>0</v>
      </c>
      <c r="E768" s="300">
        <f>SAÍDAS!F85</f>
        <v>0</v>
      </c>
      <c r="F768" s="300">
        <f>SAÍDAS!G85</f>
        <v>0</v>
      </c>
      <c r="G768" s="300">
        <f>SAÍDAS!H85</f>
        <v>0</v>
      </c>
      <c r="H768" s="300">
        <f>SAÍDAS!I85</f>
        <v>0</v>
      </c>
      <c r="I768" s="300">
        <f>SAÍDAS!J85</f>
        <v>0</v>
      </c>
      <c r="J768" s="300">
        <f>SAÍDAS!K85</f>
        <v>440</v>
      </c>
      <c r="K768" s="300">
        <f>SAÍDAS!L85</f>
        <v>350</v>
      </c>
      <c r="L768" s="300">
        <f>SAÍDAS!M85</f>
        <v>0</v>
      </c>
      <c r="M768" s="300">
        <f>SAÍDAS!N85</f>
        <v>0</v>
      </c>
      <c r="N768" s="300">
        <f>SAÍDAS!O85</f>
        <v>0</v>
      </c>
      <c r="O768" s="300">
        <f>SAÍDAS!P85</f>
        <v>0</v>
      </c>
      <c r="P768" s="224"/>
      <c r="Q768" s="678"/>
    </row>
    <row r="769" spans="1:17" hidden="1" x14ac:dyDescent="0.25">
      <c r="A769" s="670"/>
      <c r="B769" s="790" t="str">
        <f>SAÍDAS!C86</f>
        <v>material limpeza, vidro</v>
      </c>
      <c r="C769" s="300">
        <f t="shared" si="203"/>
        <v>0</v>
      </c>
      <c r="D769" s="300">
        <f>SAÍDAS!E86</f>
        <v>0</v>
      </c>
      <c r="E769" s="300">
        <f>SAÍDAS!F86</f>
        <v>0</v>
      </c>
      <c r="F769" s="300">
        <f>SAÍDAS!G86</f>
        <v>0</v>
      </c>
      <c r="G769" s="300">
        <f>SAÍDAS!H86</f>
        <v>0</v>
      </c>
      <c r="H769" s="300">
        <f>SAÍDAS!I86</f>
        <v>0</v>
      </c>
      <c r="I769" s="300">
        <f>SAÍDAS!J86</f>
        <v>0</v>
      </c>
      <c r="J769" s="300">
        <f>SAÍDAS!K86</f>
        <v>0</v>
      </c>
      <c r="K769" s="300">
        <f>SAÍDAS!L86</f>
        <v>0</v>
      </c>
      <c r="L769" s="300">
        <f>SAÍDAS!M86</f>
        <v>0</v>
      </c>
      <c r="M769" s="300">
        <f>SAÍDAS!N86</f>
        <v>0</v>
      </c>
      <c r="N769" s="300">
        <f>SAÍDAS!O86</f>
        <v>0</v>
      </c>
      <c r="O769" s="300">
        <f>SAÍDAS!P86</f>
        <v>0</v>
      </c>
      <c r="P769" s="224"/>
      <c r="Q769" s="678"/>
    </row>
    <row r="770" spans="1:17" hidden="1" x14ac:dyDescent="0.25">
      <c r="A770" s="670"/>
      <c r="B770" s="790" t="str">
        <f>SAÍDAS!C87</f>
        <v>madeiras manutencao</v>
      </c>
      <c r="C770" s="300">
        <f t="shared" si="203"/>
        <v>116</v>
      </c>
      <c r="D770" s="300">
        <f>SAÍDAS!E87</f>
        <v>0</v>
      </c>
      <c r="E770" s="300">
        <f>SAÍDAS!F87</f>
        <v>0</v>
      </c>
      <c r="F770" s="300">
        <f>SAÍDAS!G87</f>
        <v>0</v>
      </c>
      <c r="G770" s="300">
        <f>SAÍDAS!H87</f>
        <v>0</v>
      </c>
      <c r="H770" s="300">
        <f>SAÍDAS!I87</f>
        <v>0</v>
      </c>
      <c r="I770" s="300">
        <f>SAÍDAS!J87</f>
        <v>116</v>
      </c>
      <c r="J770" s="300">
        <f>SAÍDAS!K87</f>
        <v>0</v>
      </c>
      <c r="K770" s="300">
        <f>SAÍDAS!L87</f>
        <v>0</v>
      </c>
      <c r="L770" s="300">
        <f>SAÍDAS!M87</f>
        <v>0</v>
      </c>
      <c r="M770" s="300">
        <f>SAÍDAS!N87</f>
        <v>0</v>
      </c>
      <c r="N770" s="300">
        <f>SAÍDAS!O87</f>
        <v>0</v>
      </c>
      <c r="O770" s="300">
        <f>SAÍDAS!P87</f>
        <v>0</v>
      </c>
      <c r="P770" s="224"/>
      <c r="Q770" s="678"/>
    </row>
    <row r="771" spans="1:17" hidden="1" x14ac:dyDescent="0.25">
      <c r="A771" s="670"/>
      <c r="B771" s="790" t="str">
        <f>SAÍDAS!C88</f>
        <v>Outros</v>
      </c>
      <c r="C771" s="300">
        <f t="shared" si="203"/>
        <v>1560.51</v>
      </c>
      <c r="D771" s="300">
        <f>SAÍDAS!E88</f>
        <v>210.51</v>
      </c>
      <c r="E771" s="300">
        <f>SAÍDAS!F88</f>
        <v>0</v>
      </c>
      <c r="F771" s="300">
        <f>SAÍDAS!G88</f>
        <v>530</v>
      </c>
      <c r="G771" s="300">
        <f>SAÍDAS!H88</f>
        <v>0</v>
      </c>
      <c r="H771" s="300">
        <f>SAÍDAS!I88</f>
        <v>820</v>
      </c>
      <c r="I771" s="300">
        <f>SAÍDAS!J88</f>
        <v>0</v>
      </c>
      <c r="J771" s="300">
        <f>SAÍDAS!K88</f>
        <v>0</v>
      </c>
      <c r="K771" s="300">
        <f>SAÍDAS!L88</f>
        <v>0</v>
      </c>
      <c r="L771" s="300">
        <f>SAÍDAS!M88</f>
        <v>0</v>
      </c>
      <c r="M771" s="300">
        <f>SAÍDAS!N88</f>
        <v>0</v>
      </c>
      <c r="N771" s="300">
        <f>SAÍDAS!O88</f>
        <v>0</v>
      </c>
      <c r="O771" s="300">
        <f>SAÍDAS!P88</f>
        <v>0</v>
      </c>
      <c r="P771" s="224"/>
      <c r="Q771" s="678"/>
    </row>
    <row r="772" spans="1:17" hidden="1" x14ac:dyDescent="0.25">
      <c r="A772" s="670"/>
      <c r="B772" s="790" t="str">
        <f>SAÍDAS!C89</f>
        <v>frete</v>
      </c>
      <c r="C772" s="300">
        <f t="shared" si="203"/>
        <v>1804</v>
      </c>
      <c r="D772" s="300">
        <f>SAÍDAS!E89</f>
        <v>0</v>
      </c>
      <c r="E772" s="300">
        <f>SAÍDAS!F89</f>
        <v>0</v>
      </c>
      <c r="F772" s="300">
        <f>SAÍDAS!G89</f>
        <v>0</v>
      </c>
      <c r="G772" s="300">
        <f>SAÍDAS!H89</f>
        <v>0</v>
      </c>
      <c r="H772" s="300">
        <f>SAÍDAS!I89</f>
        <v>0</v>
      </c>
      <c r="I772" s="300">
        <f>SAÍDAS!J89</f>
        <v>0</v>
      </c>
      <c r="J772" s="300">
        <f>SAÍDAS!K89</f>
        <v>1154</v>
      </c>
      <c r="K772" s="300">
        <f>SAÍDAS!L89</f>
        <v>650</v>
      </c>
      <c r="L772" s="300">
        <f>SAÍDAS!M89</f>
        <v>0</v>
      </c>
      <c r="M772" s="300">
        <f>SAÍDAS!N89</f>
        <v>0</v>
      </c>
      <c r="N772" s="300">
        <f>SAÍDAS!O89</f>
        <v>0</v>
      </c>
      <c r="O772" s="300">
        <f>SAÍDAS!P89</f>
        <v>0</v>
      </c>
      <c r="P772" s="224"/>
      <c r="Q772" s="678"/>
    </row>
    <row r="773" spans="1:17" hidden="1" x14ac:dyDescent="0.25">
      <c r="A773" s="670"/>
      <c r="B773" s="790" t="str">
        <f>SAÍDAS!C90</f>
        <v>Depreciação</v>
      </c>
      <c r="C773" s="300">
        <f t="shared" si="203"/>
        <v>0</v>
      </c>
      <c r="D773" s="300">
        <f>SAÍDAS!E90</f>
        <v>0</v>
      </c>
      <c r="E773" s="300">
        <f>SAÍDAS!F90</f>
        <v>0</v>
      </c>
      <c r="F773" s="300">
        <f>SAÍDAS!G90</f>
        <v>0</v>
      </c>
      <c r="G773" s="300">
        <f>SAÍDAS!H90</f>
        <v>0</v>
      </c>
      <c r="H773" s="300">
        <f>SAÍDAS!I90</f>
        <v>0</v>
      </c>
      <c r="I773" s="300">
        <f>SAÍDAS!J90</f>
        <v>0</v>
      </c>
      <c r="J773" s="300">
        <f>SAÍDAS!K90</f>
        <v>0</v>
      </c>
      <c r="K773" s="300">
        <f>SAÍDAS!L90</f>
        <v>0</v>
      </c>
      <c r="L773" s="300">
        <f>SAÍDAS!M90</f>
        <v>0</v>
      </c>
      <c r="M773" s="300">
        <f>SAÍDAS!N90</f>
        <v>0</v>
      </c>
      <c r="N773" s="300">
        <f>SAÍDAS!O90</f>
        <v>0</v>
      </c>
      <c r="O773" s="300">
        <f>SAÍDAS!P90</f>
        <v>0</v>
      </c>
      <c r="P773" s="224"/>
      <c r="Q773" s="678"/>
    </row>
    <row r="774" spans="1:17" hidden="1" x14ac:dyDescent="0.25">
      <c r="A774" s="670"/>
      <c r="B774" s="741" t="s">
        <v>180</v>
      </c>
      <c r="C774" s="300">
        <f>SUM(D774:O774)</f>
        <v>32833.549999999996</v>
      </c>
      <c r="D774" s="300">
        <f>SUM(D756:D772)</f>
        <v>4161.7300000000005</v>
      </c>
      <c r="E774" s="300">
        <f t="shared" ref="E774:O774" si="204">SUM(E756:E772)</f>
        <v>2904.23</v>
      </c>
      <c r="F774" s="300">
        <f t="shared" si="204"/>
        <v>5016.9400000000005</v>
      </c>
      <c r="G774" s="300">
        <f t="shared" si="204"/>
        <v>3530.3</v>
      </c>
      <c r="H774" s="300">
        <f t="shared" si="204"/>
        <v>4729.45</v>
      </c>
      <c r="I774" s="300">
        <f t="shared" si="204"/>
        <v>3186.85</v>
      </c>
      <c r="J774" s="300">
        <f t="shared" si="204"/>
        <v>4587.67</v>
      </c>
      <c r="K774" s="300">
        <f t="shared" si="204"/>
        <v>4716.38</v>
      </c>
      <c r="L774" s="300">
        <f t="shared" si="204"/>
        <v>0</v>
      </c>
      <c r="M774" s="300">
        <f t="shared" si="204"/>
        <v>0</v>
      </c>
      <c r="N774" s="300">
        <f t="shared" si="204"/>
        <v>0</v>
      </c>
      <c r="O774" s="300">
        <f t="shared" si="204"/>
        <v>0</v>
      </c>
      <c r="P774" s="300">
        <f>P699+P624+P549+P474</f>
        <v>334635</v>
      </c>
      <c r="Q774" s="678"/>
    </row>
    <row r="775" spans="1:17" hidden="1" x14ac:dyDescent="0.25">
      <c r="A775" s="670"/>
      <c r="B775" s="1057"/>
      <c r="C775" s="228"/>
      <c r="D775" s="300"/>
      <c r="E775" s="300"/>
      <c r="F775" s="300"/>
      <c r="G775" s="300"/>
      <c r="H775" s="300"/>
      <c r="I775" s="300"/>
      <c r="J775" s="300"/>
      <c r="K775" s="300"/>
      <c r="L775" s="300"/>
      <c r="M775" s="300"/>
      <c r="N775" s="300"/>
      <c r="O775" s="300"/>
      <c r="P775" s="300"/>
      <c r="Q775" s="678"/>
    </row>
    <row r="776" spans="1:17" hidden="1" x14ac:dyDescent="0.25">
      <c r="A776" s="670"/>
      <c r="B776" s="742" t="s">
        <v>17</v>
      </c>
      <c r="C776" s="743"/>
      <c r="D776" s="744">
        <f>D774+D753</f>
        <v>12234.2</v>
      </c>
      <c r="E776" s="744">
        <f t="shared" ref="E776:O776" si="205">E774+E753</f>
        <v>8135.3700000000008</v>
      </c>
      <c r="F776" s="744">
        <f t="shared" si="205"/>
        <v>194091.54</v>
      </c>
      <c r="G776" s="744">
        <f t="shared" si="205"/>
        <v>15031.36</v>
      </c>
      <c r="H776" s="744">
        <f t="shared" si="205"/>
        <v>10379.799999999999</v>
      </c>
      <c r="I776" s="744">
        <f t="shared" si="205"/>
        <v>10877.169999999998</v>
      </c>
      <c r="J776" s="744">
        <f t="shared" si="205"/>
        <v>237719.27000000002</v>
      </c>
      <c r="K776" s="744">
        <f t="shared" si="205"/>
        <v>50281.09</v>
      </c>
      <c r="L776" s="744">
        <f t="shared" si="205"/>
        <v>0</v>
      </c>
      <c r="M776" s="744">
        <f t="shared" si="205"/>
        <v>0</v>
      </c>
      <c r="N776" s="744">
        <f t="shared" si="205"/>
        <v>0</v>
      </c>
      <c r="O776" s="744">
        <f t="shared" si="205"/>
        <v>0</v>
      </c>
      <c r="P776" s="744">
        <f>SUM(D776:O776)</f>
        <v>538749.80000000005</v>
      </c>
      <c r="Q776" s="706"/>
    </row>
    <row r="777" spans="1:17" hidden="1" x14ac:dyDescent="0.25">
      <c r="A777" s="670"/>
      <c r="B777" s="745" t="s">
        <v>178</v>
      </c>
      <c r="C777" s="680"/>
      <c r="D777" s="746">
        <f>D776</f>
        <v>12234.2</v>
      </c>
      <c r="E777" s="746">
        <f t="shared" ref="E777" si="206">D777+E776</f>
        <v>20369.57</v>
      </c>
      <c r="F777" s="746">
        <f t="shared" ref="F777" si="207">E777+F776</f>
        <v>214461.11000000002</v>
      </c>
      <c r="G777" s="746">
        <f>F777+G776</f>
        <v>229492.47000000003</v>
      </c>
      <c r="H777" s="746">
        <f>G777+H776</f>
        <v>239872.27000000002</v>
      </c>
      <c r="I777" s="746">
        <f>H777+I776</f>
        <v>250749.44</v>
      </c>
      <c r="J777" s="746">
        <f>I777+J776</f>
        <v>488468.71</v>
      </c>
      <c r="K777" s="746">
        <f t="shared" ref="K777" si="208">J777+K776</f>
        <v>538749.80000000005</v>
      </c>
      <c r="L777" s="746">
        <f t="shared" ref="L777" si="209">K777+L776</f>
        <v>538749.80000000005</v>
      </c>
      <c r="M777" s="746">
        <f t="shared" ref="M777" si="210">L777+M776</f>
        <v>538749.80000000005</v>
      </c>
      <c r="N777" s="746">
        <f t="shared" ref="N777" si="211">M777+N776</f>
        <v>538749.80000000005</v>
      </c>
      <c r="O777" s="747">
        <f t="shared" ref="O777" si="212">N777+O776</f>
        <v>538749.80000000005</v>
      </c>
      <c r="P777" s="748"/>
      <c r="Q777" s="706"/>
    </row>
    <row r="778" spans="1:17" hidden="1" x14ac:dyDescent="0.25">
      <c r="A778" s="670"/>
      <c r="B778" s="745" t="s">
        <v>181</v>
      </c>
      <c r="C778" s="680"/>
      <c r="D778" s="749">
        <f t="shared" ref="D778:O778" si="213">IF(D166="",0,D776)</f>
        <v>12234.2</v>
      </c>
      <c r="E778" s="749">
        <f t="shared" si="213"/>
        <v>8135.3700000000008</v>
      </c>
      <c r="F778" s="749">
        <f t="shared" si="213"/>
        <v>194091.54</v>
      </c>
      <c r="G778" s="749">
        <f t="shared" si="213"/>
        <v>15031.36</v>
      </c>
      <c r="H778" s="749">
        <f t="shared" si="213"/>
        <v>10379.799999999999</v>
      </c>
      <c r="I778" s="749">
        <f t="shared" si="213"/>
        <v>10877.169999999998</v>
      </c>
      <c r="J778" s="749">
        <f t="shared" si="213"/>
        <v>237719.27000000002</v>
      </c>
      <c r="K778" s="749">
        <f t="shared" si="213"/>
        <v>50281.09</v>
      </c>
      <c r="L778" s="749">
        <f t="shared" si="213"/>
        <v>0</v>
      </c>
      <c r="M778" s="749">
        <f t="shared" si="213"/>
        <v>0</v>
      </c>
      <c r="N778" s="749">
        <f t="shared" si="213"/>
        <v>0</v>
      </c>
      <c r="O778" s="749">
        <f t="shared" si="213"/>
        <v>0</v>
      </c>
      <c r="P778" s="748"/>
      <c r="Q778" s="706"/>
    </row>
    <row r="779" spans="1:17" hidden="1" x14ac:dyDescent="0.25">
      <c r="A779" s="670"/>
      <c r="B779" s="745" t="s">
        <v>182</v>
      </c>
      <c r="C779" s="680"/>
      <c r="D779" s="759">
        <f>D778</f>
        <v>12234.2</v>
      </c>
      <c r="E779" s="759">
        <f t="shared" ref="E779" si="214">(D779+E778)</f>
        <v>20369.57</v>
      </c>
      <c r="F779" s="759">
        <f t="shared" ref="F779" si="215">(E779+F778)</f>
        <v>214461.11000000002</v>
      </c>
      <c r="G779" s="759">
        <f>(F779+G778)</f>
        <v>229492.47000000003</v>
      </c>
      <c r="H779" s="759">
        <f>(G779+H778)</f>
        <v>239872.27000000002</v>
      </c>
      <c r="I779" s="759">
        <f>(H779+I778)</f>
        <v>250749.44</v>
      </c>
      <c r="J779" s="759">
        <f>(I779+J778)</f>
        <v>488468.71</v>
      </c>
      <c r="K779" s="759">
        <f t="shared" ref="K779" si="216">(J779+K778)</f>
        <v>538749.80000000005</v>
      </c>
      <c r="L779" s="759">
        <f t="shared" ref="L779" si="217">(K779+L778)</f>
        <v>538749.80000000005</v>
      </c>
      <c r="M779" s="759">
        <f t="shared" ref="M779" si="218">(L779+M778)</f>
        <v>538749.80000000005</v>
      </c>
      <c r="N779" s="759">
        <f t="shared" ref="N779" si="219">(M779+N778)</f>
        <v>538749.80000000005</v>
      </c>
      <c r="O779" s="760">
        <f t="shared" ref="O779" si="220">(N779+O778)</f>
        <v>538749.80000000005</v>
      </c>
      <c r="P779" s="748"/>
      <c r="Q779" s="706"/>
    </row>
    <row r="780" spans="1:17" hidden="1" x14ac:dyDescent="0.25">
      <c r="A780" s="670"/>
      <c r="B780" s="752" t="s">
        <v>184</v>
      </c>
      <c r="C780" s="680"/>
      <c r="D780" s="749">
        <f>IF(D166="",0,1)</f>
        <v>1</v>
      </c>
      <c r="E780" s="749">
        <f>IF(E166="",0,2)</f>
        <v>2</v>
      </c>
      <c r="F780" s="749">
        <f>IF(F166="",0,3)</f>
        <v>3</v>
      </c>
      <c r="G780" s="749">
        <f>IF(G166="",0,4)</f>
        <v>4</v>
      </c>
      <c r="H780" s="749">
        <f>IF(H166="",0,5)</f>
        <v>5</v>
      </c>
      <c r="I780" s="749">
        <f>IF(I166="",0,6)</f>
        <v>6</v>
      </c>
      <c r="J780" s="749">
        <f>IF(J166="",0,7)</f>
        <v>7</v>
      </c>
      <c r="K780" s="749">
        <f>IF(K166="",0,8)</f>
        <v>8</v>
      </c>
      <c r="L780" s="749">
        <f>IF(L166="",0,9)</f>
        <v>9</v>
      </c>
      <c r="M780" s="749">
        <f>IF(M166="",0,10)</f>
        <v>10</v>
      </c>
      <c r="N780" s="749">
        <f>IF(N166="",0,11)</f>
        <v>11</v>
      </c>
      <c r="O780" s="749">
        <f>IF(O166="",0,12)</f>
        <v>12</v>
      </c>
      <c r="P780" s="680">
        <f>LARGE(D780:O780,1)</f>
        <v>12</v>
      </c>
      <c r="Q780" s="706"/>
    </row>
    <row r="781" spans="1:17" hidden="1" x14ac:dyDescent="0.25">
      <c r="A781" s="670"/>
      <c r="B781" s="752" t="s">
        <v>185</v>
      </c>
      <c r="C781" s="680"/>
      <c r="D781" s="680">
        <f>IF(D780=0,0,IF(D776=D778,0,1))</f>
        <v>0</v>
      </c>
      <c r="E781" s="680">
        <f t="shared" ref="E781" si="221">IF(AND(D780=0,E780&lt;&gt;0),E780,0)</f>
        <v>0</v>
      </c>
      <c r="F781" s="680">
        <f t="shared" ref="F781" si="222">IF(AND(E780=0,F780&lt;&gt;0),F780,0)</f>
        <v>0</v>
      </c>
      <c r="G781" s="680">
        <f>IF(AND(F780=0,G780&lt;&gt;0),G780,0)</f>
        <v>0</v>
      </c>
      <c r="H781" s="680">
        <f>IF(AND(G780=0,H780&lt;&gt;0),H780,0)</f>
        <v>0</v>
      </c>
      <c r="I781" s="680">
        <f>IF(AND(H780=0,I780&lt;&gt;0),I780,0)</f>
        <v>0</v>
      </c>
      <c r="J781" s="680">
        <f>IF(AND(I780=0,J780&lt;&gt;0),J780,0)</f>
        <v>0</v>
      </c>
      <c r="K781" s="680">
        <f t="shared" ref="K781" si="223">IF(AND(J780=0,K780&lt;&gt;0),K780,0)</f>
        <v>0</v>
      </c>
      <c r="L781" s="680">
        <f t="shared" ref="L781" si="224">IF(AND(K780=0,L780&lt;&gt;0),L780,0)</f>
        <v>0</v>
      </c>
      <c r="M781" s="680">
        <f t="shared" ref="M781" si="225">IF(AND(L780=0,M780&lt;&gt;0),M780,0)</f>
        <v>0</v>
      </c>
      <c r="N781" s="680">
        <f t="shared" ref="N781" si="226">IF(AND(M780=0,N780&lt;&gt;0),N780,0)</f>
        <v>0</v>
      </c>
      <c r="O781" s="751">
        <f t="shared" ref="O781" si="227">IF(AND(N780=0,O780&lt;&gt;0),O780,0)</f>
        <v>0</v>
      </c>
      <c r="P781" s="748"/>
      <c r="Q781" s="706"/>
    </row>
    <row r="782" spans="1:17" hidden="1" x14ac:dyDescent="0.25">
      <c r="A782" s="670"/>
      <c r="B782" s="752" t="s">
        <v>186</v>
      </c>
      <c r="C782" s="680"/>
      <c r="D782" s="746">
        <f>D777-D779</f>
        <v>0</v>
      </c>
      <c r="E782" s="746">
        <f t="shared" ref="E782:O782" si="228">IF(E781=0,0,E777-E779)</f>
        <v>0</v>
      </c>
      <c r="F782" s="746">
        <f t="shared" si="228"/>
        <v>0</v>
      </c>
      <c r="G782" s="746">
        <f t="shared" si="228"/>
        <v>0</v>
      </c>
      <c r="H782" s="746">
        <f t="shared" si="228"/>
        <v>0</v>
      </c>
      <c r="I782" s="746">
        <f t="shared" si="228"/>
        <v>0</v>
      </c>
      <c r="J782" s="746">
        <f t="shared" si="228"/>
        <v>0</v>
      </c>
      <c r="K782" s="746">
        <f t="shared" si="228"/>
        <v>0</v>
      </c>
      <c r="L782" s="746">
        <f t="shared" si="228"/>
        <v>0</v>
      </c>
      <c r="M782" s="746">
        <f t="shared" si="228"/>
        <v>0</v>
      </c>
      <c r="N782" s="746">
        <f t="shared" si="228"/>
        <v>0</v>
      </c>
      <c r="O782" s="747">
        <f t="shared" si="228"/>
        <v>0</v>
      </c>
      <c r="P782" s="746">
        <f>P776-P783</f>
        <v>0</v>
      </c>
      <c r="Q782" s="706"/>
    </row>
    <row r="783" spans="1:17" hidden="1" x14ac:dyDescent="0.25">
      <c r="A783" s="670"/>
      <c r="B783" s="746" t="s">
        <v>187</v>
      </c>
      <c r="C783" s="680"/>
      <c r="D783" s="746">
        <f t="shared" ref="D783:O783" si="229">D778+D782</f>
        <v>12234.2</v>
      </c>
      <c r="E783" s="746">
        <f t="shared" si="229"/>
        <v>8135.3700000000008</v>
      </c>
      <c r="F783" s="746">
        <f t="shared" si="229"/>
        <v>194091.54</v>
      </c>
      <c r="G783" s="746">
        <f t="shared" si="229"/>
        <v>15031.36</v>
      </c>
      <c r="H783" s="746">
        <f t="shared" si="229"/>
        <v>10379.799999999999</v>
      </c>
      <c r="I783" s="746">
        <f t="shared" si="229"/>
        <v>10877.169999999998</v>
      </c>
      <c r="J783" s="746">
        <f t="shared" si="229"/>
        <v>237719.27000000002</v>
      </c>
      <c r="K783" s="746">
        <f t="shared" si="229"/>
        <v>50281.09</v>
      </c>
      <c r="L783" s="746">
        <f t="shared" si="229"/>
        <v>0</v>
      </c>
      <c r="M783" s="746">
        <f t="shared" si="229"/>
        <v>0</v>
      </c>
      <c r="N783" s="746">
        <f t="shared" si="229"/>
        <v>0</v>
      </c>
      <c r="O783" s="746">
        <f t="shared" si="229"/>
        <v>0</v>
      </c>
      <c r="P783" s="746">
        <f>SUM(D783:O783)</f>
        <v>538749.80000000005</v>
      </c>
      <c r="Q783" s="706"/>
    </row>
    <row r="784" spans="1:17" ht="15.75" hidden="1" thickBot="1" x14ac:dyDescent="0.3">
      <c r="A784" s="670"/>
      <c r="B784" s="746" t="s">
        <v>183</v>
      </c>
      <c r="C784" s="754">
        <f>COUNTIF(D780:O780,0)</f>
        <v>0</v>
      </c>
      <c r="D784" s="746">
        <f t="shared" ref="D784:O784" si="230">IF(D780=$P780,$P782,0)+D783</f>
        <v>12234.2</v>
      </c>
      <c r="E784" s="746">
        <f t="shared" si="230"/>
        <v>8135.3700000000008</v>
      </c>
      <c r="F784" s="746">
        <f t="shared" si="230"/>
        <v>194091.54</v>
      </c>
      <c r="G784" s="746">
        <f t="shared" si="230"/>
        <v>15031.36</v>
      </c>
      <c r="H784" s="746">
        <f t="shared" si="230"/>
        <v>10379.799999999999</v>
      </c>
      <c r="I784" s="746">
        <f t="shared" si="230"/>
        <v>10877.169999999998</v>
      </c>
      <c r="J784" s="746">
        <f t="shared" si="230"/>
        <v>237719.27000000002</v>
      </c>
      <c r="K784" s="746">
        <f t="shared" si="230"/>
        <v>50281.09</v>
      </c>
      <c r="L784" s="746">
        <f t="shared" si="230"/>
        <v>0</v>
      </c>
      <c r="M784" s="746">
        <f t="shared" si="230"/>
        <v>0</v>
      </c>
      <c r="N784" s="746">
        <f t="shared" si="230"/>
        <v>0</v>
      </c>
      <c r="O784" s="746">
        <f t="shared" si="230"/>
        <v>0</v>
      </c>
      <c r="P784" s="746">
        <f>SUM(D784:O784)</f>
        <v>538749.80000000005</v>
      </c>
      <c r="Q784" s="706"/>
    </row>
    <row r="785" spans="1:17" ht="15.75" hidden="1" thickBot="1" x14ac:dyDescent="0.3">
      <c r="A785" s="670"/>
      <c r="B785" s="751" t="s">
        <v>190</v>
      </c>
      <c r="C785" s="757" t="e">
        <f>HLOOKUP(P780,D340:O342,3,FALSE)</f>
        <v>#DIV/0!</v>
      </c>
      <c r="D785" s="228"/>
      <c r="E785" s="228"/>
      <c r="F785" s="228"/>
      <c r="G785" s="228"/>
      <c r="H785" s="228"/>
      <c r="I785" s="228"/>
      <c r="J785" s="228"/>
      <c r="K785" s="228"/>
      <c r="L785" s="228"/>
      <c r="M785" s="228"/>
      <c r="N785" s="228"/>
      <c r="O785" s="228"/>
      <c r="P785" s="300"/>
      <c r="Q785" s="706"/>
    </row>
    <row r="786" spans="1:17" ht="15.75" hidden="1" thickBot="1" x14ac:dyDescent="0.3">
      <c r="A786" s="670"/>
      <c r="B786" s="751" t="s">
        <v>191</v>
      </c>
      <c r="C786" s="758" t="e">
        <f>P342</f>
        <v>#DIV/0!</v>
      </c>
      <c r="D786" s="228"/>
      <c r="E786" s="228"/>
      <c r="F786" s="228"/>
      <c r="G786" s="228"/>
      <c r="H786" s="228"/>
      <c r="I786" s="228"/>
      <c r="J786" s="228"/>
      <c r="K786" s="228"/>
      <c r="L786" s="228"/>
      <c r="M786" s="228"/>
      <c r="N786" s="228"/>
      <c r="O786" s="228"/>
      <c r="P786" s="300"/>
      <c r="Q786" s="706"/>
    </row>
    <row r="787" spans="1:17" hidden="1" x14ac:dyDescent="0.25">
      <c r="A787" s="670"/>
      <c r="B787" s="224"/>
      <c r="C787" s="224"/>
      <c r="D787" s="724"/>
      <c r="E787" s="724"/>
      <c r="F787" s="724"/>
      <c r="G787" s="724"/>
      <c r="H787" s="724"/>
      <c r="I787" s="724"/>
      <c r="J787" s="724"/>
      <c r="K787" s="724"/>
      <c r="L787" s="724"/>
      <c r="M787" s="724"/>
      <c r="N787" s="724"/>
      <c r="O787" s="724"/>
      <c r="P787" s="300"/>
      <c r="Q787" s="706"/>
    </row>
    <row r="788" spans="1:17" ht="15.75" hidden="1" thickBot="1" x14ac:dyDescent="0.3">
      <c r="A788" s="701"/>
      <c r="B788" s="702"/>
      <c r="C788" s="1058"/>
      <c r="D788" s="702"/>
      <c r="E788" s="702"/>
      <c r="F788" s="702"/>
      <c r="G788" s="702"/>
      <c r="H788" s="702"/>
      <c r="I788" s="702"/>
      <c r="J788" s="702"/>
      <c r="K788" s="702"/>
      <c r="L788" s="702"/>
      <c r="M788" s="702"/>
      <c r="N788" s="702"/>
      <c r="O788" s="702"/>
      <c r="P788" s="702"/>
      <c r="Q788" s="723"/>
    </row>
    <row r="789" spans="1:17" ht="15.75" hidden="1" thickTop="1" x14ac:dyDescent="0.25"/>
    <row r="790" spans="1:17" hidden="1" x14ac:dyDescent="0.25"/>
    <row r="791" spans="1:17" hidden="1" x14ac:dyDescent="0.25"/>
    <row r="792" spans="1:17" hidden="1" x14ac:dyDescent="0.25"/>
    <row r="793" spans="1:17" hidden="1" x14ac:dyDescent="0.25"/>
    <row r="794" spans="1:17" hidden="1" x14ac:dyDescent="0.25"/>
    <row r="795" spans="1:17" hidden="1" x14ac:dyDescent="0.25"/>
    <row r="796" spans="1:17" hidden="1" x14ac:dyDescent="0.25"/>
    <row r="797" spans="1:17" hidden="1" x14ac:dyDescent="0.25"/>
    <row r="798" spans="1:17" hidden="1" x14ac:dyDescent="0.25"/>
    <row r="799" spans="1:17" hidden="1" x14ac:dyDescent="0.25"/>
    <row r="800" spans="1:17"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x14ac:dyDescent="0.25"/>
  </sheetData>
  <sheetProtection password="E066" sheet="1" objects="1" scenarios="1" selectLockedCells="1"/>
  <mergeCells count="32">
    <mergeCell ref="L17:M17"/>
    <mergeCell ref="L18:M18"/>
    <mergeCell ref="L19:M19"/>
    <mergeCell ref="M24:M25"/>
    <mergeCell ref="P50:R50"/>
    <mergeCell ref="S50:U50"/>
    <mergeCell ref="J57:L57"/>
    <mergeCell ref="M57:O57"/>
    <mergeCell ref="P57:R57"/>
    <mergeCell ref="S57:U57"/>
    <mergeCell ref="N125:O125"/>
    <mergeCell ref="B15:C15"/>
    <mergeCell ref="E141:F141"/>
    <mergeCell ref="H125:I125"/>
    <mergeCell ref="G50:H50"/>
    <mergeCell ref="G141:H141"/>
    <mergeCell ref="E30:F30"/>
    <mergeCell ref="I141:J141"/>
    <mergeCell ref="K141:L141"/>
    <mergeCell ref="H140:O140"/>
    <mergeCell ref="B77:C77"/>
    <mergeCell ref="J50:L50"/>
    <mergeCell ref="M50:O50"/>
    <mergeCell ref="L15:M15"/>
    <mergeCell ref="N24:N25"/>
    <mergeCell ref="L16:M16"/>
    <mergeCell ref="G24:I24"/>
    <mergeCell ref="J24:L24"/>
    <mergeCell ref="E24:F24"/>
    <mergeCell ref="E29:F29"/>
    <mergeCell ref="J125:K125"/>
    <mergeCell ref="L125:M125"/>
  </mergeCells>
  <conditionalFormatting sqref="C8 K8">
    <cfRule type="expression" dxfId="0" priority="4">
      <formula>$C$8=0</formula>
    </cfRule>
  </conditionalFormatting>
  <pageMargins left="0.25" right="0.25" top="0.75" bottom="0.75" header="0.3" footer="0.3"/>
  <pageSetup paperSize="9" orientation="landscape" r:id="rId1"/>
  <ignoredErrors>
    <ignoredError sqref="D551 D336 C106 K78" 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58"/>
  <sheetViews>
    <sheetView showGridLines="0" topLeftCell="A10" zoomScale="80" zoomScaleNormal="80" workbookViewId="0">
      <selection activeCell="G16" sqref="G16"/>
    </sheetView>
  </sheetViews>
  <sheetFormatPr defaultColWidth="0" defaultRowHeight="15" zeroHeight="1" x14ac:dyDescent="0.25"/>
  <cols>
    <col min="1" max="1" width="1.28515625" style="460" customWidth="1"/>
    <col min="2" max="2" width="36.42578125" style="460" customWidth="1"/>
    <col min="3" max="3" width="12" style="460" customWidth="1"/>
    <col min="4" max="6" width="9" style="460" customWidth="1"/>
    <col min="7" max="7" width="10.28515625" style="460" bestFit="1" customWidth="1"/>
    <col min="8" max="11" width="9" style="460" customWidth="1"/>
    <col min="12" max="13" width="10.42578125" style="460" bestFit="1" customWidth="1"/>
    <col min="14" max="15" width="10.85546875" style="460" bestFit="1" customWidth="1"/>
    <col min="16" max="16" width="1.28515625" style="460" customWidth="1"/>
    <col min="17" max="16383" width="9.140625" style="460" hidden="1"/>
    <col min="16384" max="16384" width="2.5703125" style="460" hidden="1"/>
  </cols>
  <sheetData>
    <row r="1" spans="2:12" ht="15.75" thickBot="1" x14ac:dyDescent="0.3"/>
    <row r="2" spans="2:12" ht="15.75" thickTop="1" x14ac:dyDescent="0.25">
      <c r="B2" s="465" t="str">
        <f>REBANHO!B2</f>
        <v>Fazenda</v>
      </c>
      <c r="C2" s="466" t="str">
        <f>IF(REBANHO!C2="","",REBANHO!C2)</f>
        <v>Bonanza</v>
      </c>
      <c r="D2" s="466"/>
      <c r="E2" s="466"/>
      <c r="F2" s="466"/>
      <c r="G2" s="466"/>
      <c r="H2" s="466" t="str">
        <f>REBANHO!F2</f>
        <v>Ano</v>
      </c>
      <c r="I2" s="466"/>
      <c r="J2" s="466"/>
      <c r="K2" s="466"/>
      <c r="L2" s="467">
        <f>IF(REBANHO!I2="","",REBANHO!I2)</f>
        <v>2016</v>
      </c>
    </row>
    <row r="3" spans="2:12" x14ac:dyDescent="0.25">
      <c r="B3" s="468" t="str">
        <f>REBANHO!B3</f>
        <v>Município</v>
      </c>
      <c r="C3" s="469" t="str">
        <f>IF(REBANHO!C3="","",REBANHO!C3)</f>
        <v>Quatá</v>
      </c>
      <c r="D3" s="469"/>
      <c r="E3" s="469"/>
      <c r="F3" s="469"/>
      <c r="G3" s="469"/>
      <c r="H3" s="469" t="str">
        <f>REBANHO!F3</f>
        <v>Área total da propriedade (ha)</v>
      </c>
      <c r="I3" s="469"/>
      <c r="J3" s="469"/>
      <c r="K3" s="469"/>
      <c r="L3" s="470">
        <f>IF(REBANHO!I3="","",REBANHO!I3)</f>
        <v>1100</v>
      </c>
    </row>
    <row r="4" spans="2:12" x14ac:dyDescent="0.25">
      <c r="B4" s="468" t="str">
        <f>REBANHO!B4</f>
        <v>Estado</v>
      </c>
      <c r="C4" s="469" t="str">
        <f>IF(REBANHO!C4="","",REBANHO!C4)</f>
        <v>SP</v>
      </c>
      <c r="D4" s="469"/>
      <c r="E4" s="469"/>
      <c r="F4" s="469"/>
      <c r="G4" s="469"/>
      <c r="H4" s="469" t="str">
        <f>REBANHO!F4</f>
        <v>Área de pasto (ha)</v>
      </c>
      <c r="I4" s="469"/>
      <c r="J4" s="469"/>
      <c r="K4" s="469"/>
      <c r="L4" s="470">
        <f>IF(REBANHO!I4="","",REBANHO!I4)</f>
        <v>100.9</v>
      </c>
    </row>
    <row r="5" spans="2:12" x14ac:dyDescent="0.25">
      <c r="B5" s="468" t="str">
        <f>REBANHO!B5</f>
        <v>Proprietário</v>
      </c>
      <c r="C5" s="469" t="str">
        <f>IF(REBANHO!C5="","",REBANHO!C5)</f>
        <v>Marcelo Delchiaro</v>
      </c>
      <c r="D5" s="469"/>
      <c r="E5" s="469"/>
      <c r="F5" s="469"/>
      <c r="G5" s="469"/>
      <c r="H5" s="469" t="str">
        <f>REBANHO!F5</f>
        <v>Área de reserva (ha)</v>
      </c>
      <c r="I5" s="469"/>
      <c r="J5" s="469"/>
      <c r="K5" s="469"/>
      <c r="L5" s="470">
        <f>IF(REBANHO!I5="","",REBANHO!I5)</f>
        <v>11</v>
      </c>
    </row>
    <row r="6" spans="2:12" x14ac:dyDescent="0.25">
      <c r="B6" s="468" t="str">
        <f>REBANHO!B6</f>
        <v>Sistema de produção</v>
      </c>
      <c r="C6" s="469" t="str">
        <f>IF(REBANHO!C6="","",REBANHO!C6)</f>
        <v>Rotacionado - Adubado</v>
      </c>
      <c r="D6" s="469"/>
      <c r="E6" s="469"/>
      <c r="F6" s="469"/>
      <c r="G6" s="469"/>
      <c r="H6" s="469" t="str">
        <f>REBANHO!F6</f>
        <v>Outros (ha)</v>
      </c>
      <c r="I6" s="469"/>
      <c r="J6" s="469"/>
      <c r="K6" s="469"/>
      <c r="L6" s="470" t="str">
        <f>IF(REBANHO!I6="","",REBANHO!I6)</f>
        <v/>
      </c>
    </row>
    <row r="7" spans="2:12" ht="15.75" thickBot="1" x14ac:dyDescent="0.3">
      <c r="B7" s="471" t="str">
        <f>REBANHO!B7</f>
        <v>Valor da terra (R$/ha)</v>
      </c>
      <c r="C7" s="472">
        <f>IF(REBANHO!C7="","",REBANHO!C7)</f>
        <v>30000</v>
      </c>
      <c r="D7" s="472"/>
      <c r="E7" s="472"/>
      <c r="F7" s="472"/>
      <c r="G7" s="472"/>
      <c r="H7" s="472" t="str">
        <f>REBANHO!F7</f>
        <v>Taxa de Juros Anual (%)</v>
      </c>
      <c r="I7" s="472"/>
      <c r="J7" s="472"/>
      <c r="K7" s="472"/>
      <c r="L7" s="473">
        <f>IF(REBANHO!I7="","",REBANHO!I7)</f>
        <v>6</v>
      </c>
    </row>
    <row r="8" spans="2:12" ht="15.75" thickTop="1" x14ac:dyDescent="0.25"/>
    <row r="9" spans="2:12" ht="15.75" thickBot="1" x14ac:dyDescent="0.3"/>
    <row r="10" spans="2:12" ht="16.5" thickTop="1" thickBot="1" x14ac:dyDescent="0.3">
      <c r="B10" s="1265" t="s">
        <v>316</v>
      </c>
      <c r="C10" s="1266"/>
      <c r="D10" s="80"/>
    </row>
    <row r="11" spans="2:12" ht="15.75" thickTop="1" x14ac:dyDescent="0.25"/>
    <row r="12" spans="2:12" ht="15.75" thickBot="1" x14ac:dyDescent="0.3"/>
    <row r="13" spans="2:12" ht="15.75" thickTop="1" x14ac:dyDescent="0.25">
      <c r="B13" s="1270" t="s">
        <v>315</v>
      </c>
      <c r="C13" s="1271"/>
      <c r="D13" s="1271"/>
      <c r="E13" s="1271"/>
      <c r="F13" s="1272"/>
      <c r="G13" s="474">
        <f>IF(REBANHO!R54=0,0,(REBANHO!Q63/REBANHO!R54)*100)</f>
        <v>0</v>
      </c>
      <c r="H13" s="461"/>
      <c r="I13" s="461"/>
      <c r="J13" s="461"/>
      <c r="K13" s="461"/>
      <c r="L13" s="461"/>
    </row>
    <row r="14" spans="2:12" x14ac:dyDescent="0.25">
      <c r="B14" s="1267" t="s">
        <v>331</v>
      </c>
      <c r="C14" s="1268"/>
      <c r="D14" s="1268"/>
      <c r="E14" s="1268"/>
      <c r="F14" s="1269"/>
      <c r="G14" s="475">
        <f>IF(N39=0,0,IF(AND(SUM(C40:N40)=0,OR(SUM(C44:N44)=0,SUM(C44:N44)&lt;0)),0,(O43/N39)*100))</f>
        <v>0</v>
      </c>
      <c r="H14" s="461"/>
      <c r="I14" s="461"/>
      <c r="J14" s="461"/>
      <c r="K14" s="461"/>
      <c r="L14" s="461"/>
    </row>
    <row r="15" spans="2:12" x14ac:dyDescent="0.25">
      <c r="B15" s="1267" t="s">
        <v>330</v>
      </c>
      <c r="C15" s="1268"/>
      <c r="D15" s="1268"/>
      <c r="E15" s="1268"/>
      <c r="F15" s="1269"/>
      <c r="G15" s="475">
        <f>IF(N60=0,0,IF(AND(SUM(C61:N61)=0,OR(SUM(C65:N65)=0,SUM(C65:N65)&lt;0)),0,(O64/N60)*100))</f>
        <v>0</v>
      </c>
      <c r="H15" s="461"/>
      <c r="I15" s="461"/>
      <c r="J15" s="461"/>
      <c r="K15" s="461"/>
      <c r="L15" s="461"/>
    </row>
    <row r="16" spans="2:12" x14ac:dyDescent="0.25">
      <c r="B16" s="1267" t="s">
        <v>317</v>
      </c>
      <c r="C16" s="1268"/>
      <c r="D16" s="1268"/>
      <c r="E16" s="1268"/>
      <c r="F16" s="1269"/>
      <c r="G16" s="476">
        <f>IF(OR('RESULTADOS FINANCEIROS'!M26=0,'RESULTADOS FINANCEIROS'!M26="-"),0,(REBANHO!Q67/'RESULTADOS FINANCEIROS'!M26)*100)</f>
        <v>0</v>
      </c>
      <c r="H16" s="461"/>
      <c r="I16" s="461"/>
      <c r="J16" s="461"/>
      <c r="K16" s="461"/>
      <c r="L16" s="461"/>
    </row>
    <row r="17" spans="2:23" x14ac:dyDescent="0.25">
      <c r="B17" s="1267" t="s">
        <v>318</v>
      </c>
      <c r="C17" s="1268"/>
      <c r="D17" s="1268"/>
      <c r="E17" s="1268"/>
      <c r="F17" s="1269"/>
      <c r="G17" s="476">
        <f>IF(OR('RESULTADOS FINANCEIROS'!M27=0,'RESULTADOS FINANCEIROS'!M27="-"),0,(REBANHO!Q69/'RESULTADOS FINANCEIROS'!M27)*100)</f>
        <v>0.65843621399176955</v>
      </c>
      <c r="H17" s="461"/>
      <c r="I17" s="461"/>
      <c r="J17" s="461"/>
      <c r="K17" s="461"/>
      <c r="L17" s="461"/>
    </row>
    <row r="18" spans="2:23" x14ac:dyDescent="0.25">
      <c r="B18" s="1267" t="s">
        <v>319</v>
      </c>
      <c r="C18" s="1268"/>
      <c r="D18" s="1268"/>
      <c r="E18" s="1268"/>
      <c r="F18" s="1269"/>
      <c r="G18" s="476">
        <f>IF(OR('RESULTADOS FINANCEIROS'!M28=0,'RESULTADOS FINANCEIROS'!M28="-"),0,(REBANHO!Q71/'RESULTADOS FINANCEIROS'!M28)*100)</f>
        <v>0</v>
      </c>
      <c r="H18" s="461"/>
      <c r="I18" s="461"/>
      <c r="J18" s="461"/>
      <c r="K18" s="461"/>
      <c r="L18" s="461"/>
    </row>
    <row r="19" spans="2:23" x14ac:dyDescent="0.25">
      <c r="B19" s="1267" t="s">
        <v>320</v>
      </c>
      <c r="C19" s="1268"/>
      <c r="D19" s="1268"/>
      <c r="E19" s="1268"/>
      <c r="F19" s="1269"/>
      <c r="G19" s="476">
        <f>IF(OR('RESULTADOS FINANCEIROS'!M29=0,'RESULTADOS FINANCEIROS'!M29="-"),0,(REBANHO!Q73+REBANHO!Q75/'RESULTADOS FINANCEIROS'!M29)*100)</f>
        <v>0</v>
      </c>
      <c r="H19" s="461"/>
      <c r="I19" s="461"/>
      <c r="J19" s="461"/>
      <c r="K19" s="461"/>
      <c r="L19" s="461"/>
    </row>
    <row r="20" spans="2:23" x14ac:dyDescent="0.25">
      <c r="B20" s="1267" t="s">
        <v>321</v>
      </c>
      <c r="C20" s="1268"/>
      <c r="D20" s="1268"/>
      <c r="E20" s="1268"/>
      <c r="F20" s="1269"/>
      <c r="G20" s="477" t="str">
        <f>IF(AND(REBANHO!R54=0,REBANHO!R55=0),0,CONCATENATE(ROUND(REBANHO!R54/REBANHO!R55,0),":","1"))</f>
        <v>0:1</v>
      </c>
      <c r="H20" s="461"/>
      <c r="I20" s="461"/>
      <c r="J20" s="461"/>
      <c r="K20" s="461"/>
      <c r="L20" s="461"/>
    </row>
    <row r="21" spans="2:23" x14ac:dyDescent="0.25">
      <c r="B21" s="1267" t="s">
        <v>339</v>
      </c>
      <c r="C21" s="1268"/>
      <c r="D21" s="1268"/>
      <c r="E21" s="1268"/>
      <c r="F21" s="1269"/>
      <c r="G21" s="478">
        <f>O87</f>
        <v>0</v>
      </c>
      <c r="H21" s="271"/>
      <c r="I21" s="271"/>
      <c r="J21" s="271"/>
      <c r="K21" s="271"/>
      <c r="L21" s="461"/>
    </row>
    <row r="22" spans="2:23" x14ac:dyDescent="0.25">
      <c r="B22" s="1267" t="s">
        <v>340</v>
      </c>
      <c r="C22" s="1268"/>
      <c r="D22" s="1268"/>
      <c r="E22" s="1268"/>
      <c r="F22" s="1269"/>
      <c r="G22" s="1066">
        <f>IF(N88=0,0,(G21/N88)*100)</f>
        <v>0</v>
      </c>
      <c r="H22" s="224"/>
      <c r="I22" s="224"/>
      <c r="J22" s="479"/>
      <c r="K22" s="224"/>
      <c r="L22" s="461"/>
    </row>
    <row r="23" spans="2:23" x14ac:dyDescent="0.25">
      <c r="B23" s="1267" t="s">
        <v>343</v>
      </c>
      <c r="C23" s="1268"/>
      <c r="D23" s="1268"/>
      <c r="E23" s="1268"/>
      <c r="F23" s="1269"/>
      <c r="G23" s="476" t="e">
        <f>IF(REBANHO!R54+REBANHO!R55=0,0,O90/(REBANHO!R54+REBANHO!R55))</f>
        <v>#DIV/0!</v>
      </c>
      <c r="H23" s="224"/>
      <c r="I23" s="224"/>
      <c r="J23" s="479"/>
      <c r="K23" s="224"/>
      <c r="L23" s="461"/>
    </row>
    <row r="24" spans="2:23" x14ac:dyDescent="0.25">
      <c r="B24" s="1267" t="s">
        <v>345</v>
      </c>
      <c r="C24" s="1268"/>
      <c r="D24" s="1268"/>
      <c r="E24" s="1268">
        <f>SUM(O57,O78,O100,O121,O144)</f>
        <v>199596</v>
      </c>
      <c r="F24" s="1269"/>
      <c r="G24" s="476">
        <f>IF((O57+O78+O100+O121+O144)=0,0,(O48+O49+O69+O70+O92++O113+O135+O136)/((O57+O78+O100+O121+O144)))</f>
        <v>0.32873905288683142</v>
      </c>
      <c r="H24" s="461"/>
      <c r="I24" s="461"/>
      <c r="J24" s="461"/>
      <c r="K24" s="461"/>
      <c r="L24" s="461"/>
    </row>
    <row r="25" spans="2:23" ht="15.75" thickBot="1" x14ac:dyDescent="0.3">
      <c r="B25" s="1262" t="s">
        <v>363</v>
      </c>
      <c r="C25" s="1263"/>
      <c r="D25" s="1263"/>
      <c r="E25" s="1263"/>
      <c r="F25" s="1264"/>
      <c r="G25" s="480">
        <f>IF(OR($L$4=0,$L$4=""),0,(O57+O78+O100+O121+O144)/L4)</f>
        <v>1978.1565906838453</v>
      </c>
      <c r="H25" s="224"/>
    </row>
    <row r="26" spans="2:23" ht="16.5" thickTop="1" thickBot="1" x14ac:dyDescent="0.3">
      <c r="B26" s="229"/>
      <c r="C26" s="225"/>
      <c r="D26" s="225"/>
      <c r="E26" s="236"/>
      <c r="F26" s="236"/>
      <c r="G26" s="236"/>
      <c r="H26" s="236"/>
      <c r="I26" s="236"/>
      <c r="J26" s="236"/>
      <c r="K26" s="236"/>
    </row>
    <row r="27" spans="2:23" s="50" customFormat="1" ht="48.75" customHeight="1" thickTop="1" thickBot="1" x14ac:dyDescent="0.3">
      <c r="B27" s="481" t="s">
        <v>249</v>
      </c>
      <c r="C27" s="482" t="s">
        <v>0</v>
      </c>
      <c r="D27" s="482" t="s">
        <v>1</v>
      </c>
      <c r="E27" s="482" t="s">
        <v>2</v>
      </c>
      <c r="F27" s="482" t="s">
        <v>3</v>
      </c>
      <c r="G27" s="482" t="s">
        <v>4</v>
      </c>
      <c r="H27" s="482" t="s">
        <v>5</v>
      </c>
      <c r="I27" s="482" t="s">
        <v>6</v>
      </c>
      <c r="J27" s="482" t="s">
        <v>7</v>
      </c>
      <c r="K27" s="482" t="s">
        <v>8</v>
      </c>
      <c r="L27" s="482" t="s">
        <v>9</v>
      </c>
      <c r="M27" s="482" t="s">
        <v>10</v>
      </c>
      <c r="N27" s="483" t="s">
        <v>11</v>
      </c>
      <c r="O27" s="484" t="s">
        <v>311</v>
      </c>
      <c r="P27" s="230"/>
      <c r="Q27" s="235"/>
      <c r="R27" s="224"/>
      <c r="S27" s="224"/>
      <c r="T27" s="224"/>
      <c r="U27" s="224"/>
      <c r="V27" s="224"/>
      <c r="W27" s="224"/>
    </row>
    <row r="28" spans="2:23" s="50" customFormat="1" ht="15.75" thickTop="1" x14ac:dyDescent="0.25">
      <c r="B28" s="485" t="s">
        <v>121</v>
      </c>
      <c r="C28" s="486">
        <f>REBANHO!E94</f>
        <v>0</v>
      </c>
      <c r="D28" s="486">
        <f>REBANHO!F94</f>
        <v>0</v>
      </c>
      <c r="E28" s="486">
        <f>REBANHO!G94</f>
        <v>0</v>
      </c>
      <c r="F28" s="486">
        <f>REBANHO!H94</f>
        <v>0</v>
      </c>
      <c r="G28" s="486">
        <f>REBANHO!I94</f>
        <v>0</v>
      </c>
      <c r="H28" s="486">
        <f>REBANHO!J94</f>
        <v>0</v>
      </c>
      <c r="I28" s="486">
        <f>REBANHO!K94</f>
        <v>0</v>
      </c>
      <c r="J28" s="486">
        <f>REBANHO!L94</f>
        <v>0</v>
      </c>
      <c r="K28" s="486">
        <f>REBANHO!M94</f>
        <v>0</v>
      </c>
      <c r="L28" s="486">
        <f>REBANHO!N94</f>
        <v>0</v>
      </c>
      <c r="M28" s="486">
        <f>REBANHO!O94</f>
        <v>0</v>
      </c>
      <c r="N28" s="828">
        <f>REBANHO!P94</f>
        <v>0</v>
      </c>
      <c r="O28" s="1064">
        <f>REBANHO!Q94</f>
        <v>0</v>
      </c>
      <c r="Q28" s="487"/>
      <c r="R28" s="224"/>
      <c r="S28" s="224"/>
      <c r="T28" s="224"/>
      <c r="U28" s="224"/>
      <c r="V28" s="224"/>
      <c r="W28" s="224"/>
    </row>
    <row r="29" spans="2:23" s="50" customFormat="1" x14ac:dyDescent="0.25">
      <c r="B29" s="488" t="s">
        <v>13</v>
      </c>
      <c r="C29" s="486">
        <f>REBANHO!E95</f>
        <v>92.601851851851848</v>
      </c>
      <c r="D29" s="486">
        <f>REBANHO!F95</f>
        <v>92.601851851851848</v>
      </c>
      <c r="E29" s="486">
        <f>REBANHO!G95</f>
        <v>127.17777777777778</v>
      </c>
      <c r="F29" s="486">
        <f>REBANHO!H95</f>
        <v>59.703703703703702</v>
      </c>
      <c r="G29" s="486">
        <f>REBANHO!I95</f>
        <v>45.075925925925922</v>
      </c>
      <c r="H29" s="486">
        <f>REBANHO!J95</f>
        <v>45.075925925925922</v>
      </c>
      <c r="I29" s="486">
        <f>REBANHO!K95</f>
        <v>81.2</v>
      </c>
      <c r="J29" s="486">
        <f>REBANHO!L95</f>
        <v>91.111111111111114</v>
      </c>
      <c r="K29" s="486">
        <f>REBANHO!M95</f>
        <v>0</v>
      </c>
      <c r="L29" s="486">
        <f>REBANHO!N95</f>
        <v>0</v>
      </c>
      <c r="M29" s="486">
        <f>REBANHO!O95</f>
        <v>0</v>
      </c>
      <c r="N29" s="828">
        <f>REBANHO!P95</f>
        <v>0</v>
      </c>
      <c r="O29" s="1065">
        <f>REBANHO!Q95</f>
        <v>52.879012345679008</v>
      </c>
      <c r="Q29" s="235"/>
      <c r="R29" s="224"/>
      <c r="S29" s="224"/>
      <c r="T29" s="224"/>
      <c r="U29" s="224"/>
      <c r="V29" s="224"/>
      <c r="W29" s="224"/>
    </row>
    <row r="30" spans="2:23" s="50" customFormat="1" x14ac:dyDescent="0.25">
      <c r="B30" s="488" t="s">
        <v>14</v>
      </c>
      <c r="C30" s="486">
        <f>REBANHO!E96</f>
        <v>0</v>
      </c>
      <c r="D30" s="486">
        <f>REBANHO!F96</f>
        <v>0</v>
      </c>
      <c r="E30" s="486">
        <f>REBANHO!G96</f>
        <v>0</v>
      </c>
      <c r="F30" s="486">
        <f>REBANHO!H96</f>
        <v>92.705555555555549</v>
      </c>
      <c r="G30" s="486">
        <f>REBANHO!I96</f>
        <v>111.91481481481482</v>
      </c>
      <c r="H30" s="486">
        <f>REBANHO!J96</f>
        <v>111.91481481481482</v>
      </c>
      <c r="I30" s="486">
        <f>REBANHO!K96</f>
        <v>19.209259259259259</v>
      </c>
      <c r="J30" s="486">
        <f>REBANHO!L96</f>
        <v>19.209259259259259</v>
      </c>
      <c r="K30" s="486">
        <f>REBANHO!M96</f>
        <v>0</v>
      </c>
      <c r="L30" s="486">
        <f>REBANHO!N96</f>
        <v>0</v>
      </c>
      <c r="M30" s="486">
        <f>REBANHO!O96</f>
        <v>0</v>
      </c>
      <c r="N30" s="828">
        <f>REBANHO!P96</f>
        <v>0</v>
      </c>
      <c r="O30" s="1065">
        <f>REBANHO!Q96</f>
        <v>29.579475308641978</v>
      </c>
      <c r="Q30" s="235"/>
      <c r="R30" s="224"/>
      <c r="S30" s="224"/>
      <c r="T30" s="224"/>
      <c r="U30" s="224"/>
      <c r="V30" s="224"/>
      <c r="W30" s="224"/>
    </row>
    <row r="31" spans="2:23" s="50" customFormat="1" x14ac:dyDescent="0.25">
      <c r="B31" s="488" t="s">
        <v>237</v>
      </c>
      <c r="C31" s="486">
        <f>REBANHO!E97</f>
        <v>1.1111111111111112</v>
      </c>
      <c r="D31" s="486">
        <f>REBANHO!F97</f>
        <v>1.1111111111111112</v>
      </c>
      <c r="E31" s="486">
        <f>REBANHO!G97</f>
        <v>1.1111111111111112</v>
      </c>
      <c r="F31" s="486">
        <f>REBANHO!H97</f>
        <v>1.1111111111111112</v>
      </c>
      <c r="G31" s="486">
        <f>REBANHO!I97</f>
        <v>1.1111111111111112</v>
      </c>
      <c r="H31" s="486">
        <f>REBANHO!J97</f>
        <v>1.1111111111111112</v>
      </c>
      <c r="I31" s="486">
        <f>REBANHO!K97</f>
        <v>1.1222222222222222</v>
      </c>
      <c r="J31" s="486">
        <f>REBANHO!L97</f>
        <v>1.1222222222222222</v>
      </c>
      <c r="K31" s="486">
        <f>REBANHO!M97</f>
        <v>0</v>
      </c>
      <c r="L31" s="486">
        <f>REBANHO!N97</f>
        <v>0</v>
      </c>
      <c r="M31" s="486">
        <f>REBANHO!O97</f>
        <v>0</v>
      </c>
      <c r="N31" s="828">
        <f>REBANHO!P97</f>
        <v>0</v>
      </c>
      <c r="O31" s="1065">
        <f>REBANHO!Q97</f>
        <v>0.74259259259259247</v>
      </c>
      <c r="Q31" s="235"/>
      <c r="R31" s="224"/>
      <c r="S31" s="224"/>
      <c r="T31" s="224"/>
      <c r="U31" s="224"/>
      <c r="V31" s="224"/>
      <c r="W31" s="224"/>
    </row>
    <row r="32" spans="2:23" s="50" customFormat="1" ht="15.75" thickBot="1" x14ac:dyDescent="0.3">
      <c r="B32" s="489" t="s">
        <v>17</v>
      </c>
      <c r="C32" s="490">
        <f>SUM(C28:C31)</f>
        <v>93.712962962962962</v>
      </c>
      <c r="D32" s="490">
        <f t="shared" ref="D32:N32" si="0">SUM(D28:D31)</f>
        <v>93.712962962962962</v>
      </c>
      <c r="E32" s="490">
        <f t="shared" si="0"/>
        <v>128.28888888888889</v>
      </c>
      <c r="F32" s="490">
        <f t="shared" si="0"/>
        <v>153.52037037037036</v>
      </c>
      <c r="G32" s="490">
        <f t="shared" si="0"/>
        <v>158.10185185185185</v>
      </c>
      <c r="H32" s="490">
        <f t="shared" si="0"/>
        <v>158.10185185185185</v>
      </c>
      <c r="I32" s="490">
        <f t="shared" si="0"/>
        <v>101.53148148148148</v>
      </c>
      <c r="J32" s="490">
        <f t="shared" si="0"/>
        <v>111.44259259259259</v>
      </c>
      <c r="K32" s="490">
        <f t="shared" si="0"/>
        <v>0</v>
      </c>
      <c r="L32" s="490">
        <f t="shared" si="0"/>
        <v>0</v>
      </c>
      <c r="M32" s="490">
        <f t="shared" si="0"/>
        <v>0</v>
      </c>
      <c r="N32" s="491">
        <f t="shared" si="0"/>
        <v>0</v>
      </c>
      <c r="O32" s="829">
        <f>SUM(O28:O31)</f>
        <v>83.201080246913577</v>
      </c>
      <c r="R32" s="224"/>
      <c r="S32" s="224"/>
      <c r="T32" s="224"/>
      <c r="U32" s="224"/>
      <c r="V32" s="224"/>
      <c r="W32" s="224"/>
    </row>
    <row r="33" spans="2:25" s="50" customFormat="1" ht="16.5" thickTop="1" thickBot="1" x14ac:dyDescent="0.3">
      <c r="B33" s="492" t="s">
        <v>322</v>
      </c>
      <c r="C33" s="493">
        <f>IF(OR($L$4=0,$L$4=""),0,C32/$L$4)</f>
        <v>0.92877069338912743</v>
      </c>
      <c r="D33" s="493">
        <f t="shared" ref="D33:N33" si="1">IF(OR($L$4=0,$L$4=""),0,D32/$L$4)</f>
        <v>0.92877069338912743</v>
      </c>
      <c r="E33" s="493">
        <f t="shared" si="1"/>
        <v>1.2714458760048453</v>
      </c>
      <c r="F33" s="493">
        <f t="shared" si="1"/>
        <v>1.5215101126894981</v>
      </c>
      <c r="G33" s="493">
        <f t="shared" si="1"/>
        <v>1.5669162720698895</v>
      </c>
      <c r="H33" s="493">
        <f t="shared" si="1"/>
        <v>1.5669162720698895</v>
      </c>
      <c r="I33" s="493">
        <f t="shared" si="1"/>
        <v>1.0062584884190433</v>
      </c>
      <c r="J33" s="493">
        <f t="shared" si="1"/>
        <v>1.1044855559226223</v>
      </c>
      <c r="K33" s="493">
        <f t="shared" si="1"/>
        <v>0</v>
      </c>
      <c r="L33" s="493">
        <f t="shared" si="1"/>
        <v>0</v>
      </c>
      <c r="M33" s="493">
        <f t="shared" si="1"/>
        <v>0</v>
      </c>
      <c r="N33" s="493">
        <f t="shared" si="1"/>
        <v>0</v>
      </c>
      <c r="O33" s="830">
        <f>IF(OR($L$4=0,$L$4=""),0,O32/$L$4)</f>
        <v>0.82458949699617023</v>
      </c>
      <c r="R33" s="224"/>
      <c r="S33" s="224"/>
      <c r="T33" s="224"/>
      <c r="U33" s="224"/>
      <c r="V33" s="224"/>
      <c r="W33" s="224"/>
    </row>
    <row r="34" spans="2:25" s="50" customFormat="1" ht="15.75" thickTop="1" x14ac:dyDescent="0.25">
      <c r="B34" s="494" t="s">
        <v>312</v>
      </c>
      <c r="C34" s="495"/>
      <c r="D34" s="496"/>
      <c r="E34" s="497"/>
      <c r="F34" s="496"/>
      <c r="G34" s="496"/>
      <c r="H34" s="496"/>
      <c r="I34" s="496"/>
      <c r="J34" s="496"/>
      <c r="K34" s="496"/>
      <c r="L34" s="496"/>
      <c r="M34" s="496"/>
      <c r="N34" s="496"/>
      <c r="O34" s="496"/>
      <c r="P34" s="496"/>
      <c r="Q34" s="498"/>
      <c r="R34" s="496"/>
      <c r="T34" s="224"/>
      <c r="U34" s="224"/>
      <c r="V34" s="224"/>
      <c r="W34" s="224"/>
      <c r="X34" s="224"/>
      <c r="Y34" s="224"/>
    </row>
    <row r="35" spans="2:25" x14ac:dyDescent="0.25"/>
    <row r="36" spans="2:25" hidden="1" x14ac:dyDescent="0.25"/>
    <row r="37" spans="2:25" hidden="1" x14ac:dyDescent="0.25"/>
    <row r="38" spans="2:25" s="799" customFormat="1" ht="11.25" hidden="1" x14ac:dyDescent="0.2">
      <c r="B38" s="799" t="s">
        <v>324</v>
      </c>
      <c r="D38" s="800"/>
      <c r="E38" s="800"/>
      <c r="F38" s="800"/>
      <c r="G38" s="800"/>
      <c r="H38" s="800"/>
      <c r="I38" s="800"/>
      <c r="J38" s="800"/>
      <c r="K38" s="800"/>
      <c r="L38" s="800"/>
      <c r="M38" s="800"/>
      <c r="N38" s="800"/>
      <c r="O38" s="800"/>
    </row>
    <row r="39" spans="2:25" s="799" customFormat="1" ht="11.25" hidden="1" x14ac:dyDescent="0.2">
      <c r="B39" s="799" t="s">
        <v>323</v>
      </c>
      <c r="C39" s="801">
        <f>IF(REBANHO!E53="",0,REBANHO!E53)</f>
        <v>0</v>
      </c>
      <c r="D39" s="801">
        <f>IF(REBANHO!F53="",0,REBANHO!F53)</f>
        <v>0</v>
      </c>
      <c r="E39" s="801">
        <f>IF(REBANHO!G53="",0,REBANHO!G53)</f>
        <v>0</v>
      </c>
      <c r="F39" s="801">
        <f>IF(REBANHO!H53="",0,REBANHO!H53)</f>
        <v>0</v>
      </c>
      <c r="G39" s="801">
        <f>IF(REBANHO!I53="",0,REBANHO!I53)</f>
        <v>0</v>
      </c>
      <c r="H39" s="801">
        <f>IF(REBANHO!J53="",0,REBANHO!J53)</f>
        <v>0</v>
      </c>
      <c r="I39" s="801">
        <f>IF(REBANHO!K53="",0,REBANHO!K53)</f>
        <v>0</v>
      </c>
      <c r="J39" s="801">
        <f>IF(REBANHO!L53="",0,REBANHO!L53)</f>
        <v>0</v>
      </c>
      <c r="K39" s="801">
        <f>IF(REBANHO!M53="",0,REBANHO!M53)</f>
        <v>0</v>
      </c>
      <c r="L39" s="801">
        <f>IF(REBANHO!N53="",0,REBANHO!N53)</f>
        <v>0</v>
      </c>
      <c r="M39" s="801">
        <f>IF(REBANHO!O53="",0,REBANHO!O53)</f>
        <v>0</v>
      </c>
      <c r="N39" s="801">
        <f>IF(REBANHO!P53="",0,REBANHO!P53)</f>
        <v>0</v>
      </c>
      <c r="O39" s="800"/>
    </row>
    <row r="40" spans="2:25" s="799" customFormat="1" ht="11.25" hidden="1" x14ac:dyDescent="0.2">
      <c r="B40" s="799" t="s">
        <v>325</v>
      </c>
      <c r="C40" s="800">
        <f>SAÍDAS!E19</f>
        <v>0</v>
      </c>
      <c r="D40" s="800">
        <f>SAÍDAS!F19</f>
        <v>0</v>
      </c>
      <c r="E40" s="800">
        <f>SAÍDAS!G19</f>
        <v>0</v>
      </c>
      <c r="F40" s="800">
        <f>SAÍDAS!H19</f>
        <v>0</v>
      </c>
      <c r="G40" s="800">
        <f>SAÍDAS!I19</f>
        <v>0</v>
      </c>
      <c r="H40" s="800">
        <f>SAÍDAS!J19</f>
        <v>0</v>
      </c>
      <c r="I40" s="800">
        <f>SAÍDAS!K19</f>
        <v>0</v>
      </c>
      <c r="J40" s="800">
        <f>SAÍDAS!L19</f>
        <v>0</v>
      </c>
      <c r="K40" s="800">
        <f>SAÍDAS!M19</f>
        <v>0</v>
      </c>
      <c r="L40" s="800">
        <f>SAÍDAS!N19</f>
        <v>0</v>
      </c>
      <c r="M40" s="800">
        <f>SAÍDAS!O19</f>
        <v>0</v>
      </c>
      <c r="N40" s="800">
        <f>SAÍDAS!P19</f>
        <v>0</v>
      </c>
      <c r="O40" s="800"/>
    </row>
    <row r="41" spans="2:25" s="799" customFormat="1" ht="11.25" hidden="1" x14ac:dyDescent="0.2">
      <c r="B41" s="799" t="s">
        <v>326</v>
      </c>
      <c r="C41" s="800">
        <f>ENTRADAS!D20</f>
        <v>0</v>
      </c>
      <c r="D41" s="800">
        <f>ENTRADAS!E20</f>
        <v>0</v>
      </c>
      <c r="E41" s="800">
        <f>ENTRADAS!F20</f>
        <v>0</v>
      </c>
      <c r="F41" s="800">
        <f>ENTRADAS!G20</f>
        <v>0</v>
      </c>
      <c r="G41" s="800">
        <f>ENTRADAS!H20</f>
        <v>0</v>
      </c>
      <c r="H41" s="800">
        <f>ENTRADAS!I20</f>
        <v>0</v>
      </c>
      <c r="I41" s="800">
        <f>ENTRADAS!J20</f>
        <v>0</v>
      </c>
      <c r="J41" s="800">
        <f>ENTRADAS!K20</f>
        <v>0</v>
      </c>
      <c r="K41" s="800">
        <f>ENTRADAS!L20</f>
        <v>0</v>
      </c>
      <c r="L41" s="800">
        <f>ENTRADAS!M20</f>
        <v>0</v>
      </c>
      <c r="M41" s="800">
        <f>ENTRADAS!N20</f>
        <v>0</v>
      </c>
      <c r="N41" s="800">
        <f>ENTRADAS!O20</f>
        <v>0</v>
      </c>
      <c r="O41" s="800"/>
    </row>
    <row r="42" spans="2:25" s="799" customFormat="1" ht="11.25" hidden="1" x14ac:dyDescent="0.2">
      <c r="B42" s="799" t="s">
        <v>344</v>
      </c>
      <c r="C42" s="800">
        <f>ENTRADAS!D35</f>
        <v>0</v>
      </c>
      <c r="D42" s="800">
        <f>ENTRADAS!E35</f>
        <v>0</v>
      </c>
      <c r="E42" s="800">
        <f>ENTRADAS!F35</f>
        <v>0</v>
      </c>
      <c r="F42" s="800">
        <f>ENTRADAS!G35</f>
        <v>0</v>
      </c>
      <c r="G42" s="800">
        <f>ENTRADAS!H35</f>
        <v>0</v>
      </c>
      <c r="H42" s="800">
        <f>ENTRADAS!I35</f>
        <v>0</v>
      </c>
      <c r="I42" s="800">
        <f>ENTRADAS!J35</f>
        <v>0</v>
      </c>
      <c r="J42" s="800">
        <f>ENTRADAS!K35</f>
        <v>0</v>
      </c>
      <c r="K42" s="800">
        <f>ENTRADAS!L35</f>
        <v>0</v>
      </c>
      <c r="L42" s="800">
        <f>ENTRADAS!M35</f>
        <v>0</v>
      </c>
      <c r="M42" s="800">
        <f>ENTRADAS!N35</f>
        <v>0</v>
      </c>
      <c r="N42" s="800">
        <f>ENTRADAS!O35</f>
        <v>0</v>
      </c>
      <c r="O42" s="800"/>
    </row>
    <row r="43" spans="2:25" s="799" customFormat="1" ht="11.25" hidden="1" x14ac:dyDescent="0.2">
      <c r="B43" s="799" t="s">
        <v>327</v>
      </c>
      <c r="C43" s="801">
        <f>REBANHO!E73</f>
        <v>0</v>
      </c>
      <c r="D43" s="801">
        <f>REBANHO!F73</f>
        <v>0</v>
      </c>
      <c r="E43" s="801">
        <f>REBANHO!G73</f>
        <v>0</v>
      </c>
      <c r="F43" s="801">
        <f>REBANHO!H73</f>
        <v>0</v>
      </c>
      <c r="G43" s="801">
        <f>REBANHO!I73</f>
        <v>0</v>
      </c>
      <c r="H43" s="801">
        <f>REBANHO!J73</f>
        <v>0</v>
      </c>
      <c r="I43" s="801">
        <f>REBANHO!K73</f>
        <v>0</v>
      </c>
      <c r="J43" s="801">
        <f>REBANHO!L73</f>
        <v>0</v>
      </c>
      <c r="K43" s="801">
        <f>REBANHO!M73</f>
        <v>0</v>
      </c>
      <c r="L43" s="801">
        <f>REBANHO!N73</f>
        <v>0</v>
      </c>
      <c r="M43" s="801">
        <f>REBANHO!O73</f>
        <v>0</v>
      </c>
      <c r="N43" s="801">
        <f>REBANHO!P73</f>
        <v>0</v>
      </c>
      <c r="O43" s="801">
        <f>SUM(C40:N40)+SUM(C44:N44)</f>
        <v>0</v>
      </c>
      <c r="P43" s="799" t="s">
        <v>362</v>
      </c>
    </row>
    <row r="44" spans="2:25" s="799" customFormat="1" ht="11.25" hidden="1" x14ac:dyDescent="0.2">
      <c r="B44" s="802" t="s">
        <v>328</v>
      </c>
      <c r="C44" s="803">
        <f>C39-C45</f>
        <v>0</v>
      </c>
      <c r="D44" s="803">
        <f t="shared" ref="D44:N44" si="2">D39-D45</f>
        <v>0</v>
      </c>
      <c r="E44" s="803">
        <f t="shared" si="2"/>
        <v>0</v>
      </c>
      <c r="F44" s="803">
        <f t="shared" si="2"/>
        <v>0</v>
      </c>
      <c r="G44" s="803">
        <f t="shared" si="2"/>
        <v>0</v>
      </c>
      <c r="H44" s="803">
        <f t="shared" si="2"/>
        <v>0</v>
      </c>
      <c r="I44" s="803">
        <f t="shared" si="2"/>
        <v>0</v>
      </c>
      <c r="J44" s="803">
        <f t="shared" si="2"/>
        <v>0</v>
      </c>
      <c r="K44" s="803">
        <f t="shared" si="2"/>
        <v>0</v>
      </c>
      <c r="L44" s="803">
        <f t="shared" si="2"/>
        <v>0</v>
      </c>
      <c r="M44" s="803">
        <f t="shared" si="2"/>
        <v>0</v>
      </c>
      <c r="N44" s="803">
        <f t="shared" si="2"/>
        <v>0</v>
      </c>
      <c r="O44" s="801">
        <f>SUM(C44:N44)</f>
        <v>0</v>
      </c>
      <c r="P44" s="799" t="s">
        <v>328</v>
      </c>
    </row>
    <row r="45" spans="2:25" s="799" customFormat="1" ht="13.5" hidden="1" customHeight="1" x14ac:dyDescent="0.2">
      <c r="B45" s="804" t="s">
        <v>329</v>
      </c>
      <c r="C45" s="805">
        <f>SAÍDAS!C19+C40-C41-C42-C43</f>
        <v>0</v>
      </c>
      <c r="D45" s="805">
        <f>C45+D40-D41-D42-D43</f>
        <v>0</v>
      </c>
      <c r="E45" s="805">
        <f t="shared" ref="E45:N45" si="3">D45+E40-E41-E42-E43</f>
        <v>0</v>
      </c>
      <c r="F45" s="805">
        <f t="shared" si="3"/>
        <v>0</v>
      </c>
      <c r="G45" s="805">
        <f t="shared" si="3"/>
        <v>0</v>
      </c>
      <c r="H45" s="805">
        <f t="shared" si="3"/>
        <v>0</v>
      </c>
      <c r="I45" s="805">
        <f t="shared" si="3"/>
        <v>0</v>
      </c>
      <c r="J45" s="805">
        <f t="shared" si="3"/>
        <v>0</v>
      </c>
      <c r="K45" s="805">
        <f t="shared" si="3"/>
        <v>0</v>
      </c>
      <c r="L45" s="805">
        <f t="shared" si="3"/>
        <v>0</v>
      </c>
      <c r="M45" s="805">
        <f t="shared" si="3"/>
        <v>0</v>
      </c>
      <c r="N45" s="805">
        <f t="shared" si="3"/>
        <v>0</v>
      </c>
      <c r="O45" s="800"/>
    </row>
    <row r="46" spans="2:25" s="799" customFormat="1" ht="13.5" hidden="1" customHeight="1" x14ac:dyDescent="0.2">
      <c r="B46" s="799" t="s">
        <v>346</v>
      </c>
      <c r="C46" s="806">
        <f>REBANHO!E53*REBANHO!E54</f>
        <v>0</v>
      </c>
      <c r="D46" s="806">
        <f>IF(D39=0,C46,REBANHO!F53*REBANHO!F54)</f>
        <v>0</v>
      </c>
      <c r="E46" s="806">
        <f>IF(E39=0,D46,REBANHO!G53*REBANHO!G54)</f>
        <v>0</v>
      </c>
      <c r="F46" s="806">
        <f>IF(F39=0,E46,REBANHO!H53*REBANHO!H54)</f>
        <v>0</v>
      </c>
      <c r="G46" s="806">
        <f>IF(G39=0,F46,REBANHO!I53*REBANHO!I54)</f>
        <v>0</v>
      </c>
      <c r="H46" s="806">
        <f>IF(H39=0,G46,REBANHO!J53*REBANHO!J54)</f>
        <v>0</v>
      </c>
      <c r="I46" s="806">
        <f>IF(I39=0,H46,REBANHO!K53*REBANHO!K54)</f>
        <v>0</v>
      </c>
      <c r="J46" s="806">
        <f>IF(J39=0,I46,REBANHO!L53*REBANHO!L54)</f>
        <v>0</v>
      </c>
      <c r="K46" s="806">
        <f>IF(K39=0,J46,REBANHO!M53*REBANHO!M54)</f>
        <v>0</v>
      </c>
      <c r="L46" s="806">
        <f>IF(L39=0,K46,REBANHO!N53*REBANHO!N54)</f>
        <v>0</v>
      </c>
      <c r="M46" s="806">
        <f>IF(M39=0,L46,REBANHO!O53*REBANHO!O54)</f>
        <v>0</v>
      </c>
      <c r="N46" s="806">
        <f>IF(N39=0,M46,REBANHO!P53*REBANHO!P54)</f>
        <v>0</v>
      </c>
      <c r="O46" s="806"/>
    </row>
    <row r="47" spans="2:25" s="799" customFormat="1" ht="13.5" hidden="1" customHeight="1" x14ac:dyDescent="0.2">
      <c r="B47" s="799" t="s">
        <v>360</v>
      </c>
      <c r="C47" s="806">
        <f>REBANHO!E53*REBANHO!E54</f>
        <v>0</v>
      </c>
      <c r="D47" s="806">
        <f>REBANHO!F53*REBANHO!F54</f>
        <v>0</v>
      </c>
      <c r="E47" s="806">
        <f>REBANHO!G53*REBANHO!G54</f>
        <v>0</v>
      </c>
      <c r="F47" s="806">
        <f>REBANHO!H53*REBANHO!H54</f>
        <v>0</v>
      </c>
      <c r="G47" s="806">
        <f>REBANHO!I53*REBANHO!I54</f>
        <v>0</v>
      </c>
      <c r="H47" s="806">
        <f>REBANHO!J53*REBANHO!J54</f>
        <v>0</v>
      </c>
      <c r="I47" s="806">
        <f>REBANHO!K53*REBANHO!K54</f>
        <v>0</v>
      </c>
      <c r="J47" s="806">
        <f>REBANHO!L53*REBANHO!L54</f>
        <v>0</v>
      </c>
      <c r="K47" s="806">
        <f>REBANHO!M53*REBANHO!M54</f>
        <v>0</v>
      </c>
      <c r="L47" s="806">
        <f>REBANHO!N53*REBANHO!N54</f>
        <v>0</v>
      </c>
      <c r="M47" s="806">
        <f>REBANHO!O53*REBANHO!O54</f>
        <v>0</v>
      </c>
      <c r="N47" s="806">
        <f>REBANHO!P53*REBANHO!P54</f>
        <v>0</v>
      </c>
      <c r="O47" s="806"/>
    </row>
    <row r="48" spans="2:25" s="799" customFormat="1" ht="11.25" hidden="1" x14ac:dyDescent="0.2">
      <c r="B48" s="807" t="s">
        <v>350</v>
      </c>
      <c r="C48" s="808">
        <f>ENTRADAS!D35*ENTRADAS!D36</f>
        <v>0</v>
      </c>
      <c r="D48" s="808">
        <f>ENTRADAS!E35*ENTRADAS!E36</f>
        <v>0</v>
      </c>
      <c r="E48" s="808">
        <f>ENTRADAS!F35*ENTRADAS!F36</f>
        <v>0</v>
      </c>
      <c r="F48" s="808">
        <f>ENTRADAS!G35*ENTRADAS!G36</f>
        <v>0</v>
      </c>
      <c r="G48" s="808">
        <f>ENTRADAS!H35*ENTRADAS!H36</f>
        <v>0</v>
      </c>
      <c r="H48" s="808">
        <f>ENTRADAS!I35*ENTRADAS!I36</f>
        <v>0</v>
      </c>
      <c r="I48" s="808">
        <f>ENTRADAS!J35*ENTRADAS!J36</f>
        <v>0</v>
      </c>
      <c r="J48" s="808">
        <f>ENTRADAS!K35*ENTRADAS!K36</f>
        <v>0</v>
      </c>
      <c r="K48" s="808">
        <f>ENTRADAS!L35*ENTRADAS!L36</f>
        <v>0</v>
      </c>
      <c r="L48" s="808">
        <f>ENTRADAS!M35*ENTRADAS!M36</f>
        <v>0</v>
      </c>
      <c r="M48" s="808">
        <f>ENTRADAS!N35*ENTRADAS!N36</f>
        <v>0</v>
      </c>
      <c r="N48" s="808">
        <f>ENTRADAS!O35*ENTRADAS!O36</f>
        <v>0</v>
      </c>
      <c r="O48" s="806">
        <f>SUM(C48:N48)</f>
        <v>0</v>
      </c>
    </row>
    <row r="49" spans="2:16" s="799" customFormat="1" ht="11.25" hidden="1" x14ac:dyDescent="0.2">
      <c r="B49" s="807" t="s">
        <v>352</v>
      </c>
      <c r="C49" s="808">
        <f>ENTRADAS!D20*ENTRADAS!D21</f>
        <v>0</v>
      </c>
      <c r="D49" s="808">
        <f>ENTRADAS!E20*ENTRADAS!E21</f>
        <v>0</v>
      </c>
      <c r="E49" s="808">
        <f>ENTRADAS!F20*ENTRADAS!F21</f>
        <v>0</v>
      </c>
      <c r="F49" s="808">
        <f>ENTRADAS!G20*ENTRADAS!G21</f>
        <v>0</v>
      </c>
      <c r="G49" s="808">
        <f>ENTRADAS!H20*ENTRADAS!H21</f>
        <v>0</v>
      </c>
      <c r="H49" s="808">
        <f>ENTRADAS!I20*ENTRADAS!I21</f>
        <v>0</v>
      </c>
      <c r="I49" s="808">
        <f>ENTRADAS!J20*ENTRADAS!J21</f>
        <v>0</v>
      </c>
      <c r="J49" s="808">
        <f>ENTRADAS!K20*ENTRADAS!K21</f>
        <v>0</v>
      </c>
      <c r="K49" s="808">
        <f>ENTRADAS!L20*ENTRADAS!L21</f>
        <v>0</v>
      </c>
      <c r="L49" s="808">
        <f>ENTRADAS!M20*ENTRADAS!M21</f>
        <v>0</v>
      </c>
      <c r="M49" s="808">
        <f>ENTRADAS!N20*ENTRADAS!N21</f>
        <v>0</v>
      </c>
      <c r="N49" s="808">
        <f>ENTRADAS!O20*ENTRADAS!O21</f>
        <v>0</v>
      </c>
      <c r="O49" s="806">
        <f>SUM(C49:N49)</f>
        <v>0</v>
      </c>
    </row>
    <row r="50" spans="2:16" s="799" customFormat="1" ht="11.25" hidden="1" x14ac:dyDescent="0.2">
      <c r="B50" s="807" t="s">
        <v>353</v>
      </c>
      <c r="C50" s="808">
        <f>REBANHO!E73*REBANHO!E74</f>
        <v>0</v>
      </c>
      <c r="D50" s="808">
        <f>REBANHO!F73*REBANHO!F74</f>
        <v>0</v>
      </c>
      <c r="E50" s="808">
        <f>REBANHO!G73*REBANHO!G74</f>
        <v>0</v>
      </c>
      <c r="F50" s="808">
        <f>REBANHO!H73*REBANHO!H74</f>
        <v>0</v>
      </c>
      <c r="G50" s="808">
        <f>REBANHO!I73*REBANHO!I74</f>
        <v>0</v>
      </c>
      <c r="H50" s="808">
        <f>REBANHO!J73*REBANHO!J74</f>
        <v>0</v>
      </c>
      <c r="I50" s="808">
        <f>REBANHO!K73*REBANHO!K74</f>
        <v>0</v>
      </c>
      <c r="J50" s="808">
        <f>REBANHO!L73*REBANHO!L74</f>
        <v>0</v>
      </c>
      <c r="K50" s="808">
        <f>REBANHO!M73*REBANHO!M74</f>
        <v>0</v>
      </c>
      <c r="L50" s="808">
        <f>REBANHO!N73*REBANHO!N74</f>
        <v>0</v>
      </c>
      <c r="M50" s="808">
        <f>REBANHO!O73*REBANHO!O74</f>
        <v>0</v>
      </c>
      <c r="N50" s="808">
        <f>REBANHO!P73*REBANHO!P74</f>
        <v>0</v>
      </c>
      <c r="O50" s="806"/>
    </row>
    <row r="51" spans="2:16" s="799" customFormat="1" ht="11.25" hidden="1" x14ac:dyDescent="0.2">
      <c r="B51" s="807" t="s">
        <v>354</v>
      </c>
      <c r="C51" s="808">
        <f>IF(C44=0,0,(C$46/C$45)*C44)</f>
        <v>0</v>
      </c>
      <c r="D51" s="808">
        <f t="shared" ref="D51:N51" si="4">IF(D44=0,0,(D$46/D$45)*D44)</f>
        <v>0</v>
      </c>
      <c r="E51" s="808">
        <f t="shared" si="4"/>
        <v>0</v>
      </c>
      <c r="F51" s="808">
        <f>IF(F44=0,0,(F$46/F$45)*F44)</f>
        <v>0</v>
      </c>
      <c r="G51" s="808">
        <f t="shared" si="4"/>
        <v>0</v>
      </c>
      <c r="H51" s="808">
        <f t="shared" si="4"/>
        <v>0</v>
      </c>
      <c r="I51" s="808">
        <f t="shared" si="4"/>
        <v>0</v>
      </c>
      <c r="J51" s="808">
        <f t="shared" si="4"/>
        <v>0</v>
      </c>
      <c r="K51" s="808">
        <f t="shared" si="4"/>
        <v>0</v>
      </c>
      <c r="L51" s="808">
        <f t="shared" si="4"/>
        <v>0</v>
      </c>
      <c r="M51" s="808">
        <f t="shared" si="4"/>
        <v>0</v>
      </c>
      <c r="N51" s="808">
        <f t="shared" si="4"/>
        <v>0</v>
      </c>
      <c r="O51" s="806"/>
    </row>
    <row r="52" spans="2:16" s="799" customFormat="1" ht="11.25" hidden="1" x14ac:dyDescent="0.2">
      <c r="B52" s="807" t="s">
        <v>355</v>
      </c>
      <c r="C52" s="808">
        <f t="shared" ref="C52:N52" si="5">SUM(C48:C51)</f>
        <v>0</v>
      </c>
      <c r="D52" s="808">
        <f t="shared" si="5"/>
        <v>0</v>
      </c>
      <c r="E52" s="808">
        <f t="shared" si="5"/>
        <v>0</v>
      </c>
      <c r="F52" s="808">
        <f t="shared" si="5"/>
        <v>0</v>
      </c>
      <c r="G52" s="808">
        <f t="shared" si="5"/>
        <v>0</v>
      </c>
      <c r="H52" s="808">
        <f t="shared" si="5"/>
        <v>0</v>
      </c>
      <c r="I52" s="808">
        <f t="shared" si="5"/>
        <v>0</v>
      </c>
      <c r="J52" s="808">
        <f t="shared" si="5"/>
        <v>0</v>
      </c>
      <c r="K52" s="808">
        <f t="shared" si="5"/>
        <v>0</v>
      </c>
      <c r="L52" s="808">
        <f t="shared" si="5"/>
        <v>0</v>
      </c>
      <c r="M52" s="808">
        <f t="shared" si="5"/>
        <v>0</v>
      </c>
      <c r="N52" s="808">
        <f t="shared" si="5"/>
        <v>0</v>
      </c>
      <c r="O52" s="806"/>
    </row>
    <row r="53" spans="2:16" s="799" customFormat="1" ht="11.25" hidden="1" x14ac:dyDescent="0.2">
      <c r="B53" s="807" t="s">
        <v>356</v>
      </c>
      <c r="C53" s="808">
        <f>C52</f>
        <v>0</v>
      </c>
      <c r="D53" s="808">
        <f t="shared" ref="D53:N53" si="6">C53+D52</f>
        <v>0</v>
      </c>
      <c r="E53" s="808">
        <f t="shared" si="6"/>
        <v>0</v>
      </c>
      <c r="F53" s="808">
        <f t="shared" si="6"/>
        <v>0</v>
      </c>
      <c r="G53" s="808">
        <f t="shared" si="6"/>
        <v>0</v>
      </c>
      <c r="H53" s="808">
        <f t="shared" si="6"/>
        <v>0</v>
      </c>
      <c r="I53" s="808">
        <f t="shared" si="6"/>
        <v>0</v>
      </c>
      <c r="J53" s="808">
        <f t="shared" si="6"/>
        <v>0</v>
      </c>
      <c r="K53" s="808">
        <f t="shared" si="6"/>
        <v>0</v>
      </c>
      <c r="L53" s="808">
        <f t="shared" si="6"/>
        <v>0</v>
      </c>
      <c r="M53" s="808">
        <f t="shared" si="6"/>
        <v>0</v>
      </c>
      <c r="N53" s="808">
        <f t="shared" si="6"/>
        <v>0</v>
      </c>
      <c r="O53" s="806"/>
    </row>
    <row r="54" spans="2:16" s="799" customFormat="1" ht="11.25" hidden="1" x14ac:dyDescent="0.2">
      <c r="B54" s="809" t="s">
        <v>351</v>
      </c>
      <c r="C54" s="810">
        <f>C47+C53</f>
        <v>0</v>
      </c>
      <c r="D54" s="810">
        <f t="shared" ref="D54:N54" si="7">D47+D53</f>
        <v>0</v>
      </c>
      <c r="E54" s="810">
        <f t="shared" si="7"/>
        <v>0</v>
      </c>
      <c r="F54" s="810">
        <f t="shared" si="7"/>
        <v>0</v>
      </c>
      <c r="G54" s="810">
        <f t="shared" si="7"/>
        <v>0</v>
      </c>
      <c r="H54" s="810">
        <f t="shared" si="7"/>
        <v>0</v>
      </c>
      <c r="I54" s="810">
        <f t="shared" si="7"/>
        <v>0</v>
      </c>
      <c r="J54" s="810">
        <f t="shared" si="7"/>
        <v>0</v>
      </c>
      <c r="K54" s="810">
        <f t="shared" si="7"/>
        <v>0</v>
      </c>
      <c r="L54" s="810">
        <f t="shared" si="7"/>
        <v>0</v>
      </c>
      <c r="M54" s="810">
        <f t="shared" si="7"/>
        <v>0</v>
      </c>
      <c r="N54" s="810">
        <f t="shared" si="7"/>
        <v>0</v>
      </c>
      <c r="O54" s="810">
        <f>LARGE(C54:N54,1)</f>
        <v>0</v>
      </c>
    </row>
    <row r="55" spans="2:16" s="799" customFormat="1" ht="11.25" hidden="1" x14ac:dyDescent="0.2">
      <c r="B55" s="807" t="s">
        <v>364</v>
      </c>
      <c r="C55" s="808">
        <f>SUM(C48:C50)</f>
        <v>0</v>
      </c>
      <c r="D55" s="808">
        <f t="shared" ref="D55:N55" si="8">SUM(D48:D50)</f>
        <v>0</v>
      </c>
      <c r="E55" s="808">
        <f t="shared" si="8"/>
        <v>0</v>
      </c>
      <c r="F55" s="808">
        <f t="shared" si="8"/>
        <v>0</v>
      </c>
      <c r="G55" s="808">
        <f t="shared" si="8"/>
        <v>0</v>
      </c>
      <c r="H55" s="808">
        <f t="shared" si="8"/>
        <v>0</v>
      </c>
      <c r="I55" s="808">
        <f t="shared" si="8"/>
        <v>0</v>
      </c>
      <c r="J55" s="808">
        <f t="shared" si="8"/>
        <v>0</v>
      </c>
      <c r="K55" s="808">
        <f t="shared" si="8"/>
        <v>0</v>
      </c>
      <c r="L55" s="808">
        <f t="shared" si="8"/>
        <v>0</v>
      </c>
      <c r="M55" s="808">
        <f t="shared" si="8"/>
        <v>0</v>
      </c>
      <c r="N55" s="808">
        <f t="shared" si="8"/>
        <v>0</v>
      </c>
      <c r="O55" s="806"/>
    </row>
    <row r="56" spans="2:16" s="799" customFormat="1" ht="11.25" hidden="1" x14ac:dyDescent="0.2">
      <c r="B56" s="807" t="s">
        <v>365</v>
      </c>
      <c r="C56" s="808">
        <f>C55</f>
        <v>0</v>
      </c>
      <c r="D56" s="808">
        <f>C56+D55</f>
        <v>0</v>
      </c>
      <c r="E56" s="808">
        <f t="shared" ref="E56:N56" si="9">D56+E55</f>
        <v>0</v>
      </c>
      <c r="F56" s="808">
        <f t="shared" si="9"/>
        <v>0</v>
      </c>
      <c r="G56" s="808">
        <f t="shared" si="9"/>
        <v>0</v>
      </c>
      <c r="H56" s="808">
        <f t="shared" si="9"/>
        <v>0</v>
      </c>
      <c r="I56" s="808">
        <f t="shared" si="9"/>
        <v>0</v>
      </c>
      <c r="J56" s="808">
        <f t="shared" si="9"/>
        <v>0</v>
      </c>
      <c r="K56" s="808">
        <f t="shared" si="9"/>
        <v>0</v>
      </c>
      <c r="L56" s="808">
        <f t="shared" si="9"/>
        <v>0</v>
      </c>
      <c r="M56" s="808">
        <f t="shared" si="9"/>
        <v>0</v>
      </c>
      <c r="N56" s="808">
        <f t="shared" si="9"/>
        <v>0</v>
      </c>
      <c r="O56" s="806"/>
    </row>
    <row r="57" spans="2:16" s="799" customFormat="1" ht="11.25" hidden="1" x14ac:dyDescent="0.2">
      <c r="B57" s="809" t="s">
        <v>366</v>
      </c>
      <c r="C57" s="810">
        <f>C47+C56</f>
        <v>0</v>
      </c>
      <c r="D57" s="810">
        <f t="shared" ref="D57:N57" si="10">D47+D56</f>
        <v>0</v>
      </c>
      <c r="E57" s="810">
        <f t="shared" si="10"/>
        <v>0</v>
      </c>
      <c r="F57" s="810">
        <f t="shared" si="10"/>
        <v>0</v>
      </c>
      <c r="G57" s="810">
        <f t="shared" si="10"/>
        <v>0</v>
      </c>
      <c r="H57" s="810">
        <f t="shared" si="10"/>
        <v>0</v>
      </c>
      <c r="I57" s="810">
        <f t="shared" si="10"/>
        <v>0</v>
      </c>
      <c r="J57" s="810">
        <f t="shared" si="10"/>
        <v>0</v>
      </c>
      <c r="K57" s="810">
        <f t="shared" si="10"/>
        <v>0</v>
      </c>
      <c r="L57" s="810">
        <f t="shared" si="10"/>
        <v>0</v>
      </c>
      <c r="M57" s="810">
        <f t="shared" si="10"/>
        <v>0</v>
      </c>
      <c r="N57" s="810">
        <f t="shared" si="10"/>
        <v>0</v>
      </c>
      <c r="O57" s="810">
        <f>IF(SUM(C47:N47)=0,0,LARGE(C57:N57,1))</f>
        <v>0</v>
      </c>
    </row>
    <row r="58" spans="2:16" hidden="1" x14ac:dyDescent="0.25">
      <c r="C58" s="227"/>
      <c r="D58" s="227"/>
      <c r="E58" s="227"/>
      <c r="F58" s="227"/>
      <c r="G58" s="227"/>
      <c r="H58" s="227"/>
      <c r="I58" s="227"/>
      <c r="J58" s="227"/>
      <c r="K58" s="227"/>
      <c r="L58" s="227"/>
      <c r="M58" s="227"/>
      <c r="N58" s="227"/>
      <c r="O58" s="227"/>
    </row>
    <row r="59" spans="2:16" hidden="1" x14ac:dyDescent="0.25">
      <c r="B59" s="460" t="s">
        <v>332</v>
      </c>
    </row>
    <row r="60" spans="2:16" hidden="1" x14ac:dyDescent="0.25">
      <c r="B60" s="460" t="s">
        <v>323</v>
      </c>
      <c r="C60" s="499">
        <f>IF(REBANHO!E55="",0,REBANHO!E55)</f>
        <v>1</v>
      </c>
      <c r="D60" s="499">
        <f>IF(REBANHO!F55="",0,REBANHO!F55)</f>
        <v>1</v>
      </c>
      <c r="E60" s="499">
        <f>IF(REBANHO!G55="",0,REBANHO!G55)</f>
        <v>1</v>
      </c>
      <c r="F60" s="499">
        <f>IF(REBANHO!H55="",0,REBANHO!H55)</f>
        <v>1</v>
      </c>
      <c r="G60" s="499">
        <f>IF(REBANHO!I55="",0,REBANHO!I55)</f>
        <v>1</v>
      </c>
      <c r="H60" s="499">
        <f>IF(REBANHO!J55="",0,REBANHO!J55)</f>
        <v>1</v>
      </c>
      <c r="I60" s="499">
        <f>IF(REBANHO!K55="",0,REBANHO!K55)</f>
        <v>1</v>
      </c>
      <c r="J60" s="499">
        <f>IF(REBANHO!L55="",0,REBANHO!L55)</f>
        <v>1</v>
      </c>
      <c r="K60" s="499">
        <f>IF(REBANHO!M55="",0,REBANHO!M55)</f>
        <v>0</v>
      </c>
      <c r="L60" s="499">
        <f>IF(REBANHO!N55="",0,REBANHO!N55)</f>
        <v>0</v>
      </c>
      <c r="M60" s="499">
        <f>IF(REBANHO!O55="",0,REBANHO!O55)</f>
        <v>0</v>
      </c>
      <c r="N60" s="499">
        <f>IF(REBANHO!P55="",0,REBANHO!P55)</f>
        <v>0</v>
      </c>
      <c r="O60" s="227"/>
      <c r="P60" s="499"/>
    </row>
    <row r="61" spans="2:16" hidden="1" x14ac:dyDescent="0.25">
      <c r="B61" s="460" t="s">
        <v>325</v>
      </c>
      <c r="C61" s="227">
        <f>SAÍDAS!E23</f>
        <v>0</v>
      </c>
      <c r="D61" s="227">
        <f>SAÍDAS!F23</f>
        <v>0</v>
      </c>
      <c r="E61" s="227">
        <f>SAÍDAS!G23</f>
        <v>0</v>
      </c>
      <c r="F61" s="227">
        <f>SAÍDAS!H23</f>
        <v>0</v>
      </c>
      <c r="G61" s="227">
        <f>SAÍDAS!I23</f>
        <v>0</v>
      </c>
      <c r="H61" s="227">
        <f>SAÍDAS!J23</f>
        <v>0</v>
      </c>
      <c r="I61" s="227">
        <f>SAÍDAS!K23</f>
        <v>0</v>
      </c>
      <c r="J61" s="227">
        <f>SAÍDAS!L23</f>
        <v>0</v>
      </c>
      <c r="K61" s="227">
        <f>SAÍDAS!M23</f>
        <v>0</v>
      </c>
      <c r="L61" s="227">
        <f>SAÍDAS!N23</f>
        <v>0</v>
      </c>
      <c r="M61" s="227">
        <f>SAÍDAS!O23</f>
        <v>0</v>
      </c>
      <c r="N61" s="227">
        <f>SAÍDAS!P23</f>
        <v>0</v>
      </c>
      <c r="O61" s="227"/>
      <c r="P61" s="227"/>
    </row>
    <row r="62" spans="2:16" hidden="1" x14ac:dyDescent="0.25">
      <c r="B62" s="460" t="s">
        <v>326</v>
      </c>
      <c r="C62" s="227">
        <f>ENTRADAS!D24</f>
        <v>0</v>
      </c>
      <c r="D62" s="227">
        <f>ENTRADAS!E24</f>
        <v>0</v>
      </c>
      <c r="E62" s="227">
        <f>ENTRADAS!F24</f>
        <v>0</v>
      </c>
      <c r="F62" s="227">
        <f>ENTRADAS!G24</f>
        <v>0</v>
      </c>
      <c r="G62" s="227">
        <f>ENTRADAS!H24</f>
        <v>0</v>
      </c>
      <c r="H62" s="227">
        <f>ENTRADAS!I24</f>
        <v>0</v>
      </c>
      <c r="I62" s="227">
        <f>ENTRADAS!J24</f>
        <v>0</v>
      </c>
      <c r="J62" s="227">
        <f>ENTRADAS!K24</f>
        <v>0</v>
      </c>
      <c r="K62" s="227">
        <f>ENTRADAS!L24</f>
        <v>0</v>
      </c>
      <c r="L62" s="227">
        <f>ENTRADAS!M24</f>
        <v>0</v>
      </c>
      <c r="M62" s="227">
        <f>ENTRADAS!N24</f>
        <v>0</v>
      </c>
      <c r="N62" s="227">
        <f>ENTRADAS!O24</f>
        <v>0</v>
      </c>
      <c r="O62" s="227"/>
      <c r="P62" s="227"/>
    </row>
    <row r="63" spans="2:16" hidden="1" x14ac:dyDescent="0.25">
      <c r="B63" s="460" t="s">
        <v>344</v>
      </c>
      <c r="C63" s="227">
        <f>ENTRADAS!D39</f>
        <v>0</v>
      </c>
      <c r="D63" s="227">
        <f>ENTRADAS!E39</f>
        <v>0</v>
      </c>
      <c r="E63" s="227">
        <f>ENTRADAS!F39</f>
        <v>0</v>
      </c>
      <c r="F63" s="227">
        <f>ENTRADAS!G39</f>
        <v>0</v>
      </c>
      <c r="G63" s="227">
        <f>ENTRADAS!H39</f>
        <v>0</v>
      </c>
      <c r="H63" s="227">
        <f>ENTRADAS!I39</f>
        <v>0</v>
      </c>
      <c r="I63" s="227">
        <f>ENTRADAS!J39</f>
        <v>0</v>
      </c>
      <c r="J63" s="227">
        <f>ENTRADAS!K39</f>
        <v>0</v>
      </c>
      <c r="K63" s="227">
        <f>ENTRADAS!L39</f>
        <v>0</v>
      </c>
      <c r="L63" s="227">
        <f>ENTRADAS!M39</f>
        <v>0</v>
      </c>
      <c r="M63" s="227">
        <f>ENTRADAS!N39</f>
        <v>0</v>
      </c>
      <c r="N63" s="227">
        <f>ENTRADAS!O39</f>
        <v>0</v>
      </c>
      <c r="O63" s="227"/>
      <c r="P63" s="227"/>
    </row>
    <row r="64" spans="2:16" hidden="1" x14ac:dyDescent="0.25">
      <c r="B64" s="460" t="s">
        <v>327</v>
      </c>
      <c r="C64" s="499">
        <f>REBANHO!E75</f>
        <v>0</v>
      </c>
      <c r="D64" s="499">
        <f>REBANHO!F75</f>
        <v>0</v>
      </c>
      <c r="E64" s="499">
        <f>REBANHO!G75</f>
        <v>0</v>
      </c>
      <c r="F64" s="499">
        <f>REBANHO!H75</f>
        <v>0</v>
      </c>
      <c r="G64" s="499">
        <f>REBANHO!I75</f>
        <v>0</v>
      </c>
      <c r="H64" s="499">
        <f>REBANHO!J75</f>
        <v>0</v>
      </c>
      <c r="I64" s="499">
        <f>REBANHO!K75</f>
        <v>0</v>
      </c>
      <c r="J64" s="499">
        <f>REBANHO!L75</f>
        <v>0</v>
      </c>
      <c r="K64" s="499">
        <f>REBANHO!M75</f>
        <v>0</v>
      </c>
      <c r="L64" s="499">
        <f>REBANHO!N75</f>
        <v>0</v>
      </c>
      <c r="M64" s="499">
        <f>REBANHO!O75</f>
        <v>0</v>
      </c>
      <c r="N64" s="499">
        <f>REBANHO!P75</f>
        <v>0</v>
      </c>
      <c r="O64" s="499">
        <f>SUM(C61:N61)+SUM(C65:N65)</f>
        <v>-4</v>
      </c>
      <c r="P64" s="460" t="s">
        <v>362</v>
      </c>
    </row>
    <row r="65" spans="2:16" hidden="1" x14ac:dyDescent="0.25">
      <c r="B65" s="500" t="s">
        <v>328</v>
      </c>
      <c r="C65" s="501">
        <f t="shared" ref="C65:N65" si="11">C60-C66</f>
        <v>0</v>
      </c>
      <c r="D65" s="501">
        <f t="shared" si="11"/>
        <v>0</v>
      </c>
      <c r="E65" s="501">
        <f t="shared" si="11"/>
        <v>0</v>
      </c>
      <c r="F65" s="501">
        <f t="shared" si="11"/>
        <v>0</v>
      </c>
      <c r="G65" s="501">
        <f t="shared" si="11"/>
        <v>0</v>
      </c>
      <c r="H65" s="501">
        <f t="shared" si="11"/>
        <v>0</v>
      </c>
      <c r="I65" s="501">
        <f t="shared" si="11"/>
        <v>0</v>
      </c>
      <c r="J65" s="501">
        <f t="shared" si="11"/>
        <v>0</v>
      </c>
      <c r="K65" s="501">
        <f t="shared" si="11"/>
        <v>-1</v>
      </c>
      <c r="L65" s="501">
        <f t="shared" si="11"/>
        <v>-1</v>
      </c>
      <c r="M65" s="501">
        <f t="shared" si="11"/>
        <v>-1</v>
      </c>
      <c r="N65" s="501">
        <f t="shared" si="11"/>
        <v>-1</v>
      </c>
      <c r="O65" s="499">
        <f>SUM(C65:N65)</f>
        <v>-4</v>
      </c>
      <c r="P65" s="460" t="s">
        <v>328</v>
      </c>
    </row>
    <row r="66" spans="2:16" hidden="1" x14ac:dyDescent="0.25">
      <c r="B66" s="502" t="s">
        <v>329</v>
      </c>
      <c r="C66" s="503">
        <f>SAÍDAS!C23+C61-C62-C63-C64</f>
        <v>1</v>
      </c>
      <c r="D66" s="503">
        <f>C66+D61-D62-D63-D64</f>
        <v>1</v>
      </c>
      <c r="E66" s="503">
        <f t="shared" ref="E66:N66" si="12">D66+E61-E62-E63-E64</f>
        <v>1</v>
      </c>
      <c r="F66" s="503">
        <f t="shared" si="12"/>
        <v>1</v>
      </c>
      <c r="G66" s="503">
        <f t="shared" si="12"/>
        <v>1</v>
      </c>
      <c r="H66" s="503">
        <f t="shared" si="12"/>
        <v>1</v>
      </c>
      <c r="I66" s="503">
        <f t="shared" si="12"/>
        <v>1</v>
      </c>
      <c r="J66" s="503">
        <f t="shared" si="12"/>
        <v>1</v>
      </c>
      <c r="K66" s="503">
        <f t="shared" si="12"/>
        <v>1</v>
      </c>
      <c r="L66" s="503">
        <f t="shared" si="12"/>
        <v>1</v>
      </c>
      <c r="M66" s="503">
        <f t="shared" si="12"/>
        <v>1</v>
      </c>
      <c r="N66" s="503">
        <f t="shared" si="12"/>
        <v>1</v>
      </c>
      <c r="O66" s="227"/>
      <c r="P66" s="499"/>
    </row>
    <row r="67" spans="2:16" hidden="1" x14ac:dyDescent="0.25">
      <c r="B67" s="460" t="s">
        <v>347</v>
      </c>
      <c r="C67" s="326">
        <f>REBANHO!E55*REBANHO!E56</f>
        <v>600</v>
      </c>
      <c r="D67" s="326">
        <f>IF(D60=0,C67,REBANHO!F55*REBANHO!F56)</f>
        <v>600</v>
      </c>
      <c r="E67" s="326">
        <f>IF(E60=0,D67,REBANHO!G55*REBANHO!G56)</f>
        <v>600</v>
      </c>
      <c r="F67" s="326">
        <f>IF(F60=0,E67,REBANHO!H55*REBANHO!H56)</f>
        <v>600</v>
      </c>
      <c r="G67" s="326">
        <f>IF(G60=0,F67,REBANHO!I55*REBANHO!I56)</f>
        <v>600</v>
      </c>
      <c r="H67" s="326">
        <f>IF(H60=0,G67,REBANHO!J55*REBANHO!J56)</f>
        <v>600</v>
      </c>
      <c r="I67" s="326">
        <f>IF(I60=0,H67,REBANHO!K55*REBANHO!K56)</f>
        <v>606</v>
      </c>
      <c r="J67" s="326">
        <f>IF(J60=0,I67,REBANHO!L55*REBANHO!L56)</f>
        <v>606</v>
      </c>
      <c r="K67" s="326">
        <f>IF(K60=0,J67,REBANHO!M55*REBANHO!M56)</f>
        <v>606</v>
      </c>
      <c r="L67" s="326">
        <f>IF(L60=0,K67,REBANHO!N55*REBANHO!N56)</f>
        <v>606</v>
      </c>
      <c r="M67" s="326">
        <f>IF(M60=0,L67,REBANHO!O55*REBANHO!O56)</f>
        <v>606</v>
      </c>
      <c r="N67" s="326">
        <f>IF(N60=0,M67,REBANHO!P55*REBANHO!P56)</f>
        <v>606</v>
      </c>
      <c r="O67" s="326"/>
    </row>
    <row r="68" spans="2:16" hidden="1" x14ac:dyDescent="0.25">
      <c r="B68" s="460" t="s">
        <v>359</v>
      </c>
      <c r="C68" s="326">
        <f>REBANHO!E55*REBANHO!E56</f>
        <v>600</v>
      </c>
      <c r="D68" s="326">
        <f>REBANHO!F55*REBANHO!F56</f>
        <v>600</v>
      </c>
      <c r="E68" s="326">
        <f>REBANHO!G55*REBANHO!G56</f>
        <v>600</v>
      </c>
      <c r="F68" s="326">
        <f>REBANHO!H55*REBANHO!H56</f>
        <v>600</v>
      </c>
      <c r="G68" s="326">
        <f>REBANHO!I55*REBANHO!I56</f>
        <v>600</v>
      </c>
      <c r="H68" s="326">
        <f>REBANHO!J55*REBANHO!J56</f>
        <v>600</v>
      </c>
      <c r="I68" s="326">
        <f>REBANHO!K55*REBANHO!K56</f>
        <v>606</v>
      </c>
      <c r="J68" s="326">
        <f>REBANHO!L55*REBANHO!L56</f>
        <v>606</v>
      </c>
      <c r="K68" s="326">
        <f>REBANHO!M55*REBANHO!M56</f>
        <v>0</v>
      </c>
      <c r="L68" s="326">
        <f>REBANHO!N55*REBANHO!N56</f>
        <v>0</v>
      </c>
      <c r="M68" s="326">
        <f>REBANHO!O55*REBANHO!O56</f>
        <v>0</v>
      </c>
      <c r="N68" s="326">
        <f>REBANHO!P55*REBANHO!P56</f>
        <v>0</v>
      </c>
      <c r="O68" s="326"/>
    </row>
    <row r="69" spans="2:16" hidden="1" x14ac:dyDescent="0.25">
      <c r="B69" s="504" t="s">
        <v>350</v>
      </c>
      <c r="C69" s="505">
        <f>ENTRADAS!D39*ENTRADAS!D40</f>
        <v>0</v>
      </c>
      <c r="D69" s="505">
        <f>ENTRADAS!E39*ENTRADAS!E40</f>
        <v>0</v>
      </c>
      <c r="E69" s="505">
        <f>ENTRADAS!F39*ENTRADAS!F40</f>
        <v>0</v>
      </c>
      <c r="F69" s="505">
        <f>ENTRADAS!G39*ENTRADAS!G40</f>
        <v>0</v>
      </c>
      <c r="G69" s="505">
        <f>ENTRADAS!H39*ENTRADAS!H40</f>
        <v>0</v>
      </c>
      <c r="H69" s="505">
        <f>ENTRADAS!I39*ENTRADAS!I40</f>
        <v>0</v>
      </c>
      <c r="I69" s="505">
        <f>ENTRADAS!J39*ENTRADAS!J40</f>
        <v>0</v>
      </c>
      <c r="J69" s="505">
        <f>ENTRADAS!K39*ENTRADAS!K40</f>
        <v>0</v>
      </c>
      <c r="K69" s="505">
        <f>ENTRADAS!L39*ENTRADAS!L40</f>
        <v>0</v>
      </c>
      <c r="L69" s="505">
        <f>ENTRADAS!M39*ENTRADAS!M40</f>
        <v>0</v>
      </c>
      <c r="M69" s="505">
        <f>ENTRADAS!N39*ENTRADAS!N40</f>
        <v>0</v>
      </c>
      <c r="N69" s="505">
        <f>ENTRADAS!O39*ENTRADAS!O40</f>
        <v>0</v>
      </c>
      <c r="O69" s="326">
        <f>SUM(C69:N69)</f>
        <v>0</v>
      </c>
    </row>
    <row r="70" spans="2:16" hidden="1" x14ac:dyDescent="0.25">
      <c r="B70" s="504" t="s">
        <v>352</v>
      </c>
      <c r="C70" s="505">
        <f>ENTRADAS!D24*ENTRADAS!D25</f>
        <v>0</v>
      </c>
      <c r="D70" s="505">
        <f>ENTRADAS!E24*ENTRADAS!E25</f>
        <v>0</v>
      </c>
      <c r="E70" s="505">
        <f>ENTRADAS!F24*ENTRADAS!F25</f>
        <v>0</v>
      </c>
      <c r="F70" s="505">
        <f>ENTRADAS!G24*ENTRADAS!G25</f>
        <v>0</v>
      </c>
      <c r="G70" s="505">
        <f>ENTRADAS!H24*ENTRADAS!H25</f>
        <v>0</v>
      </c>
      <c r="H70" s="505">
        <f>ENTRADAS!I24*ENTRADAS!I25</f>
        <v>0</v>
      </c>
      <c r="I70" s="505">
        <f>ENTRADAS!J24*ENTRADAS!J25</f>
        <v>0</v>
      </c>
      <c r="J70" s="505">
        <f>ENTRADAS!K24*ENTRADAS!K25</f>
        <v>0</v>
      </c>
      <c r="K70" s="505">
        <f>ENTRADAS!L24*ENTRADAS!L25</f>
        <v>0</v>
      </c>
      <c r="L70" s="505">
        <f>ENTRADAS!M24*ENTRADAS!M25</f>
        <v>0</v>
      </c>
      <c r="M70" s="505">
        <f>ENTRADAS!N24*ENTRADAS!N25</f>
        <v>0</v>
      </c>
      <c r="N70" s="505">
        <f>ENTRADAS!O24*ENTRADAS!O25</f>
        <v>0</v>
      </c>
      <c r="O70" s="326">
        <f>SUM(C70:N70)</f>
        <v>0</v>
      </c>
    </row>
    <row r="71" spans="2:16" hidden="1" x14ac:dyDescent="0.25">
      <c r="B71" s="504" t="s">
        <v>353</v>
      </c>
      <c r="C71" s="505">
        <f>REBANHO!E75*REBANHO!E76</f>
        <v>0</v>
      </c>
      <c r="D71" s="505">
        <f>REBANHO!F75*REBANHO!F76</f>
        <v>0</v>
      </c>
      <c r="E71" s="505">
        <f>REBANHO!G75*REBANHO!G76</f>
        <v>0</v>
      </c>
      <c r="F71" s="505">
        <f>REBANHO!H75*REBANHO!H76</f>
        <v>0</v>
      </c>
      <c r="G71" s="505">
        <f>REBANHO!I75*REBANHO!I76</f>
        <v>0</v>
      </c>
      <c r="H71" s="505">
        <f>REBANHO!J75*REBANHO!J76</f>
        <v>0</v>
      </c>
      <c r="I71" s="505">
        <f>REBANHO!K75*REBANHO!K76</f>
        <v>0</v>
      </c>
      <c r="J71" s="505">
        <f>REBANHO!L75*REBANHO!L76</f>
        <v>0</v>
      </c>
      <c r="K71" s="505">
        <f>REBANHO!M75*REBANHO!M76</f>
        <v>0</v>
      </c>
      <c r="L71" s="505">
        <f>REBANHO!N75*REBANHO!N76</f>
        <v>0</v>
      </c>
      <c r="M71" s="505">
        <f>REBANHO!O75*REBANHO!O76</f>
        <v>0</v>
      </c>
      <c r="N71" s="505">
        <f>REBANHO!P75*REBANHO!P76</f>
        <v>0</v>
      </c>
      <c r="O71" s="326"/>
    </row>
    <row r="72" spans="2:16" hidden="1" x14ac:dyDescent="0.25">
      <c r="B72" s="504" t="s">
        <v>354</v>
      </c>
      <c r="C72" s="505">
        <f>IF(C65=0,0,(C$67/C$66)*C65)</f>
        <v>0</v>
      </c>
      <c r="D72" s="505">
        <f t="shared" ref="D72:N72" si="13">IF(D65=0,0,(D$67/D$66)*D65)</f>
        <v>0</v>
      </c>
      <c r="E72" s="505">
        <f t="shared" si="13"/>
        <v>0</v>
      </c>
      <c r="F72" s="505">
        <f t="shared" si="13"/>
        <v>0</v>
      </c>
      <c r="G72" s="505">
        <f t="shared" si="13"/>
        <v>0</v>
      </c>
      <c r="H72" s="505">
        <f t="shared" si="13"/>
        <v>0</v>
      </c>
      <c r="I72" s="505">
        <f t="shared" si="13"/>
        <v>0</v>
      </c>
      <c r="J72" s="505">
        <f t="shared" si="13"/>
        <v>0</v>
      </c>
      <c r="K72" s="505">
        <f t="shared" si="13"/>
        <v>-606</v>
      </c>
      <c r="L72" s="505">
        <f t="shared" si="13"/>
        <v>-606</v>
      </c>
      <c r="M72" s="505">
        <f t="shared" si="13"/>
        <v>-606</v>
      </c>
      <c r="N72" s="505">
        <f t="shared" si="13"/>
        <v>-606</v>
      </c>
      <c r="O72" s="326"/>
    </row>
    <row r="73" spans="2:16" hidden="1" x14ac:dyDescent="0.25">
      <c r="B73" s="504" t="s">
        <v>355</v>
      </c>
      <c r="C73" s="505">
        <f>SUM(C69:C72)</f>
        <v>0</v>
      </c>
      <c r="D73" s="505">
        <f t="shared" ref="D73:N73" si="14">SUM(D69:D72)</f>
        <v>0</v>
      </c>
      <c r="E73" s="505">
        <f t="shared" si="14"/>
        <v>0</v>
      </c>
      <c r="F73" s="505">
        <f t="shared" si="14"/>
        <v>0</v>
      </c>
      <c r="G73" s="505">
        <f t="shared" si="14"/>
        <v>0</v>
      </c>
      <c r="H73" s="505">
        <f t="shared" si="14"/>
        <v>0</v>
      </c>
      <c r="I73" s="505">
        <f t="shared" si="14"/>
        <v>0</v>
      </c>
      <c r="J73" s="505">
        <f t="shared" si="14"/>
        <v>0</v>
      </c>
      <c r="K73" s="505">
        <f t="shared" si="14"/>
        <v>-606</v>
      </c>
      <c r="L73" s="505">
        <f t="shared" si="14"/>
        <v>-606</v>
      </c>
      <c r="M73" s="505">
        <f t="shared" si="14"/>
        <v>-606</v>
      </c>
      <c r="N73" s="505">
        <f t="shared" si="14"/>
        <v>-606</v>
      </c>
      <c r="O73" s="326"/>
    </row>
    <row r="74" spans="2:16" hidden="1" x14ac:dyDescent="0.25">
      <c r="B74" s="504" t="s">
        <v>356</v>
      </c>
      <c r="C74" s="505">
        <f>C73</f>
        <v>0</v>
      </c>
      <c r="D74" s="505">
        <f>C74+D73</f>
        <v>0</v>
      </c>
      <c r="E74" s="505">
        <f t="shared" ref="E74:N74" si="15">D74+E73</f>
        <v>0</v>
      </c>
      <c r="F74" s="505">
        <f t="shared" si="15"/>
        <v>0</v>
      </c>
      <c r="G74" s="505">
        <f t="shared" si="15"/>
        <v>0</v>
      </c>
      <c r="H74" s="505">
        <f t="shared" si="15"/>
        <v>0</v>
      </c>
      <c r="I74" s="505">
        <f t="shared" si="15"/>
        <v>0</v>
      </c>
      <c r="J74" s="505">
        <f t="shared" si="15"/>
        <v>0</v>
      </c>
      <c r="K74" s="505">
        <f t="shared" si="15"/>
        <v>-606</v>
      </c>
      <c r="L74" s="505">
        <f t="shared" si="15"/>
        <v>-1212</v>
      </c>
      <c r="M74" s="505">
        <f t="shared" si="15"/>
        <v>-1818</v>
      </c>
      <c r="N74" s="505">
        <f t="shared" si="15"/>
        <v>-2424</v>
      </c>
      <c r="O74" s="326"/>
    </row>
    <row r="75" spans="2:16" hidden="1" x14ac:dyDescent="0.25">
      <c r="B75" s="506" t="s">
        <v>351</v>
      </c>
      <c r="C75" s="507">
        <f>C68+C74</f>
        <v>600</v>
      </c>
      <c r="D75" s="507">
        <f t="shared" ref="D75:N75" si="16">D68+D74</f>
        <v>600</v>
      </c>
      <c r="E75" s="507">
        <f t="shared" si="16"/>
        <v>600</v>
      </c>
      <c r="F75" s="507">
        <f t="shared" si="16"/>
        <v>600</v>
      </c>
      <c r="G75" s="507">
        <f t="shared" si="16"/>
        <v>600</v>
      </c>
      <c r="H75" s="507">
        <f t="shared" si="16"/>
        <v>600</v>
      </c>
      <c r="I75" s="507">
        <f t="shared" si="16"/>
        <v>606</v>
      </c>
      <c r="J75" s="507">
        <f t="shared" si="16"/>
        <v>606</v>
      </c>
      <c r="K75" s="507">
        <f t="shared" si="16"/>
        <v>-606</v>
      </c>
      <c r="L75" s="507">
        <f t="shared" si="16"/>
        <v>-1212</v>
      </c>
      <c r="M75" s="507">
        <f t="shared" si="16"/>
        <v>-1818</v>
      </c>
      <c r="N75" s="507">
        <f t="shared" si="16"/>
        <v>-2424</v>
      </c>
      <c r="O75" s="507">
        <f>LARGE(C75:N75,1)</f>
        <v>606</v>
      </c>
    </row>
    <row r="76" spans="2:16" hidden="1" x14ac:dyDescent="0.25">
      <c r="B76" s="504" t="s">
        <v>364</v>
      </c>
      <c r="C76" s="505">
        <f>SUM(C69:C71)</f>
        <v>0</v>
      </c>
      <c r="D76" s="505">
        <f t="shared" ref="D76:N76" si="17">SUM(D69:D71)</f>
        <v>0</v>
      </c>
      <c r="E76" s="505">
        <f t="shared" si="17"/>
        <v>0</v>
      </c>
      <c r="F76" s="505">
        <f t="shared" si="17"/>
        <v>0</v>
      </c>
      <c r="G76" s="505">
        <f t="shared" si="17"/>
        <v>0</v>
      </c>
      <c r="H76" s="505">
        <f t="shared" si="17"/>
        <v>0</v>
      </c>
      <c r="I76" s="505">
        <f t="shared" si="17"/>
        <v>0</v>
      </c>
      <c r="J76" s="505">
        <f t="shared" si="17"/>
        <v>0</v>
      </c>
      <c r="K76" s="505">
        <f t="shared" si="17"/>
        <v>0</v>
      </c>
      <c r="L76" s="505">
        <f t="shared" si="17"/>
        <v>0</v>
      </c>
      <c r="M76" s="505">
        <f t="shared" si="17"/>
        <v>0</v>
      </c>
      <c r="N76" s="505">
        <f t="shared" si="17"/>
        <v>0</v>
      </c>
      <c r="O76" s="326"/>
    </row>
    <row r="77" spans="2:16" hidden="1" x14ac:dyDescent="0.25">
      <c r="B77" s="504" t="s">
        <v>365</v>
      </c>
      <c r="C77" s="505">
        <f>C76</f>
        <v>0</v>
      </c>
      <c r="D77" s="505">
        <f>C77+D76</f>
        <v>0</v>
      </c>
      <c r="E77" s="505">
        <f t="shared" ref="E77:N77" si="18">D77+E76</f>
        <v>0</v>
      </c>
      <c r="F77" s="505">
        <f t="shared" si="18"/>
        <v>0</v>
      </c>
      <c r="G77" s="505">
        <f t="shared" si="18"/>
        <v>0</v>
      </c>
      <c r="H77" s="505">
        <f t="shared" si="18"/>
        <v>0</v>
      </c>
      <c r="I77" s="505">
        <f t="shared" si="18"/>
        <v>0</v>
      </c>
      <c r="J77" s="505">
        <f t="shared" si="18"/>
        <v>0</v>
      </c>
      <c r="K77" s="505">
        <f t="shared" si="18"/>
        <v>0</v>
      </c>
      <c r="L77" s="505">
        <f t="shared" si="18"/>
        <v>0</v>
      </c>
      <c r="M77" s="505">
        <f t="shared" si="18"/>
        <v>0</v>
      </c>
      <c r="N77" s="505">
        <f t="shared" si="18"/>
        <v>0</v>
      </c>
      <c r="O77" s="326"/>
    </row>
    <row r="78" spans="2:16" hidden="1" x14ac:dyDescent="0.25">
      <c r="B78" s="506" t="s">
        <v>366</v>
      </c>
      <c r="C78" s="507">
        <f>C68+C77</f>
        <v>600</v>
      </c>
      <c r="D78" s="507">
        <f t="shared" ref="D78:N78" si="19">D68+D77</f>
        <v>600</v>
      </c>
      <c r="E78" s="507">
        <f t="shared" si="19"/>
        <v>600</v>
      </c>
      <c r="F78" s="507">
        <f t="shared" si="19"/>
        <v>600</v>
      </c>
      <c r="G78" s="507">
        <f t="shared" si="19"/>
        <v>600</v>
      </c>
      <c r="H78" s="507">
        <f t="shared" si="19"/>
        <v>600</v>
      </c>
      <c r="I78" s="507">
        <f t="shared" si="19"/>
        <v>606</v>
      </c>
      <c r="J78" s="507">
        <f t="shared" si="19"/>
        <v>606</v>
      </c>
      <c r="K78" s="507">
        <f t="shared" si="19"/>
        <v>0</v>
      </c>
      <c r="L78" s="507">
        <f t="shared" si="19"/>
        <v>0</v>
      </c>
      <c r="M78" s="507">
        <f t="shared" si="19"/>
        <v>0</v>
      </c>
      <c r="N78" s="507">
        <f t="shared" si="19"/>
        <v>0</v>
      </c>
      <c r="O78" s="507">
        <f>IF(SUM(C68:N68)=0,0,LARGE(C78:N78,1))</f>
        <v>606</v>
      </c>
    </row>
    <row r="79" spans="2:16" hidden="1" x14ac:dyDescent="0.25">
      <c r="C79" s="326"/>
      <c r="D79" s="326"/>
      <c r="E79" s="326"/>
      <c r="F79" s="326"/>
      <c r="G79" s="326"/>
      <c r="H79" s="326"/>
      <c r="I79" s="326"/>
      <c r="J79" s="326"/>
      <c r="K79" s="326"/>
      <c r="L79" s="326"/>
      <c r="M79" s="326"/>
      <c r="N79" s="326"/>
      <c r="O79" s="326"/>
    </row>
    <row r="80" spans="2:16" s="799" customFormat="1" ht="11.25" hidden="1" x14ac:dyDescent="0.2">
      <c r="B80" s="799" t="s">
        <v>333</v>
      </c>
    </row>
    <row r="81" spans="2:16" s="799" customFormat="1" ht="11.25" hidden="1" x14ac:dyDescent="0.2">
      <c r="B81" s="799" t="s">
        <v>323</v>
      </c>
      <c r="C81" s="801">
        <f>IF(REBANHO!E42="",0,REBANHO!E42)</f>
        <v>0</v>
      </c>
      <c r="D81" s="801">
        <f>IF(REBANHO!F42="",0,REBANHO!F42)</f>
        <v>0</v>
      </c>
      <c r="E81" s="801">
        <f>IF(REBANHO!G42="",0,REBANHO!G42)</f>
        <v>0</v>
      </c>
      <c r="F81" s="801">
        <f>IF(REBANHO!H42="",0,REBANHO!H42)</f>
        <v>0</v>
      </c>
      <c r="G81" s="801">
        <f>IF(REBANHO!I42="",0,REBANHO!I42)</f>
        <v>0</v>
      </c>
      <c r="H81" s="801">
        <f>IF(REBANHO!J42="",0,REBANHO!J42)</f>
        <v>0</v>
      </c>
      <c r="I81" s="801">
        <f>IF(REBANHO!K42="",0,REBANHO!K42)</f>
        <v>0</v>
      </c>
      <c r="J81" s="801">
        <f>IF(REBANHO!L42="",0,REBANHO!L42)</f>
        <v>0</v>
      </c>
      <c r="K81" s="801">
        <f>IF(REBANHO!M42="",0,REBANHO!M42)</f>
        <v>0</v>
      </c>
      <c r="L81" s="801">
        <f>IF(REBANHO!N42="",0,REBANHO!N42)</f>
        <v>0</v>
      </c>
      <c r="M81" s="801">
        <f>IF(REBANHO!O42="",0,REBANHO!O42)</f>
        <v>0</v>
      </c>
      <c r="N81" s="801">
        <f>IF(REBANHO!P42="",0,REBANHO!P42)</f>
        <v>0</v>
      </c>
      <c r="O81" s="800"/>
    </row>
    <row r="82" spans="2:16" s="799" customFormat="1" ht="11.25" hidden="1" x14ac:dyDescent="0.2">
      <c r="B82" s="799" t="s">
        <v>334</v>
      </c>
      <c r="C82" s="801">
        <f>REBANHO!E63</f>
        <v>0</v>
      </c>
      <c r="D82" s="801">
        <f>REBANHO!F63</f>
        <v>0</v>
      </c>
      <c r="E82" s="801">
        <f>REBANHO!G63</f>
        <v>0</v>
      </c>
      <c r="F82" s="801">
        <f>REBANHO!H63</f>
        <v>0</v>
      </c>
      <c r="G82" s="801">
        <f>REBANHO!I63</f>
        <v>0</v>
      </c>
      <c r="H82" s="801">
        <f>REBANHO!J63</f>
        <v>0</v>
      </c>
      <c r="I82" s="801">
        <f>REBANHO!K63</f>
        <v>0</v>
      </c>
      <c r="J82" s="801">
        <f>REBANHO!L63</f>
        <v>0</v>
      </c>
      <c r="K82" s="801">
        <f>REBANHO!M63</f>
        <v>0</v>
      </c>
      <c r="L82" s="801">
        <f>REBANHO!N63</f>
        <v>0</v>
      </c>
      <c r="M82" s="801">
        <f>REBANHO!O63</f>
        <v>0</v>
      </c>
      <c r="N82" s="801">
        <f>REBANHO!P63</f>
        <v>0</v>
      </c>
      <c r="O82" s="800"/>
    </row>
    <row r="83" spans="2:16" s="799" customFormat="1" ht="11.25" hidden="1" x14ac:dyDescent="0.2">
      <c r="B83" s="799" t="s">
        <v>325</v>
      </c>
      <c r="C83" s="800">
        <f>SAÍDAS!E7</f>
        <v>0</v>
      </c>
      <c r="D83" s="800">
        <f>SAÍDAS!F7</f>
        <v>0</v>
      </c>
      <c r="E83" s="800">
        <f>SAÍDAS!G7</f>
        <v>0</v>
      </c>
      <c r="F83" s="800">
        <f>SAÍDAS!H7</f>
        <v>0</v>
      </c>
      <c r="G83" s="800">
        <f>SAÍDAS!I7</f>
        <v>0</v>
      </c>
      <c r="H83" s="800">
        <f>SAÍDAS!J7</f>
        <v>0</v>
      </c>
      <c r="I83" s="800">
        <f>SAÍDAS!K7</f>
        <v>0</v>
      </c>
      <c r="J83" s="800">
        <f>SAÍDAS!L7</f>
        <v>0</v>
      </c>
      <c r="K83" s="800">
        <f>SAÍDAS!M7</f>
        <v>0</v>
      </c>
      <c r="L83" s="800">
        <f>SAÍDAS!N7</f>
        <v>0</v>
      </c>
      <c r="M83" s="800">
        <f>SAÍDAS!O7</f>
        <v>0</v>
      </c>
      <c r="N83" s="800">
        <f>SAÍDAS!P7</f>
        <v>0</v>
      </c>
      <c r="O83" s="800"/>
    </row>
    <row r="84" spans="2:16" s="799" customFormat="1" ht="11.25" hidden="1" x14ac:dyDescent="0.2">
      <c r="B84" s="799" t="s">
        <v>326</v>
      </c>
      <c r="C84" s="800">
        <f>ENTRADAS!D8</f>
        <v>0</v>
      </c>
      <c r="D84" s="800">
        <f>ENTRADAS!E8</f>
        <v>0</v>
      </c>
      <c r="E84" s="800">
        <f>ENTRADAS!F8</f>
        <v>0</v>
      </c>
      <c r="F84" s="800">
        <f>ENTRADAS!G8</f>
        <v>0</v>
      </c>
      <c r="G84" s="800">
        <f>ENTRADAS!H8</f>
        <v>0</v>
      </c>
      <c r="H84" s="800">
        <f>ENTRADAS!I8</f>
        <v>0</v>
      </c>
      <c r="I84" s="800">
        <f>ENTRADAS!J8</f>
        <v>0</v>
      </c>
      <c r="J84" s="800">
        <f>ENTRADAS!K8</f>
        <v>0</v>
      </c>
      <c r="K84" s="800">
        <f>ENTRADAS!L8</f>
        <v>0</v>
      </c>
      <c r="L84" s="800">
        <f>ENTRADAS!M8</f>
        <v>0</v>
      </c>
      <c r="M84" s="800">
        <f>ENTRADAS!N8</f>
        <v>0</v>
      </c>
      <c r="N84" s="800">
        <f>ENTRADAS!O8</f>
        <v>0</v>
      </c>
      <c r="O84" s="800"/>
    </row>
    <row r="85" spans="2:16" s="799" customFormat="1" ht="11.25" hidden="1" x14ac:dyDescent="0.2">
      <c r="B85" s="799" t="s">
        <v>327</v>
      </c>
      <c r="C85" s="801">
        <f>REBANHO!E67</f>
        <v>0</v>
      </c>
      <c r="D85" s="801">
        <f>REBANHO!F67</f>
        <v>0</v>
      </c>
      <c r="E85" s="801">
        <f>REBANHO!G67</f>
        <v>0</v>
      </c>
      <c r="F85" s="801">
        <f>REBANHO!H67</f>
        <v>0</v>
      </c>
      <c r="G85" s="801">
        <f>REBANHO!I67</f>
        <v>0</v>
      </c>
      <c r="H85" s="801">
        <f>REBANHO!J67</f>
        <v>0</v>
      </c>
      <c r="I85" s="801">
        <f>REBANHO!K67</f>
        <v>0</v>
      </c>
      <c r="J85" s="801">
        <f>REBANHO!L67</f>
        <v>0</v>
      </c>
      <c r="K85" s="801">
        <f>REBANHO!M67</f>
        <v>0</v>
      </c>
      <c r="L85" s="801">
        <f>REBANHO!N67</f>
        <v>0</v>
      </c>
      <c r="M85" s="801">
        <f>REBANHO!O67</f>
        <v>0</v>
      </c>
      <c r="N85" s="801">
        <f>REBANHO!P67</f>
        <v>0</v>
      </c>
      <c r="O85" s="800"/>
    </row>
    <row r="86" spans="2:16" s="799" customFormat="1" ht="11.25" hidden="1" x14ac:dyDescent="0.2">
      <c r="B86" s="802" t="s">
        <v>328</v>
      </c>
      <c r="C86" s="803">
        <f>IF(C81-C88&lt;0,(C81-C88)*-1,C81-C88)</f>
        <v>0</v>
      </c>
      <c r="D86" s="803">
        <f t="shared" ref="D86:N86" si="20">IF(D81-D88&lt;0,(D81-D88)*-1,D81-D88)</f>
        <v>0</v>
      </c>
      <c r="E86" s="803">
        <f t="shared" si="20"/>
        <v>0</v>
      </c>
      <c r="F86" s="803">
        <f t="shared" si="20"/>
        <v>0</v>
      </c>
      <c r="G86" s="803">
        <f t="shared" si="20"/>
        <v>0</v>
      </c>
      <c r="H86" s="803">
        <f t="shared" si="20"/>
        <v>0</v>
      </c>
      <c r="I86" s="803">
        <f t="shared" si="20"/>
        <v>0</v>
      </c>
      <c r="J86" s="803">
        <f t="shared" si="20"/>
        <v>0</v>
      </c>
      <c r="K86" s="803">
        <f t="shared" si="20"/>
        <v>0</v>
      </c>
      <c r="L86" s="803">
        <f t="shared" si="20"/>
        <v>0</v>
      </c>
      <c r="M86" s="803">
        <f t="shared" si="20"/>
        <v>0</v>
      </c>
      <c r="N86" s="803">
        <f t="shared" si="20"/>
        <v>0</v>
      </c>
      <c r="O86" s="801"/>
    </row>
    <row r="87" spans="2:16" s="799" customFormat="1" ht="11.25" hidden="1" x14ac:dyDescent="0.2">
      <c r="B87" s="802" t="s">
        <v>335</v>
      </c>
      <c r="C87" s="812">
        <f>C86</f>
        <v>0</v>
      </c>
      <c r="D87" s="812">
        <f>(D86-C86)</f>
        <v>0</v>
      </c>
      <c r="E87" s="812">
        <f t="shared" ref="E87:N87" si="21">(E86-D86)</f>
        <v>0</v>
      </c>
      <c r="F87" s="812">
        <f t="shared" si="21"/>
        <v>0</v>
      </c>
      <c r="G87" s="812">
        <f t="shared" si="21"/>
        <v>0</v>
      </c>
      <c r="H87" s="812">
        <f t="shared" si="21"/>
        <v>0</v>
      </c>
      <c r="I87" s="812">
        <f t="shared" si="21"/>
        <v>0</v>
      </c>
      <c r="J87" s="812">
        <f t="shared" si="21"/>
        <v>0</v>
      </c>
      <c r="K87" s="812">
        <f t="shared" si="21"/>
        <v>0</v>
      </c>
      <c r="L87" s="812">
        <f t="shared" si="21"/>
        <v>0</v>
      </c>
      <c r="M87" s="812">
        <f t="shared" si="21"/>
        <v>0</v>
      </c>
      <c r="N87" s="812">
        <f t="shared" si="21"/>
        <v>0</v>
      </c>
      <c r="O87" s="801">
        <f>SUM(C87:N87)</f>
        <v>0</v>
      </c>
    </row>
    <row r="88" spans="2:16" s="799" customFormat="1" ht="11.25" hidden="1" x14ac:dyDescent="0.2">
      <c r="B88" s="804" t="s">
        <v>329</v>
      </c>
      <c r="C88" s="805">
        <f>SAÍDAS!C7+C82+C83-C84-C85</f>
        <v>0</v>
      </c>
      <c r="D88" s="805">
        <f>C88+D82+D83-D84-D85</f>
        <v>0</v>
      </c>
      <c r="E88" s="805">
        <f t="shared" ref="E88:N88" si="22">D88+E82+E83-E84-E85</f>
        <v>0</v>
      </c>
      <c r="F88" s="805">
        <f t="shared" si="22"/>
        <v>0</v>
      </c>
      <c r="G88" s="805">
        <f t="shared" si="22"/>
        <v>0</v>
      </c>
      <c r="H88" s="805">
        <f t="shared" si="22"/>
        <v>0</v>
      </c>
      <c r="I88" s="805">
        <f t="shared" si="22"/>
        <v>0</v>
      </c>
      <c r="J88" s="805">
        <f t="shared" si="22"/>
        <v>0</v>
      </c>
      <c r="K88" s="805">
        <f t="shared" si="22"/>
        <v>0</v>
      </c>
      <c r="L88" s="805">
        <f t="shared" si="22"/>
        <v>0</v>
      </c>
      <c r="M88" s="805">
        <f t="shared" si="22"/>
        <v>0</v>
      </c>
      <c r="N88" s="805">
        <f t="shared" si="22"/>
        <v>0</v>
      </c>
      <c r="O88" s="800"/>
    </row>
    <row r="89" spans="2:16" s="799" customFormat="1" ht="11.25" hidden="1" x14ac:dyDescent="0.2">
      <c r="B89" s="799" t="s">
        <v>341</v>
      </c>
      <c r="C89" s="806">
        <f>(REBANHO!E38*REBANHO!E39)+(REBANHO!E40*REBANHO!E41)</f>
        <v>0</v>
      </c>
      <c r="D89" s="806">
        <f>IF(D81=0,C89,(REBANHO!F38*REBANHO!F39)+(REBANHO!F40*REBANHO!F41))</f>
        <v>0</v>
      </c>
      <c r="E89" s="806">
        <f>IF(E81=0,D89,(REBANHO!G38*REBANHO!G39)+(REBANHO!G40*REBANHO!G41))</f>
        <v>0</v>
      </c>
      <c r="F89" s="806">
        <f>IF(F81=0,E89,(REBANHO!H38*REBANHO!H39)+(REBANHO!H40*REBANHO!H41))</f>
        <v>0</v>
      </c>
      <c r="G89" s="806">
        <f>IF(G81=0,F89,(REBANHO!I38*REBANHO!I39)+(REBANHO!I40*REBANHO!I41))</f>
        <v>0</v>
      </c>
      <c r="H89" s="806">
        <f>IF(H81=0,G89,(REBANHO!J38*REBANHO!J39)+(REBANHO!J40*REBANHO!J41))</f>
        <v>0</v>
      </c>
      <c r="I89" s="806">
        <f>IF(I81=0,H89,(REBANHO!K38*REBANHO!K39)+(REBANHO!K40*REBANHO!K41))</f>
        <v>0</v>
      </c>
      <c r="J89" s="806">
        <f>IF(J81=0,I89,(REBANHO!L38*REBANHO!L39)+(REBANHO!L40*REBANHO!L41))</f>
        <v>0</v>
      </c>
      <c r="K89" s="806">
        <f>IF(K81=0,J89,(REBANHO!M38*REBANHO!M39)+(REBANHO!M40*REBANHO!M41))</f>
        <v>0</v>
      </c>
      <c r="L89" s="806">
        <f>IF(L81=0,K89,(REBANHO!N38*REBANHO!N39)+(REBANHO!N40*REBANHO!N41))</f>
        <v>0</v>
      </c>
      <c r="M89" s="806">
        <f>IF(M81=0,L89,(REBANHO!O38*REBANHO!O39)+(REBANHO!O40*REBANHO!O41))</f>
        <v>0</v>
      </c>
      <c r="N89" s="806">
        <f>IF(N81=0,M89,(REBANHO!P38*REBANHO!P39)+(REBANHO!P40*REBANHO!P41))</f>
        <v>0</v>
      </c>
      <c r="O89" s="806"/>
    </row>
    <row r="90" spans="2:16" s="799" customFormat="1" ht="11.25" hidden="1" x14ac:dyDescent="0.2">
      <c r="B90" s="813" t="s">
        <v>342</v>
      </c>
      <c r="C90" s="814" t="e">
        <f>(C$89/C$88)*C87</f>
        <v>#DIV/0!</v>
      </c>
      <c r="D90" s="814" t="e">
        <f t="shared" ref="D90:N90" si="23">(D89/D88)*D87</f>
        <v>#DIV/0!</v>
      </c>
      <c r="E90" s="814" t="e">
        <f t="shared" si="23"/>
        <v>#DIV/0!</v>
      </c>
      <c r="F90" s="814" t="e">
        <f t="shared" si="23"/>
        <v>#DIV/0!</v>
      </c>
      <c r="G90" s="814" t="e">
        <f t="shared" si="23"/>
        <v>#DIV/0!</v>
      </c>
      <c r="H90" s="814" t="e">
        <f t="shared" si="23"/>
        <v>#DIV/0!</v>
      </c>
      <c r="I90" s="814" t="e">
        <f t="shared" si="23"/>
        <v>#DIV/0!</v>
      </c>
      <c r="J90" s="814" t="e">
        <f t="shared" si="23"/>
        <v>#DIV/0!</v>
      </c>
      <c r="K90" s="814" t="e">
        <f t="shared" si="23"/>
        <v>#DIV/0!</v>
      </c>
      <c r="L90" s="814" t="e">
        <f t="shared" si="23"/>
        <v>#DIV/0!</v>
      </c>
      <c r="M90" s="814" t="e">
        <f t="shared" si="23"/>
        <v>#DIV/0!</v>
      </c>
      <c r="N90" s="814" t="e">
        <f t="shared" si="23"/>
        <v>#DIV/0!</v>
      </c>
      <c r="O90" s="814" t="e">
        <f>SUM(C90:N90)</f>
        <v>#DIV/0!</v>
      </c>
    </row>
    <row r="91" spans="2:16" s="799" customFormat="1" ht="11.25" hidden="1" x14ac:dyDescent="0.2">
      <c r="B91" s="799" t="s">
        <v>357</v>
      </c>
      <c r="C91" s="806">
        <f>(REBANHO!E38*REBANHO!E39)+(REBANHO!E40*REBANHO!E41)</f>
        <v>0</v>
      </c>
      <c r="D91" s="806">
        <f>(REBANHO!F38*REBANHO!F39)+(REBANHO!F40*REBANHO!F41)</f>
        <v>0</v>
      </c>
      <c r="E91" s="806">
        <f>(REBANHO!G38*REBANHO!G39)+(REBANHO!G40*REBANHO!G41)</f>
        <v>0</v>
      </c>
      <c r="F91" s="806">
        <f>(REBANHO!H38*REBANHO!H39)+(REBANHO!H40*REBANHO!H41)</f>
        <v>0</v>
      </c>
      <c r="G91" s="806">
        <f>(REBANHO!I38*REBANHO!I39)+(REBANHO!I40*REBANHO!I41)</f>
        <v>0</v>
      </c>
      <c r="H91" s="806">
        <f>(REBANHO!J38*REBANHO!J39)+(REBANHO!J40*REBANHO!J41)</f>
        <v>0</v>
      </c>
      <c r="I91" s="806">
        <f>(REBANHO!K38*REBANHO!K39)+(REBANHO!K40*REBANHO!K41)</f>
        <v>0</v>
      </c>
      <c r="J91" s="806">
        <f>(REBANHO!L38*REBANHO!L39)+(REBANHO!L40*REBANHO!L41)</f>
        <v>0</v>
      </c>
      <c r="K91" s="806">
        <f>(REBANHO!M38*REBANHO!M39)+(REBANHO!M40*REBANHO!M41)</f>
        <v>0</v>
      </c>
      <c r="L91" s="806">
        <f>(REBANHO!N38*REBANHO!N39)+(REBANHO!N40*REBANHO!N41)</f>
        <v>0</v>
      </c>
      <c r="M91" s="806">
        <f>(REBANHO!O38*REBANHO!O39)+(REBANHO!O40*REBANHO!O41)</f>
        <v>0</v>
      </c>
      <c r="N91" s="806">
        <f>(REBANHO!P38*REBANHO!P39)+(REBANHO!P40*REBANHO!P41)</f>
        <v>0</v>
      </c>
      <c r="O91" s="806"/>
    </row>
    <row r="92" spans="2:16" s="799" customFormat="1" hidden="1" x14ac:dyDescent="0.2">
      <c r="B92" s="807" t="s">
        <v>352</v>
      </c>
      <c r="C92" s="808">
        <f>ENTRADAS!D8*ENTRADAS!D9</f>
        <v>0</v>
      </c>
      <c r="D92" s="808">
        <f>ENTRADAS!E8*ENTRADAS!E9</f>
        <v>0</v>
      </c>
      <c r="E92" s="808">
        <f>ENTRADAS!F8*ENTRADAS!F9</f>
        <v>0</v>
      </c>
      <c r="F92" s="808">
        <f>ENTRADAS!G8*ENTRADAS!G9</f>
        <v>0</v>
      </c>
      <c r="G92" s="808">
        <f>ENTRADAS!H8*ENTRADAS!H9</f>
        <v>0</v>
      </c>
      <c r="H92" s="808">
        <f>ENTRADAS!I8*ENTRADAS!I9</f>
        <v>0</v>
      </c>
      <c r="I92" s="808">
        <f>ENTRADAS!J8*ENTRADAS!J9</f>
        <v>0</v>
      </c>
      <c r="J92" s="808">
        <f>ENTRADAS!K8*ENTRADAS!K9</f>
        <v>0</v>
      </c>
      <c r="K92" s="808">
        <f>ENTRADAS!L8*ENTRADAS!L9</f>
        <v>0</v>
      </c>
      <c r="L92" s="808">
        <f>ENTRADAS!M8*ENTRADAS!M9</f>
        <v>0</v>
      </c>
      <c r="M92" s="808">
        <f>ENTRADAS!N8*ENTRADAS!N9</f>
        <v>0</v>
      </c>
      <c r="N92" s="808">
        <f>ENTRADAS!O8*ENTRADAS!O9</f>
        <v>0</v>
      </c>
      <c r="O92" s="326">
        <f>SUM(C92:N92)</f>
        <v>0</v>
      </c>
      <c r="P92" s="806"/>
    </row>
    <row r="93" spans="2:16" s="799" customFormat="1" hidden="1" x14ac:dyDescent="0.2">
      <c r="B93" s="807" t="s">
        <v>353</v>
      </c>
      <c r="C93" s="808">
        <f>REBANHO!E67*REBANHO!E68</f>
        <v>0</v>
      </c>
      <c r="D93" s="808">
        <f>REBANHO!F67*REBANHO!F68</f>
        <v>0</v>
      </c>
      <c r="E93" s="808">
        <f>REBANHO!G67*REBANHO!G68</f>
        <v>0</v>
      </c>
      <c r="F93" s="808">
        <f>REBANHO!H67*REBANHO!H68</f>
        <v>0</v>
      </c>
      <c r="G93" s="808">
        <f>REBANHO!I67*REBANHO!I68</f>
        <v>0</v>
      </c>
      <c r="H93" s="808">
        <f>REBANHO!J67*REBANHO!J68</f>
        <v>0</v>
      </c>
      <c r="I93" s="808">
        <f>REBANHO!K67*REBANHO!K68</f>
        <v>0</v>
      </c>
      <c r="J93" s="808">
        <f>REBANHO!L67*REBANHO!L68</f>
        <v>0</v>
      </c>
      <c r="K93" s="808">
        <f>REBANHO!M67*REBANHO!M68</f>
        <v>0</v>
      </c>
      <c r="L93" s="808">
        <f>REBANHO!N67*REBANHO!N68</f>
        <v>0</v>
      </c>
      <c r="M93" s="808">
        <f>REBANHO!O67*REBANHO!O68</f>
        <v>0</v>
      </c>
      <c r="N93" s="808">
        <f>REBANHO!P67*REBANHO!P68</f>
        <v>0</v>
      </c>
      <c r="O93" s="326"/>
      <c r="P93" s="806"/>
    </row>
    <row r="94" spans="2:16" s="799" customFormat="1" ht="11.25" hidden="1" x14ac:dyDescent="0.2">
      <c r="B94" s="807" t="s">
        <v>354</v>
      </c>
      <c r="C94" s="808">
        <f>IF(C87=0,0,(C$89/C$88)*C87)</f>
        <v>0</v>
      </c>
      <c r="D94" s="808">
        <f t="shared" ref="D94:N94" si="24">IF(D87=0,0,(D$89/D$88)*D87)</f>
        <v>0</v>
      </c>
      <c r="E94" s="808">
        <f t="shared" si="24"/>
        <v>0</v>
      </c>
      <c r="F94" s="808">
        <f t="shared" si="24"/>
        <v>0</v>
      </c>
      <c r="G94" s="808">
        <f t="shared" si="24"/>
        <v>0</v>
      </c>
      <c r="H94" s="808">
        <f t="shared" si="24"/>
        <v>0</v>
      </c>
      <c r="I94" s="808">
        <f t="shared" si="24"/>
        <v>0</v>
      </c>
      <c r="J94" s="808">
        <f t="shared" si="24"/>
        <v>0</v>
      </c>
      <c r="K94" s="808">
        <f t="shared" si="24"/>
        <v>0</v>
      </c>
      <c r="L94" s="808">
        <f t="shared" si="24"/>
        <v>0</v>
      </c>
      <c r="M94" s="808">
        <f t="shared" si="24"/>
        <v>0</v>
      </c>
      <c r="N94" s="808">
        <f t="shared" si="24"/>
        <v>0</v>
      </c>
    </row>
    <row r="95" spans="2:16" s="799" customFormat="1" ht="11.25" hidden="1" x14ac:dyDescent="0.2">
      <c r="B95" s="807" t="s">
        <v>355</v>
      </c>
      <c r="C95" s="808">
        <f>SUM(C92:C94)</f>
        <v>0</v>
      </c>
      <c r="D95" s="808">
        <f t="shared" ref="D95:N95" si="25">SUM(D92:D94)</f>
        <v>0</v>
      </c>
      <c r="E95" s="808">
        <f t="shared" si="25"/>
        <v>0</v>
      </c>
      <c r="F95" s="808">
        <f t="shared" si="25"/>
        <v>0</v>
      </c>
      <c r="G95" s="808">
        <f t="shared" si="25"/>
        <v>0</v>
      </c>
      <c r="H95" s="808">
        <f t="shared" si="25"/>
        <v>0</v>
      </c>
      <c r="I95" s="808">
        <f t="shared" si="25"/>
        <v>0</v>
      </c>
      <c r="J95" s="808">
        <f t="shared" si="25"/>
        <v>0</v>
      </c>
      <c r="K95" s="808">
        <f t="shared" si="25"/>
        <v>0</v>
      </c>
      <c r="L95" s="808">
        <f t="shared" si="25"/>
        <v>0</v>
      </c>
      <c r="M95" s="808">
        <f t="shared" si="25"/>
        <v>0</v>
      </c>
      <c r="N95" s="808">
        <f t="shared" si="25"/>
        <v>0</v>
      </c>
      <c r="O95" s="806"/>
      <c r="P95" s="806"/>
    </row>
    <row r="96" spans="2:16" s="799" customFormat="1" ht="11.25" hidden="1" x14ac:dyDescent="0.2">
      <c r="B96" s="807" t="s">
        <v>356</v>
      </c>
      <c r="C96" s="808">
        <f>C95</f>
        <v>0</v>
      </c>
      <c r="D96" s="808">
        <f t="shared" ref="D96:N96" si="26">C96+D95</f>
        <v>0</v>
      </c>
      <c r="E96" s="808">
        <f t="shared" si="26"/>
        <v>0</v>
      </c>
      <c r="F96" s="808">
        <f t="shared" si="26"/>
        <v>0</v>
      </c>
      <c r="G96" s="808">
        <f t="shared" si="26"/>
        <v>0</v>
      </c>
      <c r="H96" s="808">
        <f t="shared" si="26"/>
        <v>0</v>
      </c>
      <c r="I96" s="808">
        <f t="shared" si="26"/>
        <v>0</v>
      </c>
      <c r="J96" s="808">
        <f t="shared" si="26"/>
        <v>0</v>
      </c>
      <c r="K96" s="808">
        <f t="shared" si="26"/>
        <v>0</v>
      </c>
      <c r="L96" s="808">
        <f t="shared" si="26"/>
        <v>0</v>
      </c>
      <c r="M96" s="808">
        <f t="shared" si="26"/>
        <v>0</v>
      </c>
      <c r="N96" s="808">
        <f t="shared" si="26"/>
        <v>0</v>
      </c>
      <c r="O96" s="806"/>
      <c r="P96" s="806"/>
    </row>
    <row r="97" spans="1:16" s="799" customFormat="1" ht="11.25" hidden="1" x14ac:dyDescent="0.2">
      <c r="B97" s="809" t="s">
        <v>351</v>
      </c>
      <c r="C97" s="810">
        <f>C91+C96</f>
        <v>0</v>
      </c>
      <c r="D97" s="810">
        <f t="shared" ref="D97:N97" si="27">D91+D96</f>
        <v>0</v>
      </c>
      <c r="E97" s="810">
        <f t="shared" si="27"/>
        <v>0</v>
      </c>
      <c r="F97" s="810">
        <f t="shared" si="27"/>
        <v>0</v>
      </c>
      <c r="G97" s="810">
        <f t="shared" si="27"/>
        <v>0</v>
      </c>
      <c r="H97" s="810">
        <f t="shared" si="27"/>
        <v>0</v>
      </c>
      <c r="I97" s="810">
        <f t="shared" si="27"/>
        <v>0</v>
      </c>
      <c r="J97" s="810">
        <f t="shared" si="27"/>
        <v>0</v>
      </c>
      <c r="K97" s="810">
        <f t="shared" si="27"/>
        <v>0</v>
      </c>
      <c r="L97" s="810">
        <f t="shared" si="27"/>
        <v>0</v>
      </c>
      <c r="M97" s="810">
        <f t="shared" si="27"/>
        <v>0</v>
      </c>
      <c r="N97" s="810">
        <f t="shared" si="27"/>
        <v>0</v>
      </c>
      <c r="O97" s="810">
        <f>LARGE(C97:N97,1)</f>
        <v>0</v>
      </c>
      <c r="P97" s="806"/>
    </row>
    <row r="98" spans="1:16" s="799" customFormat="1" ht="11.25" hidden="1" x14ac:dyDescent="0.2">
      <c r="B98" s="807" t="s">
        <v>364</v>
      </c>
      <c r="C98" s="808">
        <f>SUM(C92:C93)</f>
        <v>0</v>
      </c>
      <c r="D98" s="808">
        <f t="shared" ref="D98:N98" si="28">SUM(D92:D93)</f>
        <v>0</v>
      </c>
      <c r="E98" s="808">
        <f t="shared" si="28"/>
        <v>0</v>
      </c>
      <c r="F98" s="808">
        <f t="shared" si="28"/>
        <v>0</v>
      </c>
      <c r="G98" s="808">
        <f t="shared" si="28"/>
        <v>0</v>
      </c>
      <c r="H98" s="808">
        <f t="shared" si="28"/>
        <v>0</v>
      </c>
      <c r="I98" s="808">
        <f t="shared" si="28"/>
        <v>0</v>
      </c>
      <c r="J98" s="808">
        <f t="shared" si="28"/>
        <v>0</v>
      </c>
      <c r="K98" s="808">
        <f t="shared" si="28"/>
        <v>0</v>
      </c>
      <c r="L98" s="808">
        <f t="shared" si="28"/>
        <v>0</v>
      </c>
      <c r="M98" s="808">
        <f t="shared" si="28"/>
        <v>0</v>
      </c>
      <c r="N98" s="808">
        <f t="shared" si="28"/>
        <v>0</v>
      </c>
      <c r="O98" s="806"/>
    </row>
    <row r="99" spans="1:16" s="799" customFormat="1" ht="11.25" hidden="1" x14ac:dyDescent="0.2">
      <c r="B99" s="807" t="s">
        <v>365</v>
      </c>
      <c r="C99" s="808">
        <f>C98</f>
        <v>0</v>
      </c>
      <c r="D99" s="808">
        <f>C99+D98</f>
        <v>0</v>
      </c>
      <c r="E99" s="808">
        <f t="shared" ref="E99:N99" si="29">D99+E98</f>
        <v>0</v>
      </c>
      <c r="F99" s="808">
        <f t="shared" si="29"/>
        <v>0</v>
      </c>
      <c r="G99" s="808">
        <f t="shared" si="29"/>
        <v>0</v>
      </c>
      <c r="H99" s="808">
        <f t="shared" si="29"/>
        <v>0</v>
      </c>
      <c r="I99" s="808">
        <f t="shared" si="29"/>
        <v>0</v>
      </c>
      <c r="J99" s="808">
        <f t="shared" si="29"/>
        <v>0</v>
      </c>
      <c r="K99" s="808">
        <f t="shared" si="29"/>
        <v>0</v>
      </c>
      <c r="L99" s="808">
        <f t="shared" si="29"/>
        <v>0</v>
      </c>
      <c r="M99" s="808">
        <f t="shared" si="29"/>
        <v>0</v>
      </c>
      <c r="N99" s="808">
        <f t="shared" si="29"/>
        <v>0</v>
      </c>
      <c r="O99" s="806"/>
    </row>
    <row r="100" spans="1:16" s="799" customFormat="1" ht="11.25" hidden="1" x14ac:dyDescent="0.2">
      <c r="B100" s="809" t="s">
        <v>366</v>
      </c>
      <c r="C100" s="810">
        <f>C91+C99</f>
        <v>0</v>
      </c>
      <c r="D100" s="810">
        <f t="shared" ref="D100:N100" si="30">D91+D99</f>
        <v>0</v>
      </c>
      <c r="E100" s="810">
        <f t="shared" si="30"/>
        <v>0</v>
      </c>
      <c r="F100" s="810">
        <f t="shared" si="30"/>
        <v>0</v>
      </c>
      <c r="G100" s="810">
        <f t="shared" si="30"/>
        <v>0</v>
      </c>
      <c r="H100" s="810">
        <f t="shared" si="30"/>
        <v>0</v>
      </c>
      <c r="I100" s="810">
        <f t="shared" si="30"/>
        <v>0</v>
      </c>
      <c r="J100" s="810">
        <f t="shared" si="30"/>
        <v>0</v>
      </c>
      <c r="K100" s="810">
        <f t="shared" si="30"/>
        <v>0</v>
      </c>
      <c r="L100" s="810">
        <f t="shared" si="30"/>
        <v>0</v>
      </c>
      <c r="M100" s="810">
        <f t="shared" si="30"/>
        <v>0</v>
      </c>
      <c r="N100" s="810">
        <f t="shared" si="30"/>
        <v>0</v>
      </c>
      <c r="O100" s="810">
        <f>IF(SUM(C91:N91)=0,0,LARGE(C100:N100,1))</f>
        <v>0</v>
      </c>
    </row>
    <row r="101" spans="1:16" hidden="1" x14ac:dyDescent="0.25">
      <c r="A101" s="811"/>
    </row>
    <row r="102" spans="1:16" hidden="1" x14ac:dyDescent="0.25">
      <c r="B102" s="460" t="s">
        <v>304</v>
      </c>
    </row>
    <row r="103" spans="1:16" hidden="1" x14ac:dyDescent="0.25">
      <c r="B103" s="460" t="s">
        <v>323</v>
      </c>
      <c r="C103" s="499">
        <f>IF(REBANHO!E47="",0,REBANHO!E47)</f>
        <v>137</v>
      </c>
      <c r="D103" s="499">
        <f>IF(REBANHO!F47="",0,REBANHO!F47)</f>
        <v>137</v>
      </c>
      <c r="E103" s="499">
        <f>IF(REBANHO!G47="",0,REBANHO!G47)</f>
        <v>236</v>
      </c>
      <c r="F103" s="499">
        <f>IF(REBANHO!H47="",0,REBANHO!H47)</f>
        <v>124</v>
      </c>
      <c r="G103" s="499">
        <f>IF(REBANHO!I47="",0,REBANHO!I47)</f>
        <v>101</v>
      </c>
      <c r="H103" s="499">
        <f>IF(REBANHO!J47="",0,REBANHO!J47)</f>
        <v>101</v>
      </c>
      <c r="I103" s="499">
        <f>IF(REBANHO!K47="",0,REBANHO!K47)</f>
        <v>174</v>
      </c>
      <c r="J103" s="499">
        <f>IF(REBANHO!L47="",0,REBANHO!L47)</f>
        <v>205</v>
      </c>
      <c r="K103" s="499">
        <f>IF(REBANHO!M47="",0,REBANHO!M47)</f>
        <v>0</v>
      </c>
      <c r="L103" s="499">
        <f>IF(REBANHO!N47="",0,REBANHO!N47)</f>
        <v>0</v>
      </c>
      <c r="M103" s="499">
        <f>IF(REBANHO!O47="",0,REBANHO!O47)</f>
        <v>0</v>
      </c>
      <c r="N103" s="499">
        <f>IF(REBANHO!P47="",0,REBANHO!P47)</f>
        <v>0</v>
      </c>
      <c r="O103" s="227"/>
    </row>
    <row r="104" spans="1:16" hidden="1" x14ac:dyDescent="0.25">
      <c r="B104" s="509" t="s">
        <v>337</v>
      </c>
      <c r="C104" s="508">
        <f t="shared" ref="C104:N104" si="31">C87</f>
        <v>0</v>
      </c>
      <c r="D104" s="508">
        <f t="shared" si="31"/>
        <v>0</v>
      </c>
      <c r="E104" s="508">
        <f t="shared" si="31"/>
        <v>0</v>
      </c>
      <c r="F104" s="508">
        <f t="shared" si="31"/>
        <v>0</v>
      </c>
      <c r="G104" s="508">
        <f t="shared" si="31"/>
        <v>0</v>
      </c>
      <c r="H104" s="508">
        <f t="shared" si="31"/>
        <v>0</v>
      </c>
      <c r="I104" s="508">
        <f t="shared" si="31"/>
        <v>0</v>
      </c>
      <c r="J104" s="508">
        <f t="shared" si="31"/>
        <v>0</v>
      </c>
      <c r="K104" s="508">
        <f t="shared" si="31"/>
        <v>0</v>
      </c>
      <c r="L104" s="508">
        <f t="shared" si="31"/>
        <v>0</v>
      </c>
      <c r="M104" s="508">
        <f t="shared" si="31"/>
        <v>0</v>
      </c>
      <c r="N104" s="508">
        <f t="shared" si="31"/>
        <v>0</v>
      </c>
      <c r="O104" s="227"/>
    </row>
    <row r="105" spans="1:16" hidden="1" x14ac:dyDescent="0.25">
      <c r="B105" s="460" t="s">
        <v>325</v>
      </c>
      <c r="C105" s="227">
        <f>SAÍDAS!E11</f>
        <v>0</v>
      </c>
      <c r="D105" s="227">
        <f>SAÍDAS!F11</f>
        <v>0</v>
      </c>
      <c r="E105" s="227">
        <f>SAÍDAS!G11</f>
        <v>100</v>
      </c>
      <c r="F105" s="227">
        <f>SAÍDAS!H11</f>
        <v>0</v>
      </c>
      <c r="G105" s="227">
        <f>SAÍDAS!I11</f>
        <v>0</v>
      </c>
      <c r="H105" s="227">
        <f>SAÍDAS!J11</f>
        <v>0</v>
      </c>
      <c r="I105" s="227">
        <f>SAÍDAS!K11</f>
        <v>73</v>
      </c>
      <c r="J105" s="227">
        <f>SAÍDAS!L11</f>
        <v>31</v>
      </c>
      <c r="K105" s="227">
        <f>SAÍDAS!M11</f>
        <v>0</v>
      </c>
      <c r="L105" s="227">
        <f>SAÍDAS!N11</f>
        <v>0</v>
      </c>
      <c r="M105" s="227">
        <f>SAÍDAS!O11</f>
        <v>0</v>
      </c>
      <c r="N105" s="227">
        <f>SAÍDAS!P11</f>
        <v>0</v>
      </c>
      <c r="O105" s="227"/>
    </row>
    <row r="106" spans="1:16" hidden="1" x14ac:dyDescent="0.25">
      <c r="B106" s="460" t="s">
        <v>326</v>
      </c>
      <c r="C106" s="227">
        <f>ENTRADAS!D12</f>
        <v>0</v>
      </c>
      <c r="D106" s="227">
        <f>ENTRADAS!E12</f>
        <v>0</v>
      </c>
      <c r="E106" s="227">
        <f>ENTRADAS!F12</f>
        <v>0</v>
      </c>
      <c r="F106" s="227">
        <f>ENTRADAS!G12</f>
        <v>1</v>
      </c>
      <c r="G106" s="227">
        <f>ENTRADAS!H12</f>
        <v>0</v>
      </c>
      <c r="H106" s="227">
        <f>ENTRADAS!I12</f>
        <v>0</v>
      </c>
      <c r="I106" s="227">
        <f>ENTRADAS!J12</f>
        <v>0</v>
      </c>
      <c r="J106" s="227">
        <f>ENTRADAS!K12</f>
        <v>0</v>
      </c>
      <c r="K106" s="227">
        <f>ENTRADAS!L12</f>
        <v>0</v>
      </c>
      <c r="L106" s="227">
        <f>ENTRADAS!M12</f>
        <v>0</v>
      </c>
      <c r="M106" s="227">
        <f>ENTRADAS!N12</f>
        <v>0</v>
      </c>
      <c r="N106" s="227">
        <f>ENTRADAS!O12</f>
        <v>0</v>
      </c>
      <c r="O106" s="227"/>
    </row>
    <row r="107" spans="1:16" hidden="1" x14ac:dyDescent="0.25">
      <c r="B107" s="460" t="s">
        <v>327</v>
      </c>
      <c r="C107" s="499">
        <f>REBANHO!E69</f>
        <v>0</v>
      </c>
      <c r="D107" s="499">
        <f>REBANHO!F69</f>
        <v>0</v>
      </c>
      <c r="E107" s="499">
        <f>REBANHO!G69</f>
        <v>1</v>
      </c>
      <c r="F107" s="499">
        <f>REBANHO!H69</f>
        <v>0</v>
      </c>
      <c r="G107" s="499">
        <f>REBANHO!I69</f>
        <v>0</v>
      </c>
      <c r="H107" s="499">
        <f>REBANHO!J69</f>
        <v>0</v>
      </c>
      <c r="I107" s="499">
        <f>REBANHO!K69</f>
        <v>0</v>
      </c>
      <c r="J107" s="499">
        <f>REBANHO!L69</f>
        <v>0</v>
      </c>
      <c r="K107" s="499">
        <f>REBANHO!M69</f>
        <v>0</v>
      </c>
      <c r="L107" s="499">
        <f>REBANHO!N69</f>
        <v>0</v>
      </c>
      <c r="M107" s="499">
        <f>REBANHO!O69</f>
        <v>0</v>
      </c>
      <c r="N107" s="499">
        <f>REBANHO!P69</f>
        <v>0</v>
      </c>
      <c r="O107" s="227"/>
    </row>
    <row r="108" spans="1:16" s="799" customFormat="1" ht="11.25" hidden="1" x14ac:dyDescent="0.2">
      <c r="B108" s="802" t="s">
        <v>328</v>
      </c>
      <c r="C108" s="803">
        <f t="shared" ref="C108:N108" si="32">IF(C103-C110&lt;0,(C103-C110)*-1,C103-C110)</f>
        <v>0</v>
      </c>
      <c r="D108" s="803">
        <f t="shared" si="32"/>
        <v>0</v>
      </c>
      <c r="E108" s="803">
        <f t="shared" si="32"/>
        <v>0</v>
      </c>
      <c r="F108" s="803">
        <f t="shared" si="32"/>
        <v>111</v>
      </c>
      <c r="G108" s="803">
        <f t="shared" si="32"/>
        <v>134</v>
      </c>
      <c r="H108" s="803">
        <f t="shared" si="32"/>
        <v>134</v>
      </c>
      <c r="I108" s="803">
        <f t="shared" si="32"/>
        <v>134</v>
      </c>
      <c r="J108" s="803">
        <f t="shared" si="32"/>
        <v>134</v>
      </c>
      <c r="K108" s="803">
        <f t="shared" si="32"/>
        <v>339</v>
      </c>
      <c r="L108" s="803">
        <f t="shared" si="32"/>
        <v>339</v>
      </c>
      <c r="M108" s="803">
        <f t="shared" si="32"/>
        <v>339</v>
      </c>
      <c r="N108" s="803">
        <f t="shared" si="32"/>
        <v>339</v>
      </c>
      <c r="O108" s="801"/>
    </row>
    <row r="109" spans="1:16" s="799" customFormat="1" ht="11.25" hidden="1" x14ac:dyDescent="0.2">
      <c r="B109" s="802" t="s">
        <v>336</v>
      </c>
      <c r="C109" s="815">
        <f>C108</f>
        <v>0</v>
      </c>
      <c r="D109" s="815">
        <f>(D108-C108)</f>
        <v>0</v>
      </c>
      <c r="E109" s="815">
        <f t="shared" ref="E109:N109" si="33">(E108-D108)</f>
        <v>0</v>
      </c>
      <c r="F109" s="815">
        <f t="shared" si="33"/>
        <v>111</v>
      </c>
      <c r="G109" s="815">
        <f t="shared" si="33"/>
        <v>23</v>
      </c>
      <c r="H109" s="815">
        <f t="shared" si="33"/>
        <v>0</v>
      </c>
      <c r="I109" s="815">
        <f t="shared" si="33"/>
        <v>0</v>
      </c>
      <c r="J109" s="815">
        <f t="shared" si="33"/>
        <v>0</v>
      </c>
      <c r="K109" s="815">
        <f t="shared" si="33"/>
        <v>205</v>
      </c>
      <c r="L109" s="815">
        <f t="shared" si="33"/>
        <v>0</v>
      </c>
      <c r="M109" s="815">
        <f t="shared" si="33"/>
        <v>0</v>
      </c>
      <c r="N109" s="815">
        <f t="shared" si="33"/>
        <v>0</v>
      </c>
      <c r="O109" s="801">
        <f>SUM(C109:N109)</f>
        <v>339</v>
      </c>
    </row>
    <row r="110" spans="1:16" s="799" customFormat="1" ht="11.25" hidden="1" x14ac:dyDescent="0.2">
      <c r="B110" s="804" t="s">
        <v>329</v>
      </c>
      <c r="C110" s="805">
        <f>SAÍDAS!C11+C104+C105-C106-C107</f>
        <v>137</v>
      </c>
      <c r="D110" s="805">
        <f t="shared" ref="D110:N110" si="34">C110+D104+D105-D106-D107</f>
        <v>137</v>
      </c>
      <c r="E110" s="805">
        <f t="shared" si="34"/>
        <v>236</v>
      </c>
      <c r="F110" s="805">
        <f t="shared" si="34"/>
        <v>235</v>
      </c>
      <c r="G110" s="805">
        <f t="shared" si="34"/>
        <v>235</v>
      </c>
      <c r="H110" s="805">
        <f t="shared" si="34"/>
        <v>235</v>
      </c>
      <c r="I110" s="805">
        <f t="shared" si="34"/>
        <v>308</v>
      </c>
      <c r="J110" s="805">
        <f t="shared" si="34"/>
        <v>339</v>
      </c>
      <c r="K110" s="805">
        <f t="shared" si="34"/>
        <v>339</v>
      </c>
      <c r="L110" s="805">
        <f t="shared" si="34"/>
        <v>339</v>
      </c>
      <c r="M110" s="805">
        <f t="shared" si="34"/>
        <v>339</v>
      </c>
      <c r="N110" s="805">
        <f t="shared" si="34"/>
        <v>339</v>
      </c>
      <c r="O110" s="800"/>
    </row>
    <row r="111" spans="1:16" s="799" customFormat="1" ht="11.25" hidden="1" x14ac:dyDescent="0.2">
      <c r="B111" s="799" t="s">
        <v>348</v>
      </c>
      <c r="C111" s="806">
        <f>(REBANHO!E43*REBANHO!E44)+(REBANHO!E45*REBANHO!E46)</f>
        <v>50005</v>
      </c>
      <c r="D111" s="806">
        <f>IF(D103=0,C111,(REBANHO!F43*REBANHO!F44)+(REBANHO!F45*REBANHO!F46))</f>
        <v>50005</v>
      </c>
      <c r="E111" s="806">
        <f>IF(E103=0,D111,(REBANHO!G43*REBANHO!G44)+(REBANHO!G45*REBANHO!G46))</f>
        <v>68676</v>
      </c>
      <c r="F111" s="806">
        <f>IF(F103=0,E111,(REBANHO!H43*REBANHO!H44)+(REBANHO!H45*REBANHO!H46))</f>
        <v>32240</v>
      </c>
      <c r="G111" s="806">
        <f>IF(G103=0,F111,(REBANHO!I43*REBANHO!I44)+(REBANHO!I45*REBANHO!I46))</f>
        <v>24341</v>
      </c>
      <c r="H111" s="806">
        <f>IF(H103=0,G111,(REBANHO!J43*REBANHO!J44)+(REBANHO!J45*REBANHO!J46))</f>
        <v>24341</v>
      </c>
      <c r="I111" s="806">
        <f>IF(I103=0,H111,(REBANHO!K43*REBANHO!K44)+(REBANHO!K45*REBANHO!K46))</f>
        <v>43848</v>
      </c>
      <c r="J111" s="806">
        <f>IF(J103=0,I111,(REBANHO!L43*REBANHO!L44)+(REBANHO!L45*REBANHO!L46))</f>
        <v>49200</v>
      </c>
      <c r="K111" s="806">
        <f>IF(K103=0,J111,(REBANHO!M43*REBANHO!M44)+(REBANHO!M45*REBANHO!M46))</f>
        <v>49200</v>
      </c>
      <c r="L111" s="806">
        <f>IF(L103=0,K111,(REBANHO!N43*REBANHO!N44)+(REBANHO!N45*REBANHO!N46))</f>
        <v>49200</v>
      </c>
      <c r="M111" s="806">
        <f>IF(M103=0,L111,(REBANHO!O43*REBANHO!O44)+(REBANHO!O45*REBANHO!O46))</f>
        <v>49200</v>
      </c>
      <c r="N111" s="806">
        <f>IF(N103=0,M111,(REBANHO!P43*REBANHO!P44)+(REBANHO!P45*REBANHO!P46))</f>
        <v>49200</v>
      </c>
      <c r="O111" s="806"/>
    </row>
    <row r="112" spans="1:16" s="799" customFormat="1" ht="11.25" hidden="1" x14ac:dyDescent="0.2">
      <c r="B112" s="799" t="s">
        <v>361</v>
      </c>
      <c r="C112" s="806">
        <f>(REBANHO!E43*REBANHO!E44)+(REBANHO!E45*REBANHO!E46)</f>
        <v>50005</v>
      </c>
      <c r="D112" s="806">
        <f>(REBANHO!F43*REBANHO!F44)+(REBANHO!F45*REBANHO!F46)</f>
        <v>50005</v>
      </c>
      <c r="E112" s="806">
        <f>(REBANHO!G43*REBANHO!G44)+(REBANHO!G45*REBANHO!G46)</f>
        <v>68676</v>
      </c>
      <c r="F112" s="806">
        <f>(REBANHO!H43*REBANHO!H44)+(REBANHO!H45*REBANHO!H46)</f>
        <v>32240</v>
      </c>
      <c r="G112" s="806">
        <f>(REBANHO!I43*REBANHO!I44)+(REBANHO!I45*REBANHO!I46)</f>
        <v>24341</v>
      </c>
      <c r="H112" s="806">
        <f>(REBANHO!J43*REBANHO!J44)+(REBANHO!J45*REBANHO!J46)</f>
        <v>24341</v>
      </c>
      <c r="I112" s="806">
        <f>(REBANHO!K43*REBANHO!K44)+(REBANHO!K45*REBANHO!K46)</f>
        <v>43848</v>
      </c>
      <c r="J112" s="806">
        <f>(REBANHO!L43*REBANHO!L44)+(REBANHO!L45*REBANHO!L46)</f>
        <v>49200</v>
      </c>
      <c r="K112" s="806">
        <f>(REBANHO!M43*REBANHO!M44)+(REBANHO!M45*REBANHO!M46)</f>
        <v>0</v>
      </c>
      <c r="L112" s="806">
        <f>(REBANHO!N43*REBANHO!N44)+(REBANHO!N45*REBANHO!N46)</f>
        <v>0</v>
      </c>
      <c r="M112" s="806">
        <f>(REBANHO!O43*REBANHO!O44)+(REBANHO!O45*REBANHO!O46)</f>
        <v>0</v>
      </c>
      <c r="N112" s="806">
        <f>(REBANHO!P43*REBANHO!P44)+(REBANHO!P45*REBANHO!P46)</f>
        <v>0</v>
      </c>
      <c r="O112" s="806"/>
    </row>
    <row r="113" spans="2:15" s="799" customFormat="1" hidden="1" x14ac:dyDescent="0.2">
      <c r="B113" s="807" t="s">
        <v>352</v>
      </c>
      <c r="C113" s="808">
        <f>ENTRADAS!D12*ENTRADAS!D13</f>
        <v>0</v>
      </c>
      <c r="D113" s="808">
        <f>ENTRADAS!E12*ENTRADAS!E13</f>
        <v>0</v>
      </c>
      <c r="E113" s="808">
        <f>ENTRADAS!F12*ENTRADAS!F13</f>
        <v>0</v>
      </c>
      <c r="F113" s="808">
        <f>ENTRADAS!G12*ENTRADAS!G13</f>
        <v>458</v>
      </c>
      <c r="G113" s="808">
        <f>ENTRADAS!H12*ENTRADAS!H13</f>
        <v>0</v>
      </c>
      <c r="H113" s="808">
        <f>ENTRADAS!I12*ENTRADAS!I13</f>
        <v>0</v>
      </c>
      <c r="I113" s="808">
        <f>ENTRADAS!J12*ENTRADAS!J13</f>
        <v>0</v>
      </c>
      <c r="J113" s="808">
        <f>ENTRADAS!K12*ENTRADAS!K13</f>
        <v>0</v>
      </c>
      <c r="K113" s="808">
        <f>ENTRADAS!L12*ENTRADAS!L13</f>
        <v>0</v>
      </c>
      <c r="L113" s="808">
        <f>ENTRADAS!M12*ENTRADAS!M13</f>
        <v>0</v>
      </c>
      <c r="M113" s="808">
        <f>ENTRADAS!N12*ENTRADAS!N13</f>
        <v>0</v>
      </c>
      <c r="N113" s="808">
        <f>ENTRADAS!O12*ENTRADAS!O13</f>
        <v>0</v>
      </c>
      <c r="O113" s="326">
        <f>SUM(C113:N113)</f>
        <v>458</v>
      </c>
    </row>
    <row r="114" spans="2:15" s="799" customFormat="1" ht="11.25" hidden="1" x14ac:dyDescent="0.2">
      <c r="B114" s="807" t="s">
        <v>353</v>
      </c>
      <c r="C114" s="808">
        <f>REBANHO!E69*REBANHO!E70</f>
        <v>0</v>
      </c>
      <c r="D114" s="808">
        <f>REBANHO!F69*REBANHO!F70</f>
        <v>0</v>
      </c>
      <c r="E114" s="808">
        <f>REBANHO!G69*REBANHO!G70</f>
        <v>0</v>
      </c>
      <c r="F114" s="808">
        <f>REBANHO!H69*REBANHO!H70</f>
        <v>0</v>
      </c>
      <c r="G114" s="808">
        <f>REBANHO!I69*REBANHO!I70</f>
        <v>0</v>
      </c>
      <c r="H114" s="808">
        <f>REBANHO!J69*REBANHO!J70</f>
        <v>0</v>
      </c>
      <c r="I114" s="808">
        <f>REBANHO!K69*REBANHO!K70</f>
        <v>0</v>
      </c>
      <c r="J114" s="808">
        <f>REBANHO!L69*REBANHO!L70</f>
        <v>0</v>
      </c>
      <c r="K114" s="808">
        <f>REBANHO!M69*REBANHO!M70</f>
        <v>0</v>
      </c>
      <c r="L114" s="808">
        <f>REBANHO!N69*REBANHO!N70</f>
        <v>0</v>
      </c>
      <c r="M114" s="808">
        <f>REBANHO!O69*REBANHO!O70</f>
        <v>0</v>
      </c>
      <c r="N114" s="808">
        <f>REBANHO!P69*REBANHO!P70</f>
        <v>0</v>
      </c>
      <c r="O114" s="806"/>
    </row>
    <row r="115" spans="2:15" s="799" customFormat="1" ht="11.25" hidden="1" x14ac:dyDescent="0.2">
      <c r="B115" s="807" t="s">
        <v>354</v>
      </c>
      <c r="C115" s="808">
        <f>IF(C108=0,0,(C$111/C$110)*C108)</f>
        <v>0</v>
      </c>
      <c r="D115" s="808">
        <f t="shared" ref="D115:N115" si="35">IF(D108=0,0,(D$111/D$110)*D108)</f>
        <v>0</v>
      </c>
      <c r="E115" s="808">
        <f t="shared" si="35"/>
        <v>0</v>
      </c>
      <c r="F115" s="808">
        <f t="shared" si="35"/>
        <v>15228.255319148937</v>
      </c>
      <c r="G115" s="808">
        <f t="shared" si="35"/>
        <v>13879.548936170211</v>
      </c>
      <c r="H115" s="808">
        <f t="shared" si="35"/>
        <v>13879.548936170211</v>
      </c>
      <c r="I115" s="808">
        <f t="shared" si="35"/>
        <v>19076.727272727276</v>
      </c>
      <c r="J115" s="808">
        <f t="shared" si="35"/>
        <v>19447.787610619471</v>
      </c>
      <c r="K115" s="808">
        <f t="shared" si="35"/>
        <v>49200</v>
      </c>
      <c r="L115" s="808">
        <f t="shared" si="35"/>
        <v>49200</v>
      </c>
      <c r="M115" s="808">
        <f t="shared" si="35"/>
        <v>49200</v>
      </c>
      <c r="N115" s="808">
        <f t="shared" si="35"/>
        <v>49200</v>
      </c>
      <c r="O115" s="806"/>
    </row>
    <row r="116" spans="2:15" s="799" customFormat="1" ht="11.25" hidden="1" x14ac:dyDescent="0.2">
      <c r="B116" s="807" t="s">
        <v>355</v>
      </c>
      <c r="C116" s="808">
        <f>SUM(C113:C115)</f>
        <v>0</v>
      </c>
      <c r="D116" s="808">
        <f t="shared" ref="D116:N116" si="36">SUM(D113:D115)</f>
        <v>0</v>
      </c>
      <c r="E116" s="808">
        <f t="shared" si="36"/>
        <v>0</v>
      </c>
      <c r="F116" s="808">
        <f t="shared" si="36"/>
        <v>15686.255319148937</v>
      </c>
      <c r="G116" s="808">
        <f t="shared" si="36"/>
        <v>13879.548936170211</v>
      </c>
      <c r="H116" s="808">
        <f t="shared" si="36"/>
        <v>13879.548936170211</v>
      </c>
      <c r="I116" s="808">
        <f t="shared" si="36"/>
        <v>19076.727272727276</v>
      </c>
      <c r="J116" s="808">
        <f t="shared" si="36"/>
        <v>19447.787610619471</v>
      </c>
      <c r="K116" s="808">
        <f t="shared" si="36"/>
        <v>49200</v>
      </c>
      <c r="L116" s="808">
        <f t="shared" si="36"/>
        <v>49200</v>
      </c>
      <c r="M116" s="808">
        <f t="shared" si="36"/>
        <v>49200</v>
      </c>
      <c r="N116" s="808">
        <f t="shared" si="36"/>
        <v>49200</v>
      </c>
      <c r="O116" s="806"/>
    </row>
    <row r="117" spans="2:15" s="799" customFormat="1" ht="11.25" hidden="1" x14ac:dyDescent="0.2">
      <c r="B117" s="807" t="s">
        <v>356</v>
      </c>
      <c r="C117" s="808">
        <f>C116</f>
        <v>0</v>
      </c>
      <c r="D117" s="808">
        <f t="shared" ref="D117:N117" si="37">D116</f>
        <v>0</v>
      </c>
      <c r="E117" s="808">
        <f t="shared" si="37"/>
        <v>0</v>
      </c>
      <c r="F117" s="808">
        <f t="shared" si="37"/>
        <v>15686.255319148937</v>
      </c>
      <c r="G117" s="808">
        <f t="shared" si="37"/>
        <v>13879.548936170211</v>
      </c>
      <c r="H117" s="808">
        <f t="shared" si="37"/>
        <v>13879.548936170211</v>
      </c>
      <c r="I117" s="808">
        <f t="shared" si="37"/>
        <v>19076.727272727276</v>
      </c>
      <c r="J117" s="808">
        <f t="shared" si="37"/>
        <v>19447.787610619471</v>
      </c>
      <c r="K117" s="808">
        <f t="shared" si="37"/>
        <v>49200</v>
      </c>
      <c r="L117" s="808">
        <f t="shared" si="37"/>
        <v>49200</v>
      </c>
      <c r="M117" s="808">
        <f t="shared" si="37"/>
        <v>49200</v>
      </c>
      <c r="N117" s="808">
        <f t="shared" si="37"/>
        <v>49200</v>
      </c>
      <c r="O117" s="806"/>
    </row>
    <row r="118" spans="2:15" s="799" customFormat="1" ht="11.25" hidden="1" x14ac:dyDescent="0.2">
      <c r="B118" s="809" t="s">
        <v>351</v>
      </c>
      <c r="C118" s="810">
        <f>C112+C117</f>
        <v>50005</v>
      </c>
      <c r="D118" s="810">
        <f t="shared" ref="D118:N118" si="38">D112+D117</f>
        <v>50005</v>
      </c>
      <c r="E118" s="810">
        <f t="shared" si="38"/>
        <v>68676</v>
      </c>
      <c r="F118" s="810">
        <f t="shared" si="38"/>
        <v>47926.255319148935</v>
      </c>
      <c r="G118" s="810">
        <f t="shared" si="38"/>
        <v>38220.548936170213</v>
      </c>
      <c r="H118" s="810">
        <f t="shared" si="38"/>
        <v>38220.548936170213</v>
      </c>
      <c r="I118" s="810">
        <f t="shared" si="38"/>
        <v>62924.727272727279</v>
      </c>
      <c r="J118" s="810">
        <f t="shared" si="38"/>
        <v>68647.787610619474</v>
      </c>
      <c r="K118" s="810">
        <f t="shared" si="38"/>
        <v>49200</v>
      </c>
      <c r="L118" s="810">
        <f t="shared" si="38"/>
        <v>49200</v>
      </c>
      <c r="M118" s="810">
        <f t="shared" si="38"/>
        <v>49200</v>
      </c>
      <c r="N118" s="810">
        <f t="shared" si="38"/>
        <v>49200</v>
      </c>
      <c r="O118" s="810">
        <f>LARGE(C118:N118,1)</f>
        <v>68676</v>
      </c>
    </row>
    <row r="119" spans="2:15" s="799" customFormat="1" ht="11.25" hidden="1" x14ac:dyDescent="0.2">
      <c r="B119" s="807" t="s">
        <v>364</v>
      </c>
      <c r="C119" s="808">
        <f>SUM(C113:C114)</f>
        <v>0</v>
      </c>
      <c r="D119" s="808">
        <f t="shared" ref="D119:N119" si="39">SUM(D113:D114)</f>
        <v>0</v>
      </c>
      <c r="E119" s="808">
        <f t="shared" si="39"/>
        <v>0</v>
      </c>
      <c r="F119" s="808">
        <f t="shared" si="39"/>
        <v>458</v>
      </c>
      <c r="G119" s="808">
        <f t="shared" si="39"/>
        <v>0</v>
      </c>
      <c r="H119" s="808">
        <f t="shared" si="39"/>
        <v>0</v>
      </c>
      <c r="I119" s="808">
        <f t="shared" si="39"/>
        <v>0</v>
      </c>
      <c r="J119" s="808">
        <f t="shared" si="39"/>
        <v>0</v>
      </c>
      <c r="K119" s="808">
        <f t="shared" si="39"/>
        <v>0</v>
      </c>
      <c r="L119" s="808">
        <f t="shared" si="39"/>
        <v>0</v>
      </c>
      <c r="M119" s="808">
        <f t="shared" si="39"/>
        <v>0</v>
      </c>
      <c r="N119" s="808">
        <f t="shared" si="39"/>
        <v>0</v>
      </c>
      <c r="O119" s="806"/>
    </row>
    <row r="120" spans="2:15" s="799" customFormat="1" ht="11.25" hidden="1" x14ac:dyDescent="0.2">
      <c r="B120" s="807" t="s">
        <v>365</v>
      </c>
      <c r="C120" s="808">
        <f>C119</f>
        <v>0</v>
      </c>
      <c r="D120" s="808">
        <f>C120+D119</f>
        <v>0</v>
      </c>
      <c r="E120" s="808">
        <f t="shared" ref="E120:N120" si="40">D120+E119</f>
        <v>0</v>
      </c>
      <c r="F120" s="808">
        <f t="shared" si="40"/>
        <v>458</v>
      </c>
      <c r="G120" s="808">
        <f t="shared" si="40"/>
        <v>458</v>
      </c>
      <c r="H120" s="808">
        <f t="shared" si="40"/>
        <v>458</v>
      </c>
      <c r="I120" s="808">
        <f t="shared" si="40"/>
        <v>458</v>
      </c>
      <c r="J120" s="808">
        <f t="shared" si="40"/>
        <v>458</v>
      </c>
      <c r="K120" s="808">
        <f t="shared" si="40"/>
        <v>458</v>
      </c>
      <c r="L120" s="808">
        <f t="shared" si="40"/>
        <v>458</v>
      </c>
      <c r="M120" s="808">
        <f t="shared" si="40"/>
        <v>458</v>
      </c>
      <c r="N120" s="808">
        <f t="shared" si="40"/>
        <v>458</v>
      </c>
      <c r="O120" s="806"/>
    </row>
    <row r="121" spans="2:15" s="799" customFormat="1" ht="11.25" hidden="1" x14ac:dyDescent="0.2">
      <c r="B121" s="809" t="s">
        <v>366</v>
      </c>
      <c r="C121" s="810">
        <f t="shared" ref="C121:N121" si="41">C112+C120</f>
        <v>50005</v>
      </c>
      <c r="D121" s="810">
        <f t="shared" si="41"/>
        <v>50005</v>
      </c>
      <c r="E121" s="810">
        <f t="shared" si="41"/>
        <v>68676</v>
      </c>
      <c r="F121" s="810">
        <f t="shared" si="41"/>
        <v>32698</v>
      </c>
      <c r="G121" s="810">
        <f t="shared" si="41"/>
        <v>24799</v>
      </c>
      <c r="H121" s="810">
        <f t="shared" si="41"/>
        <v>24799</v>
      </c>
      <c r="I121" s="810">
        <f t="shared" si="41"/>
        <v>44306</v>
      </c>
      <c r="J121" s="810">
        <f t="shared" si="41"/>
        <v>49658</v>
      </c>
      <c r="K121" s="810">
        <f t="shared" si="41"/>
        <v>458</v>
      </c>
      <c r="L121" s="810">
        <f t="shared" si="41"/>
        <v>458</v>
      </c>
      <c r="M121" s="810">
        <f t="shared" si="41"/>
        <v>458</v>
      </c>
      <c r="N121" s="810">
        <f t="shared" si="41"/>
        <v>458</v>
      </c>
      <c r="O121" s="810">
        <f>IF(SUM(C112:N112)=0,0,LARGE(C121:N121,1))</f>
        <v>68676</v>
      </c>
    </row>
    <row r="122" spans="2:15" hidden="1" x14ac:dyDescent="0.25"/>
    <row r="123" spans="2:15" hidden="1" x14ac:dyDescent="0.25">
      <c r="B123" s="460" t="s">
        <v>307</v>
      </c>
    </row>
    <row r="124" spans="2:15" hidden="1" x14ac:dyDescent="0.25">
      <c r="B124" s="460" t="s">
        <v>323</v>
      </c>
      <c r="C124" s="499">
        <f>IF(REBANHO!E52="",0,REBANHO!E52)</f>
        <v>0</v>
      </c>
      <c r="D124" s="499">
        <f>IF(REBANHO!F52="",0,REBANHO!F52)</f>
        <v>0</v>
      </c>
      <c r="E124" s="499">
        <f>IF(REBANHO!G52="",0,REBANHO!G52)</f>
        <v>0</v>
      </c>
      <c r="F124" s="499">
        <f>IF(REBANHO!H52="",0,REBANHO!H52)</f>
        <v>111</v>
      </c>
      <c r="G124" s="499">
        <f>IF(REBANHO!I52="",0,REBANHO!I52)</f>
        <v>134</v>
      </c>
      <c r="H124" s="499">
        <f>IF(REBANHO!J52="",0,REBANHO!J52)</f>
        <v>134</v>
      </c>
      <c r="I124" s="499">
        <f>IF(REBANHO!K52="",0,REBANHO!K52)</f>
        <v>23</v>
      </c>
      <c r="J124" s="499">
        <f>IF(REBANHO!L52="",0,REBANHO!L52)</f>
        <v>23</v>
      </c>
      <c r="K124" s="499">
        <f>IF(REBANHO!M52="",0,REBANHO!M52)</f>
        <v>0</v>
      </c>
      <c r="L124" s="499">
        <f>IF(REBANHO!N52="",0,REBANHO!N52)</f>
        <v>0</v>
      </c>
      <c r="M124" s="499">
        <f>IF(REBANHO!O52="",0,REBANHO!O52)</f>
        <v>0</v>
      </c>
      <c r="N124" s="499">
        <f>IF(REBANHO!P52="",0,REBANHO!P52)</f>
        <v>0</v>
      </c>
    </row>
    <row r="125" spans="2:15" hidden="1" x14ac:dyDescent="0.25">
      <c r="B125" s="511" t="s">
        <v>304</v>
      </c>
      <c r="C125" s="510">
        <f>C109</f>
        <v>0</v>
      </c>
      <c r="D125" s="510">
        <f t="shared" ref="D125:N125" si="42">D109</f>
        <v>0</v>
      </c>
      <c r="E125" s="510">
        <f t="shared" si="42"/>
        <v>0</v>
      </c>
      <c r="F125" s="510">
        <f t="shared" si="42"/>
        <v>111</v>
      </c>
      <c r="G125" s="510">
        <f t="shared" si="42"/>
        <v>23</v>
      </c>
      <c r="H125" s="510">
        <f t="shared" si="42"/>
        <v>0</v>
      </c>
      <c r="I125" s="510">
        <f t="shared" si="42"/>
        <v>0</v>
      </c>
      <c r="J125" s="510">
        <f t="shared" si="42"/>
        <v>0</v>
      </c>
      <c r="K125" s="510">
        <f t="shared" si="42"/>
        <v>205</v>
      </c>
      <c r="L125" s="510">
        <f t="shared" si="42"/>
        <v>0</v>
      </c>
      <c r="M125" s="510">
        <f t="shared" si="42"/>
        <v>0</v>
      </c>
      <c r="N125" s="510">
        <f t="shared" si="42"/>
        <v>0</v>
      </c>
    </row>
    <row r="126" spans="2:15" hidden="1" x14ac:dyDescent="0.25">
      <c r="B126" s="460" t="s">
        <v>325</v>
      </c>
      <c r="C126" s="227">
        <f>SAÍDAS!E15</f>
        <v>0</v>
      </c>
      <c r="D126" s="227">
        <f>SAÍDAS!F15</f>
        <v>0</v>
      </c>
      <c r="E126" s="227">
        <f>SAÍDAS!G15</f>
        <v>0</v>
      </c>
      <c r="F126" s="227">
        <f>SAÍDAS!H15</f>
        <v>0</v>
      </c>
      <c r="G126" s="227">
        <f>SAÍDAS!I15</f>
        <v>0</v>
      </c>
      <c r="H126" s="227">
        <f>SAÍDAS!J15</f>
        <v>0</v>
      </c>
      <c r="I126" s="227">
        <f>SAÍDAS!K15</f>
        <v>0</v>
      </c>
      <c r="J126" s="227">
        <f>SAÍDAS!L15</f>
        <v>0</v>
      </c>
      <c r="K126" s="227">
        <f>SAÍDAS!M15</f>
        <v>0</v>
      </c>
      <c r="L126" s="227">
        <f>SAÍDAS!N15</f>
        <v>0</v>
      </c>
      <c r="M126" s="227">
        <f>SAÍDAS!O15</f>
        <v>0</v>
      </c>
      <c r="N126" s="227">
        <f>SAÍDAS!P15</f>
        <v>0</v>
      </c>
    </row>
    <row r="127" spans="2:15" hidden="1" x14ac:dyDescent="0.25">
      <c r="B127" s="460" t="s">
        <v>326</v>
      </c>
      <c r="C127" s="227">
        <f>ENTRADAS!D16</f>
        <v>0</v>
      </c>
      <c r="D127" s="227">
        <f>ENTRADAS!E16</f>
        <v>0</v>
      </c>
      <c r="E127" s="227">
        <f>ENTRADAS!F16</f>
        <v>0</v>
      </c>
      <c r="F127" s="227">
        <f>ENTRADAS!G16</f>
        <v>0</v>
      </c>
      <c r="G127" s="227">
        <f>ENTRADAS!H16</f>
        <v>0</v>
      </c>
      <c r="H127" s="227">
        <f>ENTRADAS!I16</f>
        <v>0</v>
      </c>
      <c r="I127" s="227">
        <f>ENTRADAS!J16</f>
        <v>0</v>
      </c>
      <c r="J127" s="227">
        <f>ENTRADAS!K16</f>
        <v>0</v>
      </c>
      <c r="K127" s="227">
        <f>ENTRADAS!L16</f>
        <v>0</v>
      </c>
      <c r="L127" s="227">
        <f>ENTRADAS!M16</f>
        <v>0</v>
      </c>
      <c r="M127" s="227">
        <f>ENTRADAS!N16</f>
        <v>0</v>
      </c>
      <c r="N127" s="227">
        <f>ENTRADAS!O16</f>
        <v>0</v>
      </c>
      <c r="O127" s="227">
        <f>SUM(C127:N127)</f>
        <v>0</v>
      </c>
    </row>
    <row r="128" spans="2:15" hidden="1" x14ac:dyDescent="0.25">
      <c r="B128" s="460" t="s">
        <v>344</v>
      </c>
      <c r="C128" s="227">
        <f>ENTRADAS!D31</f>
        <v>0</v>
      </c>
      <c r="D128" s="227">
        <f>ENTRADAS!E31</f>
        <v>0</v>
      </c>
      <c r="E128" s="227">
        <f>ENTRADAS!F31</f>
        <v>0</v>
      </c>
      <c r="F128" s="227">
        <f>ENTRADAS!G31</f>
        <v>0</v>
      </c>
      <c r="G128" s="227">
        <f>ENTRADAS!H31</f>
        <v>0</v>
      </c>
      <c r="H128" s="227">
        <f>ENTRADAS!I31</f>
        <v>0</v>
      </c>
      <c r="I128" s="227">
        <f>ENTRADAS!J31</f>
        <v>111</v>
      </c>
      <c r="J128" s="227">
        <f>ENTRADAS!K31</f>
        <v>0</v>
      </c>
      <c r="K128" s="227">
        <f>ENTRADAS!L31</f>
        <v>0</v>
      </c>
      <c r="L128" s="227">
        <f>ENTRADAS!M31</f>
        <v>0</v>
      </c>
      <c r="M128" s="227">
        <f>ENTRADAS!N31</f>
        <v>0</v>
      </c>
      <c r="N128" s="227">
        <f>ENTRADAS!O31</f>
        <v>0</v>
      </c>
      <c r="O128" s="227">
        <f>SUM(C128:N128)</f>
        <v>111</v>
      </c>
    </row>
    <row r="129" spans="2:15" hidden="1" x14ac:dyDescent="0.25">
      <c r="B129" s="460" t="s">
        <v>327</v>
      </c>
      <c r="C129" s="499">
        <f>REBANHO!E71</f>
        <v>0</v>
      </c>
      <c r="D129" s="499">
        <f>REBANHO!F71</f>
        <v>0</v>
      </c>
      <c r="E129" s="499">
        <f>REBANHO!G71</f>
        <v>0</v>
      </c>
      <c r="F129" s="499">
        <f>REBANHO!H71</f>
        <v>0</v>
      </c>
      <c r="G129" s="499">
        <f>REBANHO!I71</f>
        <v>0</v>
      </c>
      <c r="H129" s="499">
        <f>REBANHO!J71</f>
        <v>0</v>
      </c>
      <c r="I129" s="499">
        <f>REBANHO!K71</f>
        <v>0</v>
      </c>
      <c r="J129" s="499">
        <f>REBANHO!L71</f>
        <v>0</v>
      </c>
      <c r="K129" s="499">
        <f>REBANHO!M71</f>
        <v>0</v>
      </c>
      <c r="L129" s="499">
        <f>REBANHO!N71</f>
        <v>0</v>
      </c>
      <c r="M129" s="499">
        <f>REBANHO!O71</f>
        <v>0</v>
      </c>
      <c r="N129" s="499">
        <f>REBANHO!P71</f>
        <v>0</v>
      </c>
      <c r="O129" s="227">
        <f>SUM(C129:N129)</f>
        <v>0</v>
      </c>
    </row>
    <row r="130" spans="2:15" hidden="1" x14ac:dyDescent="0.25">
      <c r="B130" s="500" t="s">
        <v>328</v>
      </c>
      <c r="C130" s="501">
        <f>IF(C124-C132&lt;0,(C124-C132)*-1,C124-C132)</f>
        <v>0</v>
      </c>
      <c r="D130" s="501">
        <f>IF(D124-D132&lt;0,(D124-D132)*-1,D124-D132)</f>
        <v>0</v>
      </c>
      <c r="E130" s="501">
        <f>IF(E124-E132&lt;0,(E124-E132)*-1,E124-E132)</f>
        <v>0</v>
      </c>
      <c r="F130" s="501">
        <f t="shared" ref="F130:N130" si="43">IF(F124-F132&lt;0,(F124-F132)*-1,F124-F132)</f>
        <v>0</v>
      </c>
      <c r="G130" s="501">
        <f t="shared" si="43"/>
        <v>0</v>
      </c>
      <c r="H130" s="501">
        <f t="shared" si="43"/>
        <v>0</v>
      </c>
      <c r="I130" s="501">
        <f t="shared" si="43"/>
        <v>0</v>
      </c>
      <c r="J130" s="501">
        <f t="shared" si="43"/>
        <v>0</v>
      </c>
      <c r="K130" s="501">
        <f t="shared" si="43"/>
        <v>228</v>
      </c>
      <c r="L130" s="501">
        <f t="shared" si="43"/>
        <v>228</v>
      </c>
      <c r="M130" s="501">
        <f t="shared" si="43"/>
        <v>228</v>
      </c>
      <c r="N130" s="501">
        <f t="shared" si="43"/>
        <v>228</v>
      </c>
    </row>
    <row r="131" spans="2:15" hidden="1" x14ac:dyDescent="0.25">
      <c r="B131" s="500" t="s">
        <v>338</v>
      </c>
      <c r="C131" s="512">
        <f>C130</f>
        <v>0</v>
      </c>
      <c r="D131" s="512">
        <f>(D130-C130)</f>
        <v>0</v>
      </c>
      <c r="E131" s="512">
        <f t="shared" ref="E131:N131" si="44">(E130-D130)</f>
        <v>0</v>
      </c>
      <c r="F131" s="512">
        <f t="shared" si="44"/>
        <v>0</v>
      </c>
      <c r="G131" s="512">
        <f t="shared" si="44"/>
        <v>0</v>
      </c>
      <c r="H131" s="512">
        <f t="shared" si="44"/>
        <v>0</v>
      </c>
      <c r="I131" s="512">
        <f t="shared" si="44"/>
        <v>0</v>
      </c>
      <c r="J131" s="512">
        <f t="shared" si="44"/>
        <v>0</v>
      </c>
      <c r="K131" s="512">
        <f t="shared" si="44"/>
        <v>228</v>
      </c>
      <c r="L131" s="512">
        <f t="shared" si="44"/>
        <v>0</v>
      </c>
      <c r="M131" s="512">
        <f t="shared" si="44"/>
        <v>0</v>
      </c>
      <c r="N131" s="512">
        <f t="shared" si="44"/>
        <v>0</v>
      </c>
      <c r="O131" s="499">
        <f>SUM(C131:N131)</f>
        <v>228</v>
      </c>
    </row>
    <row r="132" spans="2:15" s="799" customFormat="1" ht="11.25" hidden="1" x14ac:dyDescent="0.2">
      <c r="B132" s="804" t="s">
        <v>329</v>
      </c>
      <c r="C132" s="805">
        <f>SAÍDAS!C15+C125+C126-C127-C128-C129</f>
        <v>0</v>
      </c>
      <c r="D132" s="805">
        <f>C132+D125+D126-D127-D128-D129</f>
        <v>0</v>
      </c>
      <c r="E132" s="805">
        <f t="shared" ref="E132:N132" si="45">D132+E125+E126-E127-E128-E129</f>
        <v>0</v>
      </c>
      <c r="F132" s="805">
        <f t="shared" si="45"/>
        <v>111</v>
      </c>
      <c r="G132" s="805">
        <f t="shared" si="45"/>
        <v>134</v>
      </c>
      <c r="H132" s="805">
        <f t="shared" si="45"/>
        <v>134</v>
      </c>
      <c r="I132" s="805">
        <f t="shared" si="45"/>
        <v>23</v>
      </c>
      <c r="J132" s="805">
        <f t="shared" si="45"/>
        <v>23</v>
      </c>
      <c r="K132" s="805">
        <f t="shared" si="45"/>
        <v>228</v>
      </c>
      <c r="L132" s="805">
        <f t="shared" si="45"/>
        <v>228</v>
      </c>
      <c r="M132" s="805">
        <f t="shared" si="45"/>
        <v>228</v>
      </c>
      <c r="N132" s="805">
        <f t="shared" si="45"/>
        <v>228</v>
      </c>
    </row>
    <row r="133" spans="2:15" s="799" customFormat="1" ht="11.25" hidden="1" x14ac:dyDescent="0.2">
      <c r="B133" s="799" t="s">
        <v>349</v>
      </c>
      <c r="C133" s="806">
        <f>(REBANHO!E48*REBANHO!E49)+(REBANHO!E50*REBANHO!E51)</f>
        <v>0</v>
      </c>
      <c r="D133" s="806">
        <f>IF(D124=0,C133,(REBANHO!F48*REBANHO!F49)+(REBANHO!F50*REBANHO!F51))</f>
        <v>0</v>
      </c>
      <c r="E133" s="806">
        <f>IF(E124=0,D133,(REBANHO!G48*REBANHO!G49)+(REBANHO!G50*REBANHO!G51))</f>
        <v>0</v>
      </c>
      <c r="F133" s="806">
        <f>IF(F124=0,E133,(REBANHO!H48*REBANHO!H49)+(REBANHO!H50*REBANHO!H51))</f>
        <v>50061</v>
      </c>
      <c r="G133" s="806">
        <f>IF(G124=0,F133,(REBANHO!I48*REBANHO!I49)+(REBANHO!I50*REBANHO!I51))</f>
        <v>60434</v>
      </c>
      <c r="H133" s="806">
        <f>IF(H124=0,G133,(REBANHO!J48*REBANHO!J49)+(REBANHO!J50*REBANHO!J51))</f>
        <v>60434</v>
      </c>
      <c r="I133" s="806">
        <f>IF(I124=0,H133,(REBANHO!K48*REBANHO!K49)+(REBANHO!K50*REBANHO!K51))</f>
        <v>10373</v>
      </c>
      <c r="J133" s="806">
        <f>IF(J124=0,I133,(REBANHO!L48*REBANHO!L49)+(REBANHO!L50*REBANHO!L51))</f>
        <v>10373</v>
      </c>
      <c r="K133" s="806">
        <f>IF(K124=0,J133,(REBANHO!M48*REBANHO!M49)+(REBANHO!M50*REBANHO!M51))</f>
        <v>10373</v>
      </c>
      <c r="L133" s="806">
        <f>IF(L124=0,K133,(REBANHO!N48*REBANHO!N49)+(REBANHO!N50*REBANHO!N51))</f>
        <v>10373</v>
      </c>
      <c r="M133" s="806">
        <f>IF(M124=0,L133,(REBANHO!O48*REBANHO!O49)+(REBANHO!O50*REBANHO!O51))</f>
        <v>10373</v>
      </c>
      <c r="N133" s="806">
        <f>IF(N124=0,M133,(REBANHO!P48*REBANHO!P49)+(REBANHO!P50*REBANHO!P51))</f>
        <v>10373</v>
      </c>
      <c r="O133" s="806"/>
    </row>
    <row r="134" spans="2:15" s="799" customFormat="1" ht="11.25" hidden="1" x14ac:dyDescent="0.2">
      <c r="B134" s="799" t="s">
        <v>358</v>
      </c>
      <c r="C134" s="806">
        <f>(REBANHO!E48*REBANHO!E49)+(REBANHO!E50*REBANHO!E51)</f>
        <v>0</v>
      </c>
      <c r="D134" s="806">
        <f>(REBANHO!F48*REBANHO!F49)+(REBANHO!F50*REBANHO!F51)</f>
        <v>0</v>
      </c>
      <c r="E134" s="806">
        <f>(REBANHO!G48*REBANHO!G49)+(REBANHO!G50*REBANHO!G51)</f>
        <v>0</v>
      </c>
      <c r="F134" s="806">
        <f>(REBANHO!H48*REBANHO!H49)+(REBANHO!H50*REBANHO!H51)</f>
        <v>50061</v>
      </c>
      <c r="G134" s="806">
        <f>(REBANHO!I48*REBANHO!I49)+(REBANHO!I50*REBANHO!I51)</f>
        <v>60434</v>
      </c>
      <c r="H134" s="806">
        <f>(REBANHO!J48*REBANHO!J49)+(REBANHO!J50*REBANHO!J51)</f>
        <v>60434</v>
      </c>
      <c r="I134" s="806">
        <f>(REBANHO!K48*REBANHO!K49)+(REBANHO!K50*REBANHO!K51)</f>
        <v>10373</v>
      </c>
      <c r="J134" s="806">
        <f>(REBANHO!L48*REBANHO!L49)+(REBANHO!L50*REBANHO!L51)</f>
        <v>10373</v>
      </c>
      <c r="K134" s="806">
        <f>(REBANHO!M48*REBANHO!M49)+(REBANHO!M50*REBANHO!M51)</f>
        <v>0</v>
      </c>
      <c r="L134" s="806">
        <f>(REBANHO!N48*REBANHO!N49)+(REBANHO!N50*REBANHO!N51)</f>
        <v>0</v>
      </c>
      <c r="M134" s="806">
        <f>(REBANHO!O48*REBANHO!O49)+(REBANHO!O50*REBANHO!O51)</f>
        <v>0</v>
      </c>
      <c r="N134" s="806">
        <f>(REBANHO!P48*REBANHO!P49)+(REBANHO!P50*REBANHO!P51)</f>
        <v>0</v>
      </c>
      <c r="O134" s="806"/>
    </row>
    <row r="135" spans="2:15" s="799" customFormat="1" hidden="1" x14ac:dyDescent="0.2">
      <c r="B135" s="807" t="s">
        <v>350</v>
      </c>
      <c r="C135" s="808">
        <f>ENTRADAS!D31*ENTRADAS!D32</f>
        <v>0</v>
      </c>
      <c r="D135" s="808">
        <f>ENTRADAS!E31*ENTRADAS!E32</f>
        <v>0</v>
      </c>
      <c r="E135" s="808">
        <f>ENTRADAS!F31*ENTRADAS!F32</f>
        <v>0</v>
      </c>
      <c r="F135" s="808">
        <f>ENTRADAS!G31*ENTRADAS!G32</f>
        <v>0</v>
      </c>
      <c r="G135" s="808">
        <f>ENTRADAS!H31*ENTRADAS!H32</f>
        <v>0</v>
      </c>
      <c r="H135" s="808">
        <f>ENTRADAS!I31*ENTRADAS!I32</f>
        <v>0</v>
      </c>
      <c r="I135" s="808">
        <f>ENTRADAS!J31*ENTRADAS!J32</f>
        <v>65157</v>
      </c>
      <c r="J135" s="808">
        <f>ENTRADAS!K31*ENTRADAS!K32</f>
        <v>0</v>
      </c>
      <c r="K135" s="808">
        <f>ENTRADAS!L31*ENTRADAS!L32</f>
        <v>0</v>
      </c>
      <c r="L135" s="808">
        <f>ENTRADAS!M31*ENTRADAS!M32</f>
        <v>0</v>
      </c>
      <c r="M135" s="808">
        <f>ENTRADAS!N31*ENTRADAS!N32</f>
        <v>0</v>
      </c>
      <c r="N135" s="808">
        <f>ENTRADAS!O31*ENTRADAS!O32</f>
        <v>0</v>
      </c>
      <c r="O135" s="326">
        <f>SUM(C135:N135)</f>
        <v>65157</v>
      </c>
    </row>
    <row r="136" spans="2:15" s="799" customFormat="1" hidden="1" x14ac:dyDescent="0.2">
      <c r="B136" s="807" t="s">
        <v>352</v>
      </c>
      <c r="C136" s="808">
        <f>ENTRADAS!D16*ENTRADAS!D17</f>
        <v>0</v>
      </c>
      <c r="D136" s="808">
        <f>ENTRADAS!E16*ENTRADAS!E17</f>
        <v>0</v>
      </c>
      <c r="E136" s="808">
        <f>ENTRADAS!F16*ENTRADAS!F17</f>
        <v>0</v>
      </c>
      <c r="F136" s="808">
        <f>ENTRADAS!G16*ENTRADAS!G17</f>
        <v>0</v>
      </c>
      <c r="G136" s="808">
        <f>ENTRADAS!H16*ENTRADAS!H17</f>
        <v>0</v>
      </c>
      <c r="H136" s="808">
        <f>ENTRADAS!I16*ENTRADAS!I17</f>
        <v>0</v>
      </c>
      <c r="I136" s="808">
        <f>ENTRADAS!J16*ENTRADAS!J17</f>
        <v>0</v>
      </c>
      <c r="J136" s="808">
        <f>ENTRADAS!K16*ENTRADAS!K17</f>
        <v>0</v>
      </c>
      <c r="K136" s="808">
        <f>ENTRADAS!L16*ENTRADAS!L17</f>
        <v>0</v>
      </c>
      <c r="L136" s="808">
        <f>ENTRADAS!M16*ENTRADAS!M17</f>
        <v>0</v>
      </c>
      <c r="M136" s="808">
        <f>ENTRADAS!N16*ENTRADAS!N17</f>
        <v>0</v>
      </c>
      <c r="N136" s="808">
        <f>ENTRADAS!O16*ENTRADAS!O17</f>
        <v>0</v>
      </c>
      <c r="O136" s="326">
        <f>SUM(C136:N136)</f>
        <v>0</v>
      </c>
    </row>
    <row r="137" spans="2:15" s="799" customFormat="1" ht="11.25" hidden="1" x14ac:dyDescent="0.2">
      <c r="B137" s="807" t="s">
        <v>353</v>
      </c>
      <c r="C137" s="808">
        <f>REBANHO!E71*REBANHO!E72</f>
        <v>0</v>
      </c>
      <c r="D137" s="808">
        <f>REBANHO!F71*REBANHO!F72</f>
        <v>0</v>
      </c>
      <c r="E137" s="808">
        <f>REBANHO!G71*REBANHO!G72</f>
        <v>0</v>
      </c>
      <c r="F137" s="808">
        <f>REBANHO!H71*REBANHO!H72</f>
        <v>0</v>
      </c>
      <c r="G137" s="808">
        <f>REBANHO!I71*REBANHO!I72</f>
        <v>0</v>
      </c>
      <c r="H137" s="808">
        <f>REBANHO!J71*REBANHO!J72</f>
        <v>0</v>
      </c>
      <c r="I137" s="808">
        <f>REBANHO!K71*REBANHO!K72</f>
        <v>0</v>
      </c>
      <c r="J137" s="808">
        <f>REBANHO!L71*REBANHO!L72</f>
        <v>0</v>
      </c>
      <c r="K137" s="808">
        <f>REBANHO!M71*REBANHO!M72</f>
        <v>0</v>
      </c>
      <c r="L137" s="808">
        <f>REBANHO!N71*REBANHO!N72</f>
        <v>0</v>
      </c>
      <c r="M137" s="808">
        <f>REBANHO!O71*REBANHO!O72</f>
        <v>0</v>
      </c>
      <c r="N137" s="808">
        <f>REBANHO!P71*REBANHO!P72</f>
        <v>0</v>
      </c>
      <c r="O137" s="806"/>
    </row>
    <row r="138" spans="2:15" s="799" customFormat="1" ht="11.25" hidden="1" x14ac:dyDescent="0.2">
      <c r="B138" s="807" t="s">
        <v>354</v>
      </c>
      <c r="C138" s="808">
        <f>IF(C130=0,0,(C$133/C$132)*C130)</f>
        <v>0</v>
      </c>
      <c r="D138" s="808">
        <f t="shared" ref="D138:N138" si="46">IF(D130=0,0,(D$133/D$132)*D130)</f>
        <v>0</v>
      </c>
      <c r="E138" s="808">
        <f t="shared" si="46"/>
        <v>0</v>
      </c>
      <c r="F138" s="808">
        <f t="shared" si="46"/>
        <v>0</v>
      </c>
      <c r="G138" s="808">
        <f t="shared" si="46"/>
        <v>0</v>
      </c>
      <c r="H138" s="808">
        <f t="shared" si="46"/>
        <v>0</v>
      </c>
      <c r="I138" s="808">
        <f t="shared" si="46"/>
        <v>0</v>
      </c>
      <c r="J138" s="808">
        <f t="shared" si="46"/>
        <v>0</v>
      </c>
      <c r="K138" s="808">
        <f t="shared" si="46"/>
        <v>10373</v>
      </c>
      <c r="L138" s="808">
        <f t="shared" si="46"/>
        <v>10373</v>
      </c>
      <c r="M138" s="808">
        <f t="shared" si="46"/>
        <v>10373</v>
      </c>
      <c r="N138" s="808">
        <f t="shared" si="46"/>
        <v>10373</v>
      </c>
      <c r="O138" s="806"/>
    </row>
    <row r="139" spans="2:15" s="799" customFormat="1" ht="11.25" hidden="1" x14ac:dyDescent="0.2">
      <c r="B139" s="807" t="s">
        <v>355</v>
      </c>
      <c r="C139" s="808">
        <f>SUM(C135:C138)</f>
        <v>0</v>
      </c>
      <c r="D139" s="808">
        <f t="shared" ref="D139:N139" si="47">SUM(D135:D138)</f>
        <v>0</v>
      </c>
      <c r="E139" s="808">
        <f t="shared" si="47"/>
        <v>0</v>
      </c>
      <c r="F139" s="808">
        <f t="shared" si="47"/>
        <v>0</v>
      </c>
      <c r="G139" s="808">
        <f t="shared" si="47"/>
        <v>0</v>
      </c>
      <c r="H139" s="808">
        <f t="shared" si="47"/>
        <v>0</v>
      </c>
      <c r="I139" s="808">
        <f t="shared" si="47"/>
        <v>65157</v>
      </c>
      <c r="J139" s="808">
        <f t="shared" si="47"/>
        <v>0</v>
      </c>
      <c r="K139" s="808">
        <f t="shared" si="47"/>
        <v>10373</v>
      </c>
      <c r="L139" s="808">
        <f t="shared" si="47"/>
        <v>10373</v>
      </c>
      <c r="M139" s="808">
        <f t="shared" si="47"/>
        <v>10373</v>
      </c>
      <c r="N139" s="808">
        <f t="shared" si="47"/>
        <v>10373</v>
      </c>
      <c r="O139" s="806"/>
    </row>
    <row r="140" spans="2:15" s="799" customFormat="1" ht="11.25" hidden="1" x14ac:dyDescent="0.2">
      <c r="B140" s="807" t="s">
        <v>356</v>
      </c>
      <c r="C140" s="808">
        <f>C139</f>
        <v>0</v>
      </c>
      <c r="D140" s="808">
        <f t="shared" ref="D140:N140" si="48">C140+D139</f>
        <v>0</v>
      </c>
      <c r="E140" s="808">
        <f t="shared" si="48"/>
        <v>0</v>
      </c>
      <c r="F140" s="808">
        <f t="shared" si="48"/>
        <v>0</v>
      </c>
      <c r="G140" s="808">
        <f t="shared" si="48"/>
        <v>0</v>
      </c>
      <c r="H140" s="808">
        <f t="shared" si="48"/>
        <v>0</v>
      </c>
      <c r="I140" s="808">
        <f t="shared" si="48"/>
        <v>65157</v>
      </c>
      <c r="J140" s="808">
        <f t="shared" si="48"/>
        <v>65157</v>
      </c>
      <c r="K140" s="808">
        <f t="shared" si="48"/>
        <v>75530</v>
      </c>
      <c r="L140" s="808">
        <f t="shared" si="48"/>
        <v>85903</v>
      </c>
      <c r="M140" s="808">
        <f t="shared" si="48"/>
        <v>96276</v>
      </c>
      <c r="N140" s="808">
        <f t="shared" si="48"/>
        <v>106649</v>
      </c>
      <c r="O140" s="806"/>
    </row>
    <row r="141" spans="2:15" s="799" customFormat="1" ht="11.25" hidden="1" x14ac:dyDescent="0.2">
      <c r="B141" s="809" t="s">
        <v>351</v>
      </c>
      <c r="C141" s="810">
        <f>C134+C140</f>
        <v>0</v>
      </c>
      <c r="D141" s="810">
        <f t="shared" ref="D141:N141" si="49">D134+D140</f>
        <v>0</v>
      </c>
      <c r="E141" s="810">
        <f t="shared" si="49"/>
        <v>0</v>
      </c>
      <c r="F141" s="810">
        <f t="shared" si="49"/>
        <v>50061</v>
      </c>
      <c r="G141" s="810">
        <f t="shared" si="49"/>
        <v>60434</v>
      </c>
      <c r="H141" s="810">
        <f t="shared" si="49"/>
        <v>60434</v>
      </c>
      <c r="I141" s="810">
        <f t="shared" si="49"/>
        <v>75530</v>
      </c>
      <c r="J141" s="810">
        <f t="shared" si="49"/>
        <v>75530</v>
      </c>
      <c r="K141" s="810">
        <f t="shared" si="49"/>
        <v>75530</v>
      </c>
      <c r="L141" s="810">
        <f t="shared" si="49"/>
        <v>85903</v>
      </c>
      <c r="M141" s="810">
        <f t="shared" si="49"/>
        <v>96276</v>
      </c>
      <c r="N141" s="810">
        <f t="shared" si="49"/>
        <v>106649</v>
      </c>
      <c r="O141" s="810">
        <f>LARGE(C141:N141,1)</f>
        <v>106649</v>
      </c>
    </row>
    <row r="142" spans="2:15" s="799" customFormat="1" ht="11.25" hidden="1" x14ac:dyDescent="0.2">
      <c r="B142" s="807" t="s">
        <v>364</v>
      </c>
      <c r="C142" s="808">
        <f>SUM(C135:C137)</f>
        <v>0</v>
      </c>
      <c r="D142" s="808">
        <f t="shared" ref="D142:N142" si="50">SUM(D135:D137)</f>
        <v>0</v>
      </c>
      <c r="E142" s="808">
        <f t="shared" si="50"/>
        <v>0</v>
      </c>
      <c r="F142" s="808">
        <f t="shared" si="50"/>
        <v>0</v>
      </c>
      <c r="G142" s="808">
        <f t="shared" si="50"/>
        <v>0</v>
      </c>
      <c r="H142" s="808">
        <f t="shared" si="50"/>
        <v>0</v>
      </c>
      <c r="I142" s="808">
        <f t="shared" si="50"/>
        <v>65157</v>
      </c>
      <c r="J142" s="808">
        <f t="shared" si="50"/>
        <v>0</v>
      </c>
      <c r="K142" s="808">
        <f t="shared" si="50"/>
        <v>0</v>
      </c>
      <c r="L142" s="808">
        <f t="shared" si="50"/>
        <v>0</v>
      </c>
      <c r="M142" s="808">
        <f t="shared" si="50"/>
        <v>0</v>
      </c>
      <c r="N142" s="808">
        <f t="shared" si="50"/>
        <v>0</v>
      </c>
      <c r="O142" s="806"/>
    </row>
    <row r="143" spans="2:15" s="799" customFormat="1" ht="11.25" hidden="1" x14ac:dyDescent="0.2">
      <c r="B143" s="807" t="s">
        <v>365</v>
      </c>
      <c r="C143" s="808">
        <f>C142</f>
        <v>0</v>
      </c>
      <c r="D143" s="808">
        <f>C143+D142</f>
        <v>0</v>
      </c>
      <c r="E143" s="808">
        <f t="shared" ref="E143:N143" si="51">D143+E142</f>
        <v>0</v>
      </c>
      <c r="F143" s="808">
        <f t="shared" si="51"/>
        <v>0</v>
      </c>
      <c r="G143" s="808">
        <f t="shared" si="51"/>
        <v>0</v>
      </c>
      <c r="H143" s="808">
        <f t="shared" si="51"/>
        <v>0</v>
      </c>
      <c r="I143" s="808">
        <f t="shared" si="51"/>
        <v>65157</v>
      </c>
      <c r="J143" s="808">
        <f t="shared" si="51"/>
        <v>65157</v>
      </c>
      <c r="K143" s="808">
        <f t="shared" si="51"/>
        <v>65157</v>
      </c>
      <c r="L143" s="808">
        <f t="shared" si="51"/>
        <v>65157</v>
      </c>
      <c r="M143" s="808">
        <f t="shared" si="51"/>
        <v>65157</v>
      </c>
      <c r="N143" s="808">
        <f t="shared" si="51"/>
        <v>65157</v>
      </c>
      <c r="O143" s="806"/>
    </row>
    <row r="144" spans="2:15" s="799" customFormat="1" ht="11.25" hidden="1" x14ac:dyDescent="0.2">
      <c r="B144" s="809" t="s">
        <v>366</v>
      </c>
      <c r="C144" s="810">
        <f t="shared" ref="C144:N144" si="52">C135+C143</f>
        <v>0</v>
      </c>
      <c r="D144" s="810">
        <f t="shared" si="52"/>
        <v>0</v>
      </c>
      <c r="E144" s="810">
        <f t="shared" si="52"/>
        <v>0</v>
      </c>
      <c r="F144" s="810">
        <f t="shared" si="52"/>
        <v>0</v>
      </c>
      <c r="G144" s="810">
        <f t="shared" si="52"/>
        <v>0</v>
      </c>
      <c r="H144" s="810">
        <f t="shared" si="52"/>
        <v>0</v>
      </c>
      <c r="I144" s="810">
        <f t="shared" si="52"/>
        <v>130314</v>
      </c>
      <c r="J144" s="810">
        <f t="shared" si="52"/>
        <v>65157</v>
      </c>
      <c r="K144" s="810">
        <f t="shared" si="52"/>
        <v>65157</v>
      </c>
      <c r="L144" s="810">
        <f t="shared" si="52"/>
        <v>65157</v>
      </c>
      <c r="M144" s="810">
        <f t="shared" si="52"/>
        <v>65157</v>
      </c>
      <c r="N144" s="810">
        <f t="shared" si="52"/>
        <v>65157</v>
      </c>
      <c r="O144" s="810">
        <f>IF(SUM(C134:N134)=0,0,LARGE(C144:N144,1))</f>
        <v>130314</v>
      </c>
    </row>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sheetData>
  <sheetProtection password="E066" sheet="1" objects="1" scenarios="1" selectLockedCells="1"/>
  <mergeCells count="14">
    <mergeCell ref="B25:F25"/>
    <mergeCell ref="B10:C10"/>
    <mergeCell ref="B19:F19"/>
    <mergeCell ref="B20:F20"/>
    <mergeCell ref="B21:F21"/>
    <mergeCell ref="B22:F22"/>
    <mergeCell ref="B23:F23"/>
    <mergeCell ref="B24:F24"/>
    <mergeCell ref="B13:F13"/>
    <mergeCell ref="B14:F14"/>
    <mergeCell ref="B15:F15"/>
    <mergeCell ref="B16:F16"/>
    <mergeCell ref="B17:F17"/>
    <mergeCell ref="B18:F18"/>
  </mergeCells>
  <pageMargins left="0.23622047244094491" right="0.19685039370078741" top="0.15748031496062992" bottom="0.15748031496062992" header="0.19685039370078741" footer="0.19685039370078741"/>
  <pageSetup paperSize="9"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workbookViewId="0">
      <selection activeCell="L11" sqref="L11"/>
    </sheetView>
  </sheetViews>
  <sheetFormatPr defaultRowHeight="15" x14ac:dyDescent="0.25"/>
  <sheetData>
    <row r="1" spans="1:5" x14ac:dyDescent="0.25">
      <c r="A1" t="s">
        <v>524</v>
      </c>
      <c r="B1" t="s">
        <v>525</v>
      </c>
      <c r="C1" t="s">
        <v>526</v>
      </c>
      <c r="D1" t="s">
        <v>527</v>
      </c>
      <c r="E1" t="s">
        <v>528</v>
      </c>
    </row>
    <row r="2" spans="1:5" x14ac:dyDescent="0.25">
      <c r="A2" s="867">
        <v>250</v>
      </c>
      <c r="B2" s="867">
        <v>272</v>
      </c>
      <c r="C2" s="867">
        <v>286</v>
      </c>
      <c r="D2" s="867">
        <v>299</v>
      </c>
      <c r="E2" s="867">
        <v>301</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6</vt:i4>
      </vt:variant>
    </vt:vector>
  </HeadingPairs>
  <TitlesOfParts>
    <vt:vector size="14" baseType="lpstr">
      <vt:lpstr>Introdução</vt:lpstr>
      <vt:lpstr>REBANHO</vt:lpstr>
      <vt:lpstr>ENTRADAS</vt:lpstr>
      <vt:lpstr>INVESTIMENTOS</vt:lpstr>
      <vt:lpstr>SAÍDAS</vt:lpstr>
      <vt:lpstr>RESULTADOS FINANCEIROS</vt:lpstr>
      <vt:lpstr>ÍNDICES ZOOTÉCNICOS</vt:lpstr>
      <vt:lpstr>Plan1</vt:lpstr>
      <vt:lpstr>ENTRADAS!Area_de_impressao</vt:lpstr>
      <vt:lpstr>'ÍNDICES ZOOTÉCNICOS'!Area_de_impressao</vt:lpstr>
      <vt:lpstr>INVESTIMENTOS!Area_de_impressao</vt:lpstr>
      <vt:lpstr>REBANHO!Area_de_impressao</vt:lpstr>
      <vt:lpstr>'RESULTADOS FINANCEIROS'!Area_de_impressao</vt:lpstr>
      <vt:lpstr>SAÍDAS!Area_de_impressao</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malagutti</dc:creator>
  <cp:lastModifiedBy>Junior Paulossi</cp:lastModifiedBy>
  <cp:lastPrinted>2014-11-12T18:43:35Z</cp:lastPrinted>
  <dcterms:created xsi:type="dcterms:W3CDTF">2014-09-16T19:51:39Z</dcterms:created>
  <dcterms:modified xsi:type="dcterms:W3CDTF">2016-09-16T17:40:34Z</dcterms:modified>
</cp:coreProperties>
</file>