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s\assessoria\Agropecuária HS - Marcelo Delchiaro\Faz. Bonanza - Marcelo delchiaro\controle\"/>
    </mc:Choice>
  </mc:AlternateContent>
  <bookViews>
    <workbookView xWindow="435" yWindow="375" windowWidth="13680" windowHeight="11400" activeTab="4"/>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52511"/>
</workbook>
</file>

<file path=xl/calcChain.xml><?xml version="1.0" encoding="utf-8"?>
<calcChain xmlns="http://schemas.openxmlformats.org/spreadsheetml/2006/main">
  <c r="N60" i="7" l="1"/>
  <c r="N59" i="7"/>
  <c r="M55" i="7" l="1"/>
  <c r="L32" i="9" l="1"/>
  <c r="L46" i="5" l="1"/>
  <c r="L45" i="5"/>
  <c r="K76" i="7" l="1"/>
  <c r="K46" i="5"/>
  <c r="K45" i="5"/>
  <c r="K13" i="7"/>
  <c r="K12" i="7"/>
  <c r="K11" i="7"/>
  <c r="J74" i="9"/>
  <c r="K59" i="7" l="1"/>
  <c r="I59" i="7"/>
  <c r="H58" i="7"/>
  <c r="H55" i="7"/>
  <c r="G34" i="7"/>
  <c r="G32" i="7"/>
  <c r="G58" i="7"/>
  <c r="G56" i="7"/>
  <c r="F56" i="7"/>
  <c r="E48" i="7"/>
  <c r="E55" i="7"/>
  <c r="E31" i="7"/>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O36" i="8" s="1"/>
  <c r="E88" i="5"/>
  <c r="F86" i="5"/>
  <c r="G86" i="5"/>
  <c r="H86" i="5"/>
  <c r="I86" i="5"/>
  <c r="J86" i="5"/>
  <c r="K86" i="5"/>
  <c r="L86" i="5"/>
  <c r="M86" i="5"/>
  <c r="N86" i="5"/>
  <c r="O86" i="5"/>
  <c r="P86" i="5"/>
  <c r="E86" i="5"/>
  <c r="E85" i="5"/>
  <c r="E83" i="5"/>
  <c r="E81" i="5"/>
  <c r="O37" i="8" l="1"/>
  <c r="N17" i="8"/>
  <c r="C12" i="10"/>
  <c r="J12" i="10" s="1"/>
  <c r="J50" i="10"/>
  <c r="J48" i="10"/>
  <c r="J46" i="10"/>
  <c r="J44" i="10"/>
  <c r="J42" i="10"/>
  <c r="J81" i="10"/>
  <c r="J79" i="10"/>
  <c r="J77" i="10"/>
  <c r="J75" i="10"/>
  <c r="J73" i="10"/>
  <c r="J71" i="10"/>
  <c r="J69" i="10"/>
  <c r="J67" i="10"/>
  <c r="J65" i="10"/>
  <c r="J63" i="10"/>
  <c r="J110" i="10"/>
  <c r="J108" i="10"/>
  <c r="J106" i="10"/>
  <c r="J104" i="10"/>
  <c r="J102" i="10"/>
  <c r="J100" i="10"/>
  <c r="J98" i="10"/>
  <c r="J96" i="10"/>
  <c r="J94"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45" i="10"/>
  <c r="J43" i="10"/>
  <c r="J82" i="10"/>
  <c r="J80" i="10"/>
  <c r="J78" i="10"/>
  <c r="J76" i="10"/>
  <c r="J74" i="10"/>
  <c r="J72" i="10"/>
  <c r="J70" i="10"/>
  <c r="J68" i="10"/>
  <c r="J66" i="10"/>
  <c r="J64" i="10"/>
  <c r="J62" i="10"/>
  <c r="J111" i="10"/>
  <c r="J109" i="10"/>
  <c r="J107" i="10"/>
  <c r="J105" i="10"/>
  <c r="J103" i="10"/>
  <c r="J101" i="10"/>
  <c r="J99" i="10"/>
  <c r="J97" i="10"/>
  <c r="J95"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L63" i="10"/>
  <c r="L64" i="10"/>
  <c r="L65" i="10"/>
  <c r="L66" i="10"/>
  <c r="L67" i="10"/>
  <c r="L68" i="10"/>
  <c r="L69" i="10"/>
  <c r="L70" i="10"/>
  <c r="L71" i="10"/>
  <c r="L72" i="10"/>
  <c r="L73" i="10"/>
  <c r="L74" i="10"/>
  <c r="L75" i="10"/>
  <c r="L89" i="10"/>
  <c r="J89" i="10" s="1"/>
  <c r="N89" i="10"/>
  <c r="P89" i="10"/>
  <c r="R89" i="10"/>
  <c r="T89" i="10"/>
  <c r="L90" i="10"/>
  <c r="J90" i="10" s="1"/>
  <c r="N90" i="10"/>
  <c r="P90" i="10"/>
  <c r="R90" i="10"/>
  <c r="T90" i="10"/>
  <c r="L91" i="10"/>
  <c r="J91" i="10" s="1"/>
  <c r="N91" i="10"/>
  <c r="P91" i="10"/>
  <c r="R91" i="10"/>
  <c r="T91" i="10"/>
  <c r="L92" i="10"/>
  <c r="J92" i="10" s="1"/>
  <c r="N92" i="10"/>
  <c r="P92" i="10"/>
  <c r="R92" i="10"/>
  <c r="T92" i="10"/>
  <c r="L93" i="10"/>
  <c r="J93" i="10" s="1"/>
  <c r="N93" i="10"/>
  <c r="P93" i="10"/>
  <c r="R93" i="10"/>
  <c r="T93" i="10"/>
  <c r="L94" i="10"/>
  <c r="N94" i="10"/>
  <c r="P94" i="10"/>
  <c r="R94" i="10"/>
  <c r="T94" i="10"/>
  <c r="L95" i="10"/>
  <c r="N95" i="10"/>
  <c r="P95" i="10"/>
  <c r="R95" i="10"/>
  <c r="T95" i="10"/>
  <c r="L96" i="10"/>
  <c r="N96" i="10"/>
  <c r="P96" i="10"/>
  <c r="R96" i="10"/>
  <c r="T96" i="10"/>
  <c r="L97" i="10"/>
  <c r="N97" i="10"/>
  <c r="P97" i="10"/>
  <c r="R97" i="10"/>
  <c r="T97" i="10"/>
  <c r="L98" i="10"/>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F43" i="10" s="1"/>
  <c r="L44" i="10"/>
  <c r="F44" i="10" s="1"/>
  <c r="L45" i="10"/>
  <c r="F45" i="10" s="1"/>
  <c r="L46" i="10"/>
  <c r="F46" i="10" s="1"/>
  <c r="L47" i="10"/>
  <c r="F47" i="10" s="1"/>
  <c r="L48" i="10"/>
  <c r="F48" i="10" s="1"/>
  <c r="L49" i="10"/>
  <c r="F49" i="10" s="1"/>
  <c r="L50" i="10"/>
  <c r="F50" i="10" s="1"/>
  <c r="L51" i="10"/>
  <c r="L52" i="10"/>
  <c r="L36" i="10"/>
  <c r="L37" i="10"/>
  <c r="J37" i="10" s="1"/>
  <c r="L38" i="10"/>
  <c r="J38" i="10" s="1"/>
  <c r="L39" i="10"/>
  <c r="L40" i="10"/>
  <c r="L41" i="10"/>
  <c r="J41" i="10" s="1"/>
  <c r="L42" i="10"/>
  <c r="F42" i="10" s="1"/>
  <c r="L57" i="10"/>
  <c r="J57" i="10" s="1"/>
  <c r="L28" i="10"/>
  <c r="L29" i="10"/>
  <c r="J29" i="10" s="1"/>
  <c r="L30" i="10"/>
  <c r="J30" i="10" s="1"/>
  <c r="L31" i="10"/>
  <c r="J31" i="10" s="1"/>
  <c r="L32" i="10"/>
  <c r="L33" i="10"/>
  <c r="J33" i="10" s="1"/>
  <c r="L34" i="10"/>
  <c r="J34" i="10" s="1"/>
  <c r="L35" i="10"/>
  <c r="B2" i="10"/>
  <c r="G5" i="10"/>
  <c r="G6" i="10"/>
  <c r="B5" i="10"/>
  <c r="B6" i="10"/>
  <c r="G3" i="10"/>
  <c r="G4" i="10"/>
  <c r="B4" i="10"/>
  <c r="B3" i="10"/>
  <c r="F32" i="10" l="1"/>
  <c r="J32" i="10"/>
  <c r="F40" i="10"/>
  <c r="J40" i="10"/>
  <c r="F36" i="10"/>
  <c r="J36" i="10"/>
  <c r="F35" i="10"/>
  <c r="J35" i="10"/>
  <c r="F39" i="10"/>
  <c r="J39" i="10"/>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F37" i="10"/>
  <c r="F33" i="10"/>
  <c r="F38" i="10"/>
  <c r="F34" i="10"/>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H190" i="8"/>
  <c r="H281" i="8" s="1"/>
  <c r="I190" i="8"/>
  <c r="I281" i="8" s="1"/>
  <c r="J190" i="8"/>
  <c r="J281" i="8" s="1"/>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K191" i="8"/>
  <c r="K285" i="8" s="1"/>
  <c r="L191" i="8"/>
  <c r="L285" i="8" s="1"/>
  <c r="M191" i="8"/>
  <c r="M285" i="8" s="1"/>
  <c r="N191" i="8"/>
  <c r="N285" i="8" s="1"/>
  <c r="O191" i="8"/>
  <c r="O285" i="8" s="1"/>
  <c r="D197" i="8"/>
  <c r="D286" i="8" s="1"/>
  <c r="E197" i="8"/>
  <c r="F197" i="8"/>
  <c r="F286" i="8" s="1"/>
  <c r="G197" i="8"/>
  <c r="H197" i="8"/>
  <c r="H286" i="8" s="1"/>
  <c r="I197" i="8"/>
  <c r="I286" i="8" s="1"/>
  <c r="J197" i="8"/>
  <c r="K197" i="8"/>
  <c r="L197" i="8"/>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J15" i="10" s="1"/>
  <c r="H16" i="10"/>
  <c r="H17" i="10"/>
  <c r="H18" i="10"/>
  <c r="H20" i="10"/>
  <c r="J20" i="10" s="1"/>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Z69" i="7" s="1"/>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V69" i="7" s="1"/>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F238" i="8"/>
  <c r="G238" i="8"/>
  <c r="H238" i="8"/>
  <c r="I238" i="8"/>
  <c r="J238" i="8"/>
  <c r="K238" i="8"/>
  <c r="L238" i="8"/>
  <c r="M238" i="8"/>
  <c r="N238" i="8"/>
  <c r="D238" i="8"/>
  <c r="O43" i="9"/>
  <c r="N43" i="9"/>
  <c r="M43" i="9"/>
  <c r="L43" i="9"/>
  <c r="K43" i="9"/>
  <c r="J43" i="9"/>
  <c r="I43" i="9"/>
  <c r="H43" i="9"/>
  <c r="G43" i="9"/>
  <c r="F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O33" i="9"/>
  <c r="N33" i="9"/>
  <c r="M33" i="9"/>
  <c r="L33" i="9"/>
  <c r="K33" i="9"/>
  <c r="J33" i="9"/>
  <c r="I33" i="9"/>
  <c r="H33" i="9"/>
  <c r="G33" i="9"/>
  <c r="F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T31" i="10" s="1"/>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Q77" i="7" s="1"/>
  <c r="R78" i="7"/>
  <c r="W78" i="7" s="1"/>
  <c r="R79" i="7"/>
  <c r="Q79" i="7" s="1"/>
  <c r="R80" i="7"/>
  <c r="Y80" i="7" s="1"/>
  <c r="R81" i="7"/>
  <c r="R82" i="7"/>
  <c r="S82" i="7" s="1"/>
  <c r="R83" i="7"/>
  <c r="R84" i="7"/>
  <c r="R85" i="7"/>
  <c r="R86" i="7"/>
  <c r="R87" i="7"/>
  <c r="R88" i="7"/>
  <c r="R89" i="7"/>
  <c r="R73" i="7"/>
  <c r="U73" i="7" s="1"/>
  <c r="R32" i="7"/>
  <c r="R33" i="7"/>
  <c r="S33" i="7" s="1"/>
  <c r="R34" i="7"/>
  <c r="U34" i="7" s="1"/>
  <c r="R35" i="7"/>
  <c r="U35" i="7" s="1"/>
  <c r="R36" i="7"/>
  <c r="R37" i="7"/>
  <c r="R38" i="7"/>
  <c r="Q38" i="7" s="1"/>
  <c r="R39" i="7"/>
  <c r="R40" i="7"/>
  <c r="Q40" i="7" s="1"/>
  <c r="R41" i="7"/>
  <c r="Q41" i="7" s="1"/>
  <c r="R42" i="7"/>
  <c r="Q42" i="7" s="1"/>
  <c r="R43" i="7"/>
  <c r="Q43" i="7" s="1"/>
  <c r="R44" i="7"/>
  <c r="R45" i="7"/>
  <c r="R46" i="7"/>
  <c r="S46" i="7" s="1"/>
  <c r="R47" i="7"/>
  <c r="R48" i="7"/>
  <c r="Y48" i="7" s="1"/>
  <c r="R49" i="7"/>
  <c r="Q49" i="7" s="1"/>
  <c r="R50" i="7"/>
  <c r="U50" i="7" s="1"/>
  <c r="R51" i="7"/>
  <c r="U51" i="7" s="1"/>
  <c r="R52" i="7"/>
  <c r="U52" i="7" s="1"/>
  <c r="R53" i="7"/>
  <c r="R54" i="7"/>
  <c r="Q54" i="7" s="1"/>
  <c r="R55" i="7"/>
  <c r="Y55" i="7" s="1"/>
  <c r="R56" i="7"/>
  <c r="W56" i="7" s="1"/>
  <c r="R57" i="7"/>
  <c r="R58" i="7"/>
  <c r="R59" i="7"/>
  <c r="R60" i="7"/>
  <c r="U60" i="7" s="1"/>
  <c r="Y61" i="7"/>
  <c r="Q64" i="7"/>
  <c r="R68" i="7"/>
  <c r="R31" i="7"/>
  <c r="W31" i="7" s="1"/>
  <c r="B2" i="7"/>
  <c r="S73" i="7"/>
  <c r="S88" i="7"/>
  <c r="Y63" i="7"/>
  <c r="B5" i="8"/>
  <c r="B7" i="8"/>
  <c r="B6" i="8"/>
  <c r="B10" i="8"/>
  <c r="B4" i="8"/>
  <c r="B9" i="8"/>
  <c r="B3" i="8"/>
  <c r="B8" i="8"/>
  <c r="B2" i="8"/>
  <c r="B2" i="9"/>
  <c r="F58" i="5"/>
  <c r="G58" i="5"/>
  <c r="H58" i="5"/>
  <c r="I58" i="5"/>
  <c r="J58" i="5"/>
  <c r="K58" i="5"/>
  <c r="L58" i="5"/>
  <c r="M58" i="5"/>
  <c r="N58" i="5"/>
  <c r="O58" i="5"/>
  <c r="P58" i="5"/>
  <c r="E58" i="5"/>
  <c r="C73" i="5"/>
  <c r="Q67" i="5"/>
  <c r="Q63" i="5"/>
  <c r="C69" i="5"/>
  <c r="D77" i="5"/>
  <c r="I52" i="10"/>
  <c r="L286" i="8" l="1"/>
  <c r="K286" i="8"/>
  <c r="G281" i="8"/>
  <c r="J286" i="8"/>
  <c r="G286" i="8"/>
  <c r="J285" i="8"/>
  <c r="E285" i="8"/>
  <c r="Y50" i="7"/>
  <c r="N581" i="8" s="1"/>
  <c r="S85" i="7"/>
  <c r="F690" i="8" s="1"/>
  <c r="J18" i="10"/>
  <c r="J14" i="10"/>
  <c r="C133" i="8"/>
  <c r="T69" i="7"/>
  <c r="S81" i="7"/>
  <c r="X69" i="7"/>
  <c r="J17" i="10"/>
  <c r="J13" i="10"/>
  <c r="U85" i="7"/>
  <c r="E465" i="8" s="1"/>
  <c r="J19" i="10"/>
  <c r="J16" i="10"/>
  <c r="N18" i="8"/>
  <c r="W82" i="7"/>
  <c r="E537" i="8" s="1"/>
  <c r="S55" i="7"/>
  <c r="J661" i="8" s="1"/>
  <c r="Y85" i="7"/>
  <c r="I615" i="8" s="1"/>
  <c r="U81" i="7"/>
  <c r="H461" i="8" s="1"/>
  <c r="H291" i="8"/>
  <c r="H290" i="8"/>
  <c r="H295" i="8" s="1"/>
  <c r="U82" i="7"/>
  <c r="H462" i="8" s="1"/>
  <c r="Y81" i="7"/>
  <c r="J611" i="8" s="1"/>
  <c r="U89" i="7"/>
  <c r="W81" i="7"/>
  <c r="I536" i="8" s="1"/>
  <c r="K291" i="8"/>
  <c r="I291" i="8"/>
  <c r="I296" i="8" s="1"/>
  <c r="I290" i="8"/>
  <c r="I295" i="8" s="1"/>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L202" i="8"/>
  <c r="L223" i="8"/>
  <c r="L282" i="8" s="1"/>
  <c r="L283" i="8" s="1"/>
  <c r="L225" i="8"/>
  <c r="L292" i="8" s="1"/>
  <c r="L222" i="8"/>
  <c r="L278" i="8" s="1"/>
  <c r="L224" i="8"/>
  <c r="L287" i="8" s="1"/>
  <c r="L288" i="8" s="1"/>
  <c r="D202" i="8"/>
  <c r="D254" i="8" s="1"/>
  <c r="D222" i="8"/>
  <c r="D224" i="8"/>
  <c r="D223" i="8"/>
  <c r="D225" i="8"/>
  <c r="J291" i="8"/>
  <c r="J296" i="8" s="1"/>
  <c r="H296" i="8"/>
  <c r="J202" i="8"/>
  <c r="J253" i="8" s="1"/>
  <c r="J224" i="8"/>
  <c r="J287"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87" i="8" s="1"/>
  <c r="G223" i="8"/>
  <c r="G282" i="8" s="1"/>
  <c r="M291" i="8"/>
  <c r="M296" i="8" s="1"/>
  <c r="E291" i="8"/>
  <c r="M290" i="8"/>
  <c r="M295" i="8" s="1"/>
  <c r="E290" i="8"/>
  <c r="E295" i="8" s="1"/>
  <c r="F202" i="8"/>
  <c r="F254" i="8" s="1"/>
  <c r="F225" i="8"/>
  <c r="F292" i="8" s="1"/>
  <c r="F222" i="8"/>
  <c r="F278" i="8" s="1"/>
  <c r="F279" i="8" s="1"/>
  <c r="F224" i="8"/>
  <c r="F287" i="8" s="1"/>
  <c r="F223" i="8"/>
  <c r="F282" i="8" s="1"/>
  <c r="F283" i="8" s="1"/>
  <c r="H202" i="8"/>
  <c r="H253" i="8" s="1"/>
  <c r="H224" i="8"/>
  <c r="H287" i="8" s="1"/>
  <c r="H288" i="8" s="1"/>
  <c r="H225" i="8"/>
  <c r="H292"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E287" i="8" s="1"/>
  <c r="I202" i="8"/>
  <c r="I253" i="8" s="1"/>
  <c r="I222" i="8"/>
  <c r="I278" i="8" s="1"/>
  <c r="I224" i="8"/>
  <c r="I287" i="8" s="1"/>
  <c r="I288" i="8" s="1"/>
  <c r="I223" i="8"/>
  <c r="I282" i="8" s="1"/>
  <c r="I283" i="8" s="1"/>
  <c r="I225" i="8"/>
  <c r="I292" i="8" s="1"/>
  <c r="L290" i="8"/>
  <c r="M256" i="8"/>
  <c r="O291" i="8"/>
  <c r="O296" i="8" s="1"/>
  <c r="G291" i="8"/>
  <c r="G296" i="8" s="1"/>
  <c r="O290" i="8"/>
  <c r="O295" i="8" s="1"/>
  <c r="F285" i="8"/>
  <c r="C67" i="5"/>
  <c r="Q77" i="5"/>
  <c r="K290" i="8"/>
  <c r="G20" i="11"/>
  <c r="G13" i="11"/>
  <c r="G285" i="8"/>
  <c r="G290"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F586" i="8"/>
  <c r="J586" i="8"/>
  <c r="N586" i="8"/>
  <c r="G586" i="8"/>
  <c r="K586" i="8"/>
  <c r="O586" i="8"/>
  <c r="E586" i="8"/>
  <c r="I586" i="8"/>
  <c r="M586" i="8"/>
  <c r="H586" i="8"/>
  <c r="L586" i="8"/>
  <c r="D586" i="8"/>
  <c r="Y35" i="7"/>
  <c r="J566" i="8" s="1"/>
  <c r="Y82" i="7"/>
  <c r="F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J581" i="8"/>
  <c r="O581" i="8"/>
  <c r="D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I262" i="8" s="1"/>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T27" i="10" s="1"/>
  <c r="G135" i="8"/>
  <c r="J266"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J27" i="7"/>
  <c r="J69" i="7" s="1"/>
  <c r="N27" i="7"/>
  <c r="N69" i="7" s="1"/>
  <c r="S68" i="7"/>
  <c r="F674" i="8" s="1"/>
  <c r="Y37" i="7"/>
  <c r="O568" i="8" s="1"/>
  <c r="Y64" i="7"/>
  <c r="U37" i="7"/>
  <c r="H417" i="8" s="1"/>
  <c r="H133" i="8"/>
  <c r="E27" i="7"/>
  <c r="W85" i="7"/>
  <c r="E540" i="8" s="1"/>
  <c r="J137" i="8"/>
  <c r="E137" i="8"/>
  <c r="C137" i="8"/>
  <c r="E13" i="10"/>
  <c r="T41" i="10"/>
  <c r="T37" i="10"/>
  <c r="T39" i="10"/>
  <c r="T40" i="10"/>
  <c r="T32" i="10"/>
  <c r="T33" i="10"/>
  <c r="T38" i="10"/>
  <c r="T34" i="10"/>
  <c r="T35" i="10"/>
  <c r="T36" i="10"/>
  <c r="F30" i="10"/>
  <c r="T30" i="10" s="1"/>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N133" i="8"/>
  <c r="I133" i="8"/>
  <c r="D133" i="8"/>
  <c r="K27" i="7"/>
  <c r="K69" i="7" s="1"/>
  <c r="O27" i="7"/>
  <c r="O69" i="7" s="1"/>
  <c r="M27" i="7"/>
  <c r="M69" i="7" s="1"/>
  <c r="G27" i="7"/>
  <c r="G69"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I70" i="9" s="1"/>
  <c r="K230" i="8"/>
  <c r="H266" i="8"/>
  <c r="D266" i="8"/>
  <c r="H265" i="8"/>
  <c r="D265" i="8"/>
  <c r="P232" i="8"/>
  <c r="K265" i="8"/>
  <c r="P239" i="8"/>
  <c r="O28" i="9"/>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D619" i="8"/>
  <c r="M619" i="8"/>
  <c r="N619" i="8"/>
  <c r="E615" i="8"/>
  <c r="M615" i="8"/>
  <c r="O615" i="8"/>
  <c r="H615" i="8"/>
  <c r="Y77" i="7"/>
  <c r="S64" i="7"/>
  <c r="W80" i="7"/>
  <c r="Y49" i="7"/>
  <c r="E533" i="8"/>
  <c r="I533" i="8"/>
  <c r="M533" i="8"/>
  <c r="F533" i="8"/>
  <c r="J533" i="8"/>
  <c r="N533" i="8"/>
  <c r="G533" i="8"/>
  <c r="K533" i="8"/>
  <c r="O533" i="8"/>
  <c r="D533" i="8"/>
  <c r="H533" i="8"/>
  <c r="L533" i="8"/>
  <c r="Y45" i="7"/>
  <c r="W83" i="7"/>
  <c r="S52" i="7"/>
  <c r="S44" i="7"/>
  <c r="Y44" i="7"/>
  <c r="U68" i="7"/>
  <c r="U64" i="7"/>
  <c r="U56" i="7"/>
  <c r="U44" i="7"/>
  <c r="U40" i="7"/>
  <c r="U36" i="7"/>
  <c r="U86" i="7"/>
  <c r="L462" i="8"/>
  <c r="M454" i="8"/>
  <c r="N454" i="8"/>
  <c r="I491" i="8"/>
  <c r="D69" i="8"/>
  <c r="H69" i="8" s="1"/>
  <c r="D63" i="8"/>
  <c r="D65" i="8"/>
  <c r="Q50" i="7"/>
  <c r="S45" i="7"/>
  <c r="W43" i="7"/>
  <c r="S41" i="7"/>
  <c r="W39" i="7"/>
  <c r="S37" i="7"/>
  <c r="D60" i="8"/>
  <c r="W32" i="7"/>
  <c r="W88" i="7"/>
  <c r="Y86" i="7"/>
  <c r="W84" i="7"/>
  <c r="D73" i="8"/>
  <c r="Q78" i="7"/>
  <c r="J234" i="8"/>
  <c r="J265" i="8" s="1"/>
  <c r="J141" i="10"/>
  <c r="T116" i="10"/>
  <c r="Y54" i="7"/>
  <c r="Y47" i="7"/>
  <c r="S59" i="7"/>
  <c r="E693" i="8"/>
  <c r="I693" i="8"/>
  <c r="M693" i="8"/>
  <c r="F693" i="8"/>
  <c r="J693" i="8"/>
  <c r="N693" i="8"/>
  <c r="G693" i="8"/>
  <c r="K693" i="8"/>
  <c r="O693" i="8"/>
  <c r="D693" i="8"/>
  <c r="H693" i="8"/>
  <c r="L693" i="8"/>
  <c r="N618" i="8"/>
  <c r="I691" i="8"/>
  <c r="M691" i="8"/>
  <c r="G691" i="8"/>
  <c r="O691" i="8"/>
  <c r="N528" i="8"/>
  <c r="H694" i="8"/>
  <c r="L694" i="8"/>
  <c r="E694" i="8"/>
  <c r="M694" i="8"/>
  <c r="F694" i="8"/>
  <c r="J694" i="8"/>
  <c r="G694" i="8"/>
  <c r="K694" i="8"/>
  <c r="O694" i="8"/>
  <c r="F686" i="8"/>
  <c r="J686" i="8"/>
  <c r="N686" i="8"/>
  <c r="G686" i="8"/>
  <c r="K686" i="8"/>
  <c r="O686" i="8"/>
  <c r="D686" i="8"/>
  <c r="H686" i="8"/>
  <c r="L686" i="8"/>
  <c r="E686" i="8"/>
  <c r="I686" i="8"/>
  <c r="M686" i="8"/>
  <c r="Y57" i="7"/>
  <c r="Y83" i="7"/>
  <c r="H571" i="8"/>
  <c r="Y68" i="7"/>
  <c r="U59" i="7"/>
  <c r="G431" i="8"/>
  <c r="K431" i="8"/>
  <c r="O431" i="8"/>
  <c r="H431" i="8"/>
  <c r="M431" i="8"/>
  <c r="D431" i="8"/>
  <c r="I431" i="8"/>
  <c r="N431" i="8"/>
  <c r="E431" i="8"/>
  <c r="J431" i="8"/>
  <c r="F431" i="8"/>
  <c r="L431" i="8"/>
  <c r="U47" i="7"/>
  <c r="O423" i="8"/>
  <c r="H419" i="8"/>
  <c r="D415" i="8"/>
  <c r="H415" i="8"/>
  <c r="L415" i="8"/>
  <c r="E415" i="8"/>
  <c r="I415" i="8"/>
  <c r="M415" i="8"/>
  <c r="F415" i="8"/>
  <c r="J415" i="8"/>
  <c r="N415" i="8"/>
  <c r="G415" i="8"/>
  <c r="K415" i="8"/>
  <c r="O415" i="8"/>
  <c r="E469" i="8"/>
  <c r="I469" i="8"/>
  <c r="M469" i="8"/>
  <c r="G469" i="8"/>
  <c r="L469" i="8"/>
  <c r="H469" i="8"/>
  <c r="N469" i="8"/>
  <c r="D469" i="8"/>
  <c r="J469" i="8"/>
  <c r="O469" i="8"/>
  <c r="F469" i="8"/>
  <c r="K469" i="8"/>
  <c r="I465" i="8"/>
  <c r="F465" i="8"/>
  <c r="N465" i="8"/>
  <c r="K465" i="8"/>
  <c r="L465" i="8"/>
  <c r="O465" i="8"/>
  <c r="D461" i="8"/>
  <c r="L461" i="8"/>
  <c r="I461" i="8"/>
  <c r="F461" i="8"/>
  <c r="N461" i="8"/>
  <c r="K461" i="8"/>
  <c r="U77" i="7"/>
  <c r="W68" i="7"/>
  <c r="W59" i="7"/>
  <c r="S57" i="7"/>
  <c r="W54" i="7"/>
  <c r="D66" i="8"/>
  <c r="S49" i="7"/>
  <c r="W47" i="7"/>
  <c r="D67" i="8"/>
  <c r="D72" i="8"/>
  <c r="H72" i="8" s="1"/>
  <c r="Q73" i="7"/>
  <c r="W77" i="7"/>
  <c r="Y75" i="7"/>
  <c r="C27" i="7"/>
  <c r="H27" i="7"/>
  <c r="H69" i="7" s="1"/>
  <c r="P27" i="7"/>
  <c r="P69" i="7" s="1"/>
  <c r="Q26" i="7"/>
  <c r="J644" i="8"/>
  <c r="N644" i="8"/>
  <c r="E566" i="8"/>
  <c r="E598" i="8"/>
  <c r="I598" i="8"/>
  <c r="M598" i="8"/>
  <c r="F598" i="8"/>
  <c r="J598" i="8"/>
  <c r="N598" i="8"/>
  <c r="G598" i="8"/>
  <c r="K598" i="8"/>
  <c r="O598" i="8"/>
  <c r="D598" i="8"/>
  <c r="H598" i="8"/>
  <c r="L598" i="8"/>
  <c r="I614" i="8"/>
  <c r="D680" i="8"/>
  <c r="H680" i="8"/>
  <c r="L680" i="8"/>
  <c r="E680" i="8"/>
  <c r="I680" i="8"/>
  <c r="M680" i="8"/>
  <c r="F680" i="8"/>
  <c r="J680" i="8"/>
  <c r="N680" i="8"/>
  <c r="G680" i="8"/>
  <c r="K680" i="8"/>
  <c r="O680" i="8"/>
  <c r="D678" i="8"/>
  <c r="H678" i="8"/>
  <c r="L678" i="8"/>
  <c r="E678" i="8"/>
  <c r="I678" i="8"/>
  <c r="M678" i="8"/>
  <c r="F678" i="8"/>
  <c r="J678" i="8"/>
  <c r="N678" i="8"/>
  <c r="G678" i="8"/>
  <c r="K678" i="8"/>
  <c r="O678" i="8"/>
  <c r="M690" i="8"/>
  <c r="F611" i="8"/>
  <c r="N611" i="8"/>
  <c r="K611" i="8"/>
  <c r="D611" i="8"/>
  <c r="L611" i="8"/>
  <c r="I611" i="8"/>
  <c r="F530" i="8"/>
  <c r="J530" i="8"/>
  <c r="N530" i="8"/>
  <c r="G530" i="8"/>
  <c r="K530" i="8"/>
  <c r="O530" i="8"/>
  <c r="D530" i="8"/>
  <c r="H530" i="8"/>
  <c r="L530" i="8"/>
  <c r="E530" i="8"/>
  <c r="I530" i="8"/>
  <c r="M530" i="8"/>
  <c r="E534" i="8"/>
  <c r="I534" i="8"/>
  <c r="M534" i="8"/>
  <c r="J534" i="8"/>
  <c r="N534" i="8"/>
  <c r="G534" i="8"/>
  <c r="O534" i="8"/>
  <c r="D534" i="8"/>
  <c r="H534" i="8"/>
  <c r="D579" i="8"/>
  <c r="H579" i="8"/>
  <c r="L579" i="8"/>
  <c r="E579" i="8"/>
  <c r="I579" i="8"/>
  <c r="M579" i="8"/>
  <c r="J579" i="8"/>
  <c r="K579" i="8"/>
  <c r="F579" i="8"/>
  <c r="N579" i="8"/>
  <c r="G579" i="8"/>
  <c r="O579" i="8"/>
  <c r="G430" i="8"/>
  <c r="K430" i="8"/>
  <c r="O430" i="8"/>
  <c r="D430" i="8"/>
  <c r="I430" i="8"/>
  <c r="N430" i="8"/>
  <c r="E430" i="8"/>
  <c r="J430" i="8"/>
  <c r="F430" i="8"/>
  <c r="L430" i="8"/>
  <c r="H430" i="8"/>
  <c r="M430" i="8"/>
  <c r="N426" i="8"/>
  <c r="E468" i="8"/>
  <c r="M468" i="8"/>
  <c r="H468" i="8"/>
  <c r="N468" i="8"/>
  <c r="J468" i="8"/>
  <c r="O468" i="8"/>
  <c r="F468" i="8"/>
  <c r="G468" i="8"/>
  <c r="L468" i="8"/>
  <c r="F453" i="8"/>
  <c r="J453" i="8"/>
  <c r="N453" i="8"/>
  <c r="E453" i="8"/>
  <c r="K453" i="8"/>
  <c r="G453" i="8"/>
  <c r="L453" i="8"/>
  <c r="H453" i="8"/>
  <c r="M453" i="8"/>
  <c r="D453" i="8"/>
  <c r="I453" i="8"/>
  <c r="O453" i="8"/>
  <c r="N500" i="8"/>
  <c r="D498" i="8"/>
  <c r="H498" i="8"/>
  <c r="M496" i="8"/>
  <c r="H496" i="8"/>
  <c r="I494" i="8"/>
  <c r="G639" i="8"/>
  <c r="K639" i="8"/>
  <c r="O639" i="8"/>
  <c r="F639" i="8"/>
  <c r="L639" i="8"/>
  <c r="H639" i="8"/>
  <c r="M639" i="8"/>
  <c r="D639" i="8"/>
  <c r="I639" i="8"/>
  <c r="N639" i="8"/>
  <c r="E639" i="8"/>
  <c r="J639" i="8"/>
  <c r="I544" i="8"/>
  <c r="E617" i="8"/>
  <c r="I617" i="8"/>
  <c r="M617" i="8"/>
  <c r="F617" i="8"/>
  <c r="J617" i="8"/>
  <c r="N617" i="8"/>
  <c r="G617" i="8"/>
  <c r="K617" i="8"/>
  <c r="O617" i="8"/>
  <c r="D617" i="8"/>
  <c r="H617" i="8"/>
  <c r="L617" i="8"/>
  <c r="D74" i="8"/>
  <c r="H74" i="8" s="1"/>
  <c r="H28" i="9"/>
  <c r="E28" i="9"/>
  <c r="D89" i="11"/>
  <c r="D577" i="8"/>
  <c r="H577" i="8"/>
  <c r="L577" i="8"/>
  <c r="I577" i="8"/>
  <c r="M577" i="8"/>
  <c r="J577" i="8"/>
  <c r="K577" i="8"/>
  <c r="F577" i="8"/>
  <c r="N577" i="8"/>
  <c r="G577" i="8"/>
  <c r="E570" i="8"/>
  <c r="S80" i="7"/>
  <c r="G683" i="8"/>
  <c r="K683" i="8"/>
  <c r="D683" i="8"/>
  <c r="H683" i="8"/>
  <c r="L683" i="8"/>
  <c r="I683" i="8"/>
  <c r="M683" i="8"/>
  <c r="F683" i="8"/>
  <c r="N683" i="8"/>
  <c r="S61" i="7"/>
  <c r="O684" i="8"/>
  <c r="S77" i="7"/>
  <c r="G542" i="8"/>
  <c r="H542" i="8"/>
  <c r="L542" i="8"/>
  <c r="I542" i="8"/>
  <c r="M542" i="8"/>
  <c r="O572" i="8"/>
  <c r="D572" i="8"/>
  <c r="F609" i="8"/>
  <c r="J609" i="8"/>
  <c r="N609" i="8"/>
  <c r="K609" i="8"/>
  <c r="O609" i="8"/>
  <c r="D609" i="8"/>
  <c r="L609" i="8"/>
  <c r="E609" i="8"/>
  <c r="I609" i="8"/>
  <c r="K642" i="8"/>
  <c r="U61" i="7"/>
  <c r="U57" i="7"/>
  <c r="U49" i="7"/>
  <c r="K421" i="8"/>
  <c r="E421" i="8"/>
  <c r="L417" i="8"/>
  <c r="M417" i="8"/>
  <c r="K417" i="8"/>
  <c r="J467" i="8"/>
  <c r="N467" i="8"/>
  <c r="E467" i="8"/>
  <c r="G467" i="8"/>
  <c r="L467" i="8"/>
  <c r="H467" i="8"/>
  <c r="D467" i="8"/>
  <c r="I467" i="8"/>
  <c r="O467" i="8"/>
  <c r="U83" i="7"/>
  <c r="U75" i="7"/>
  <c r="W61" i="7"/>
  <c r="F502" i="8"/>
  <c r="D502" i="8"/>
  <c r="M536" i="8"/>
  <c r="J536" i="8"/>
  <c r="G536" i="8"/>
  <c r="H536" i="8"/>
  <c r="D64" i="8"/>
  <c r="H64" i="8" s="1"/>
  <c r="D61" i="8"/>
  <c r="D62" i="8"/>
  <c r="D75" i="8"/>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L253" i="8"/>
  <c r="L254" i="8"/>
  <c r="D2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M608" i="8" l="1"/>
  <c r="I608" i="8"/>
  <c r="N494" i="8"/>
  <c r="J500" i="8"/>
  <c r="L426" i="8"/>
  <c r="F426" i="8"/>
  <c r="J505" i="8"/>
  <c r="H566" i="8"/>
  <c r="O491" i="8"/>
  <c r="M581" i="8"/>
  <c r="K581" i="8"/>
  <c r="F581" i="8"/>
  <c r="G567" i="8"/>
  <c r="I500" i="8"/>
  <c r="F500" i="8"/>
  <c r="D426" i="8"/>
  <c r="I426" i="8"/>
  <c r="N566" i="8"/>
  <c r="G566" i="8"/>
  <c r="L581" i="8"/>
  <c r="I581" i="8"/>
  <c r="G581" i="8"/>
  <c r="C581" i="8" s="1"/>
  <c r="K494" i="8"/>
  <c r="K500" i="8"/>
  <c r="L500" i="8"/>
  <c r="K426" i="8"/>
  <c r="M646" i="8"/>
  <c r="M566" i="8"/>
  <c r="D423" i="8"/>
  <c r="H581" i="8"/>
  <c r="E581" i="8"/>
  <c r="K501" i="8"/>
  <c r="O462" i="8"/>
  <c r="H614" i="8"/>
  <c r="N614" i="8"/>
  <c r="H612" i="8"/>
  <c r="G612" i="8"/>
  <c r="M612" i="8"/>
  <c r="H690" i="8"/>
  <c r="G690" i="8"/>
  <c r="D690" i="8"/>
  <c r="I690" i="8"/>
  <c r="I540" i="8"/>
  <c r="O690" i="8"/>
  <c r="J690" i="8"/>
  <c r="E690" i="8"/>
  <c r="G615" i="8"/>
  <c r="N690" i="8"/>
  <c r="L690" i="8"/>
  <c r="K690" i="8"/>
  <c r="J615" i="8"/>
  <c r="K296" i="8"/>
  <c r="K288" i="8"/>
  <c r="E464" i="8"/>
  <c r="K537" i="8"/>
  <c r="N537" i="8"/>
  <c r="F537" i="8"/>
  <c r="L537" i="8"/>
  <c r="J462" i="8"/>
  <c r="G464" i="8"/>
  <c r="D464" i="8"/>
  <c r="N464" i="8"/>
  <c r="J288" i="8"/>
  <c r="G283" i="8"/>
  <c r="J290" i="8"/>
  <c r="J295" i="8" s="1"/>
  <c r="O536" i="8"/>
  <c r="E536" i="8"/>
  <c r="J618" i="8"/>
  <c r="G428" i="8"/>
  <c r="E612" i="8"/>
  <c r="J612" i="8"/>
  <c r="D537" i="8"/>
  <c r="I537" i="8"/>
  <c r="I462" i="8"/>
  <c r="O612" i="8"/>
  <c r="G462" i="8"/>
  <c r="D462" i="8"/>
  <c r="I428" i="8"/>
  <c r="H428" i="8"/>
  <c r="D428" i="8"/>
  <c r="E661" i="8"/>
  <c r="L661" i="8"/>
  <c r="D661" i="8"/>
  <c r="N661" i="8"/>
  <c r="H661" i="8"/>
  <c r="O661" i="8"/>
  <c r="F661" i="8"/>
  <c r="M661" i="8"/>
  <c r="G661" i="8"/>
  <c r="L536" i="8"/>
  <c r="D536" i="8"/>
  <c r="K536" i="8"/>
  <c r="N536" i="8"/>
  <c r="F536" i="8"/>
  <c r="M611" i="8"/>
  <c r="E611" i="8"/>
  <c r="H611" i="8"/>
  <c r="O611" i="8"/>
  <c r="G611" i="8"/>
  <c r="O461" i="8"/>
  <c r="G461" i="8"/>
  <c r="J461" i="8"/>
  <c r="M461" i="8"/>
  <c r="E461" i="8"/>
  <c r="G465" i="8"/>
  <c r="D465" i="8"/>
  <c r="H465" i="8"/>
  <c r="J465" i="8"/>
  <c r="M465" i="8"/>
  <c r="L615" i="8"/>
  <c r="D615" i="8"/>
  <c r="K615" i="8"/>
  <c r="N615" i="8"/>
  <c r="F615" i="8"/>
  <c r="I612" i="8"/>
  <c r="L612" i="8"/>
  <c r="D612" i="8"/>
  <c r="K612" i="8"/>
  <c r="N612" i="8"/>
  <c r="H537" i="8"/>
  <c r="O537" i="8"/>
  <c r="G537" i="8"/>
  <c r="J537" i="8"/>
  <c r="M537" i="8"/>
  <c r="M462" i="8"/>
  <c r="K462" i="8"/>
  <c r="N462" i="8"/>
  <c r="F462" i="8"/>
  <c r="E462" i="8"/>
  <c r="D413" i="8"/>
  <c r="K413" i="8"/>
  <c r="I293" i="8"/>
  <c r="H603" i="8"/>
  <c r="G459" i="8"/>
  <c r="L608" i="8"/>
  <c r="N572" i="8"/>
  <c r="H544" i="8"/>
  <c r="G498" i="8"/>
  <c r="M418" i="8"/>
  <c r="E644" i="8"/>
  <c r="H691" i="8"/>
  <c r="N691" i="8"/>
  <c r="E691" i="8"/>
  <c r="N458" i="8"/>
  <c r="I661" i="8"/>
  <c r="K661" i="8"/>
  <c r="H293" i="8"/>
  <c r="N19" i="8"/>
  <c r="G608" i="8"/>
  <c r="E498" i="8"/>
  <c r="D644" i="8"/>
  <c r="G603" i="8"/>
  <c r="D691" i="8"/>
  <c r="J691" i="8"/>
  <c r="K618" i="8"/>
  <c r="P352" i="8"/>
  <c r="J27" i="10"/>
  <c r="J52" i="10" s="1"/>
  <c r="C144" i="8"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C577" i="8" s="1"/>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G279" i="8"/>
  <c r="H279" i="8"/>
  <c r="H297" i="8"/>
  <c r="H298" i="8" s="1"/>
  <c r="D287" i="8"/>
  <c r="D288" i="8" s="1"/>
  <c r="P224" i="8"/>
  <c r="O293" i="8"/>
  <c r="O271" i="8"/>
  <c r="O297" i="8"/>
  <c r="O298" i="8" s="1"/>
  <c r="E292" i="8"/>
  <c r="E297" i="8" s="1"/>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J271" i="8"/>
  <c r="M294" i="8"/>
  <c r="N294" i="8"/>
  <c r="G294" i="8"/>
  <c r="N259" i="8"/>
  <c r="N284" i="8"/>
  <c r="J255" i="8"/>
  <c r="J280" i="8"/>
  <c r="L264" i="8"/>
  <c r="L289" i="8"/>
  <c r="L259" i="8"/>
  <c r="L284" i="8"/>
  <c r="I259" i="8"/>
  <c r="I284" i="8"/>
  <c r="M259" i="8"/>
  <c r="M284" i="8"/>
  <c r="N271" i="8"/>
  <c r="G289" i="8"/>
  <c r="H294" i="8"/>
  <c r="O259" i="8"/>
  <c r="O284" i="8"/>
  <c r="O255" i="8"/>
  <c r="O280" i="8"/>
  <c r="G255" i="8"/>
  <c r="G280" i="8"/>
  <c r="N264" i="8"/>
  <c r="N289" i="8"/>
  <c r="J259" i="8"/>
  <c r="J284" i="8"/>
  <c r="H259" i="8"/>
  <c r="H284" i="8"/>
  <c r="I255" i="8"/>
  <c r="I280" i="8"/>
  <c r="M255" i="8"/>
  <c r="M280" i="8"/>
  <c r="E264" i="8"/>
  <c r="E289"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I270" i="8"/>
  <c r="F270" i="8"/>
  <c r="L77" i="8"/>
  <c r="K77"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C609" i="8" s="1"/>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O251" i="8"/>
  <c r="J269" i="8"/>
  <c r="P230" i="8"/>
  <c r="J52" i="8" s="1"/>
  <c r="K269" i="8"/>
  <c r="K251" i="8"/>
  <c r="G251" i="8"/>
  <c r="N251" i="8"/>
  <c r="D269" i="8"/>
  <c r="N57" i="10"/>
  <c r="P59" i="10"/>
  <c r="R59" i="10"/>
  <c r="E69" i="7"/>
  <c r="D77" i="8"/>
  <c r="N70" i="9"/>
  <c r="D270" i="8"/>
  <c r="E257" i="8"/>
  <c r="D258" i="8"/>
  <c r="I263" i="8"/>
  <c r="G257" i="8"/>
  <c r="H258" i="8"/>
  <c r="E268" i="8"/>
  <c r="I268" i="8"/>
  <c r="D257" i="8"/>
  <c r="D268" i="8"/>
  <c r="I258" i="8"/>
  <c r="G70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E70" i="7"/>
  <c r="D753" i="8" s="1"/>
  <c r="D752" i="8"/>
  <c r="J70" i="7"/>
  <c r="I753" i="8" s="1"/>
  <c r="I752" i="8"/>
  <c r="K70" i="7"/>
  <c r="J753" i="8" s="1"/>
  <c r="J752" i="8"/>
  <c r="O70" i="7"/>
  <c r="N753" i="8" s="1"/>
  <c r="N752" i="8"/>
  <c r="G70" i="7"/>
  <c r="F753" i="8" s="1"/>
  <c r="F752" i="8"/>
  <c r="M70" i="7"/>
  <c r="L753" i="8" s="1"/>
  <c r="L752" i="8"/>
  <c r="F70" i="7"/>
  <c r="E753" i="8" s="1"/>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17" i="8"/>
  <c r="C594"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I529" i="8"/>
  <c r="D529" i="8"/>
  <c r="C65" i="11"/>
  <c r="C72" i="11" s="1"/>
  <c r="P246" i="8"/>
  <c r="S54" i="8" s="1"/>
  <c r="P204" i="8"/>
  <c r="Q54" i="8" s="1"/>
  <c r="P205" i="8"/>
  <c r="T54" i="8" s="1"/>
  <c r="P245" i="8"/>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9" i="8"/>
  <c r="C431" i="8"/>
  <c r="F613" i="8"/>
  <c r="J613" i="8"/>
  <c r="N613" i="8"/>
  <c r="G613" i="8"/>
  <c r="K613" i="8"/>
  <c r="O613" i="8"/>
  <c r="D613" i="8"/>
  <c r="H613" i="8"/>
  <c r="L613" i="8"/>
  <c r="E613" i="8"/>
  <c r="I613" i="8"/>
  <c r="M613" i="8"/>
  <c r="C693" i="8"/>
  <c r="C147" i="8"/>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96" i="8"/>
  <c r="H70" i="7"/>
  <c r="G753" i="8" s="1"/>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C453"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461" i="8" l="1"/>
  <c r="C611" i="8"/>
  <c r="C465" i="8"/>
  <c r="C690" i="8"/>
  <c r="C537" i="8"/>
  <c r="C462" i="8"/>
  <c r="M141" i="10"/>
  <c r="E147" i="8" s="1"/>
  <c r="S99" i="8" s="1"/>
  <c r="U99" i="8" s="1"/>
  <c r="J298" i="8"/>
  <c r="C612" i="8"/>
  <c r="C661" i="8"/>
  <c r="C615"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C90" i="11"/>
  <c r="F704" i="8"/>
  <c r="O554" i="8"/>
  <c r="G314" i="8"/>
  <c r="I554" i="8"/>
  <c r="I555" i="8" s="1"/>
  <c r="C557" i="8"/>
  <c r="N554" i="8"/>
  <c r="J554" i="8"/>
  <c r="J555" i="8" s="1"/>
  <c r="N314" i="8"/>
  <c r="K547" i="8"/>
  <c r="E547" i="8"/>
  <c r="L547" i="8"/>
  <c r="J547" i="8"/>
  <c r="H547" i="8"/>
  <c r="F547" i="8"/>
  <c r="M547" i="8"/>
  <c r="O547" i="8"/>
  <c r="Q74" i="8"/>
  <c r="Q99" i="8"/>
  <c r="K99"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F86" i="11"/>
  <c r="C230" i="8"/>
  <c r="E65" i="11"/>
  <c r="E72" i="11" s="1"/>
  <c r="F66" i="11"/>
  <c r="E18" i="10"/>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K525" i="8"/>
  <c r="O525" i="8"/>
  <c r="G525" i="8"/>
  <c r="I525" i="8"/>
  <c r="E525" i="8"/>
  <c r="L525" i="8"/>
  <c r="F525" i="8"/>
  <c r="M525" i="8"/>
  <c r="N525" i="8"/>
  <c r="J525" i="8"/>
  <c r="U69" i="7"/>
  <c r="D525" i="8"/>
  <c r="H52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F630" i="8"/>
  <c r="K340" i="8"/>
  <c r="L781" i="8"/>
  <c r="L782" i="8" s="1"/>
  <c r="E340" i="8"/>
  <c r="F781" i="8"/>
  <c r="F782" i="8" s="1"/>
  <c r="H340" i="8"/>
  <c r="I781" i="8"/>
  <c r="I782" i="8" s="1"/>
  <c r="J705" i="8"/>
  <c r="F340" i="8"/>
  <c r="G781" i="8"/>
  <c r="G782" i="8" s="1"/>
  <c r="G340" i="8"/>
  <c r="H781" i="8"/>
  <c r="H782" i="8" s="1"/>
  <c r="N340" i="8"/>
  <c r="O781" i="8"/>
  <c r="O782" i="8" s="1"/>
  <c r="E76" i="11"/>
  <c r="J480" i="8"/>
  <c r="E480" i="8"/>
  <c r="G480" i="8"/>
  <c r="I480" i="8"/>
  <c r="F480" i="8"/>
  <c r="K480" i="8"/>
  <c r="L480" i="8"/>
  <c r="D340" i="8"/>
  <c r="C784" i="8"/>
  <c r="P780" i="8"/>
  <c r="E675" i="8"/>
  <c r="N675" i="8"/>
  <c r="M675" i="8"/>
  <c r="K675" i="8"/>
  <c r="F675" i="8"/>
  <c r="I675" i="8"/>
  <c r="H675" i="8"/>
  <c r="L675" i="8"/>
  <c r="D675" i="8"/>
  <c r="E44" i="11"/>
  <c r="E51" i="11" s="1"/>
  <c r="F45" i="11"/>
  <c r="M52" i="10"/>
  <c r="E144" i="8" s="1"/>
  <c r="S96" i="8" s="1"/>
  <c r="U96" i="8" s="1"/>
  <c r="Y69" i="7"/>
  <c r="K600" i="8" s="1"/>
  <c r="D77" i="11"/>
  <c r="D78" i="11" s="1"/>
  <c r="C194" i="8"/>
  <c r="D74" i="11"/>
  <c r="D75" i="11" s="1"/>
  <c r="H86" i="11"/>
  <c r="H87" i="11" s="1"/>
  <c r="E73" i="11"/>
  <c r="G87" i="11"/>
  <c r="G66" i="11"/>
  <c r="F65" i="11"/>
  <c r="F72" i="11" s="1"/>
  <c r="H144" i="8"/>
  <c r="O52" i="10"/>
  <c r="G144" i="8" s="1"/>
  <c r="J96" i="8" s="1"/>
  <c r="E19" i="10"/>
  <c r="E98" i="11"/>
  <c r="I67" i="11"/>
  <c r="C121" i="11"/>
  <c r="G89" i="11"/>
  <c r="J88" i="11"/>
  <c r="I86" i="11"/>
  <c r="H46" i="11"/>
  <c r="O675" i="8" l="1"/>
  <c r="J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O480" i="8"/>
  <c r="M346" i="8" l="1"/>
  <c r="J345" i="8"/>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Q75" i="7"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U90" i="7"/>
  <c r="E470" i="8" s="1"/>
  <c r="S90" i="7"/>
  <c r="E695" i="8" s="1"/>
  <c r="Y90" i="7"/>
  <c r="N620" i="8" s="1"/>
  <c r="W90" i="7"/>
  <c r="M545" i="8" s="1"/>
  <c r="P90" i="7"/>
  <c r="Q88" i="7" l="1"/>
  <c r="Q89" i="7"/>
  <c r="Q87" i="7"/>
  <c r="Q81" i="7"/>
  <c r="Q85" i="7"/>
  <c r="Q86" i="7"/>
  <c r="Q83" i="7"/>
  <c r="Q84" i="7"/>
  <c r="Q74" i="7"/>
  <c r="Q82"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57" i="7" l="1"/>
  <c r="Q65" i="7"/>
  <c r="Q69" i="7"/>
  <c r="Q55" i="7"/>
  <c r="Q37" i="7"/>
  <c r="Q61" i="7"/>
  <c r="Q33" i="7"/>
  <c r="Q6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J668" i="8"/>
  <c r="J676" i="8" s="1"/>
  <c r="J699" i="8" s="1"/>
  <c r="N668" i="8"/>
  <c r="N676" i="8" s="1"/>
  <c r="N699" i="8" s="1"/>
  <c r="L668" i="8"/>
  <c r="L676" i="8" s="1"/>
  <c r="L699" i="8" s="1"/>
  <c r="G668" i="8"/>
  <c r="G676" i="8" s="1"/>
  <c r="G699" i="8" s="1"/>
  <c r="K668" i="8"/>
  <c r="K676" i="8" s="1"/>
  <c r="K699" i="8" s="1"/>
  <c r="O668" i="8"/>
  <c r="O676" i="8" s="1"/>
  <c r="O699" i="8" s="1"/>
  <c r="H668" i="8"/>
  <c r="E668" i="8"/>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E676" i="8"/>
  <c r="E699" i="8" s="1"/>
  <c r="H676" i="8"/>
  <c r="H699" i="8" s="1"/>
  <c r="F676" i="8"/>
  <c r="F699"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K706" i="8"/>
  <c r="C442" i="8"/>
  <c r="D450" i="8"/>
  <c r="M315" i="8"/>
  <c r="M551" i="8"/>
  <c r="M317" i="8"/>
  <c r="M706" i="8"/>
  <c r="I317" i="8"/>
  <c r="I315" i="8"/>
  <c r="I551" i="8"/>
  <c r="J706" i="8"/>
  <c r="E309" i="8"/>
  <c r="E307" i="8"/>
  <c r="E476" i="8"/>
  <c r="F317" i="8"/>
  <c r="F315" i="8"/>
  <c r="F551" i="8"/>
  <c r="I309" i="8"/>
  <c r="I476" i="8"/>
  <c r="I307"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O481" i="8" l="1"/>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J481" i="8"/>
  <c r="O556" i="8"/>
  <c r="N481" i="8"/>
  <c r="P78" i="8"/>
  <c r="K481" i="8"/>
  <c r="D701" i="8"/>
  <c r="D704" i="8" s="1"/>
  <c r="P699" i="8"/>
  <c r="D332" i="8"/>
  <c r="P332" i="8" s="1"/>
  <c r="D700" i="8"/>
  <c r="R333" i="8"/>
  <c r="S333" i="8" s="1"/>
  <c r="D334" i="8"/>
  <c r="P334" i="8" s="1"/>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O348" i="8"/>
  <c r="P348" i="8" s="1"/>
  <c r="P345" i="8"/>
  <c r="E625" i="8"/>
  <c r="D702" i="8"/>
  <c r="D705" i="8" s="1"/>
  <c r="M78" i="8"/>
  <c r="H82" i="8"/>
  <c r="D84" i="8"/>
  <c r="E700" i="8"/>
  <c r="C786" i="8"/>
  <c r="Q342" i="8"/>
  <c r="T342" i="8" s="1"/>
  <c r="P774" i="8" l="1"/>
  <c r="D706" i="8"/>
  <c r="F625" i="8"/>
  <c r="N308" i="8"/>
  <c r="G308" i="8"/>
  <c r="E83" i="8"/>
  <c r="D87" i="8"/>
  <c r="E82" i="8"/>
  <c r="H84" i="8"/>
  <c r="I308" i="8"/>
  <c r="L308" i="8"/>
  <c r="D477" i="8"/>
  <c r="D480" i="8" s="1"/>
  <c r="F308" i="8"/>
  <c r="T307" i="8"/>
  <c r="S82" i="8"/>
  <c r="E627" i="8"/>
  <c r="E630" i="8" s="1"/>
  <c r="E631" i="8" s="1"/>
  <c r="E308" i="8"/>
  <c r="M79" i="8"/>
  <c r="P82" i="8"/>
  <c r="J79" i="8"/>
  <c r="J308" i="8"/>
  <c r="D552" i="8"/>
  <c r="F700" i="8"/>
  <c r="K308" i="8"/>
  <c r="E702" i="8"/>
  <c r="E705" i="8" s="1"/>
  <c r="E706" i="8" s="1"/>
  <c r="E550" i="8"/>
  <c r="E475" i="8"/>
  <c r="D630" i="8"/>
  <c r="T309" i="8"/>
  <c r="S84" i="8" l="1"/>
  <c r="P84" i="8"/>
  <c r="F627" i="8"/>
  <c r="H87" i="8"/>
  <c r="G311" i="8"/>
  <c r="G312" i="8"/>
  <c r="G310" i="8"/>
  <c r="K311" i="8"/>
  <c r="K310" i="8"/>
  <c r="K312" i="8"/>
  <c r="E552" i="8"/>
  <c r="E555" i="8" s="1"/>
  <c r="E556" i="8" s="1"/>
  <c r="I310" i="8"/>
  <c r="I311" i="8"/>
  <c r="I312" i="8"/>
  <c r="F702" i="8"/>
  <c r="F705" i="8" s="1"/>
  <c r="F706" i="8" s="1"/>
  <c r="J82" i="8"/>
  <c r="D555" i="8"/>
  <c r="D481" i="8"/>
  <c r="G700" i="8"/>
  <c r="N312" i="8"/>
  <c r="N310" i="8"/>
  <c r="N311" i="8"/>
  <c r="F475" i="8"/>
  <c r="E310" i="8"/>
  <c r="E312" i="8"/>
  <c r="E311" i="8"/>
  <c r="E477" i="8"/>
  <c r="G625" i="8"/>
  <c r="J310" i="8"/>
  <c r="J312" i="8"/>
  <c r="J311" i="8"/>
  <c r="L312" i="8"/>
  <c r="L311" i="8"/>
  <c r="L310" i="8"/>
  <c r="D631" i="8"/>
  <c r="F550" i="8"/>
  <c r="M82" i="8"/>
  <c r="F310" i="8"/>
  <c r="F311" i="8"/>
  <c r="F312" i="8"/>
  <c r="J313" i="8" l="1"/>
  <c r="P87" i="8"/>
  <c r="H700" i="8"/>
  <c r="E313" i="8"/>
  <c r="S87" i="8"/>
  <c r="D556" i="8"/>
  <c r="N313" i="8"/>
  <c r="F552" i="8"/>
  <c r="F555" i="8" s="1"/>
  <c r="F556" i="8" s="1"/>
  <c r="L313" i="8"/>
  <c r="G702" i="8"/>
  <c r="G705" i="8" s="1"/>
  <c r="G706" i="8" s="1"/>
  <c r="J84" i="8"/>
  <c r="I313" i="8"/>
  <c r="G550" i="8"/>
  <c r="F313" i="8"/>
  <c r="F477" i="8"/>
  <c r="H625" i="8"/>
  <c r="G313" i="8"/>
  <c r="K313" i="8"/>
  <c r="G475" i="8"/>
  <c r="G627" i="8"/>
  <c r="G630" i="8" s="1"/>
  <c r="G631" i="8" s="1"/>
  <c r="P631" i="8" s="1"/>
  <c r="M84" i="8"/>
  <c r="M87" i="8" l="1"/>
  <c r="D308" i="8"/>
  <c r="G477" i="8"/>
  <c r="G552" i="8"/>
  <c r="G555" i="8" s="1"/>
  <c r="G556" i="8" s="1"/>
  <c r="I700" i="8"/>
  <c r="P630" i="8"/>
  <c r="J18" i="8" s="1"/>
  <c r="H475" i="8"/>
  <c r="H627" i="8"/>
  <c r="I625" i="8"/>
  <c r="H550" i="8"/>
  <c r="J87" i="8"/>
  <c r="H702" i="8"/>
  <c r="U87" i="8" l="1"/>
  <c r="G632" i="8"/>
  <c r="E632" i="8"/>
  <c r="F632" i="8"/>
  <c r="L632" i="8"/>
  <c r="I632" i="8"/>
  <c r="H632" i="8"/>
  <c r="M632" i="8"/>
  <c r="K632" i="8"/>
  <c r="J632" i="8"/>
  <c r="N632" i="8"/>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H477" i="8"/>
  <c r="H480" i="8" s="1"/>
  <c r="H481" i="8" s="1"/>
  <c r="H552" i="8"/>
  <c r="H555" i="8" s="1"/>
  <c r="H556" i="8" s="1"/>
  <c r="N375" i="8" l="1"/>
  <c r="N324" i="8"/>
  <c r="M375" i="8"/>
  <c r="M324" i="8"/>
  <c r="L375" i="8"/>
  <c r="L324" i="8"/>
  <c r="K375" i="8"/>
  <c r="K324" i="8"/>
  <c r="J375" i="8"/>
  <c r="J324" i="8"/>
  <c r="I375" i="8"/>
  <c r="I324" i="8"/>
  <c r="H375" i="8"/>
  <c r="H324" i="8"/>
  <c r="G375" i="8"/>
  <c r="G324" i="8"/>
  <c r="F707" i="8"/>
  <c r="L707" i="8"/>
  <c r="H707" i="8"/>
  <c r="K707" i="8"/>
  <c r="E707" i="8"/>
  <c r="D707" i="8"/>
  <c r="N707" i="8"/>
  <c r="G707" i="8"/>
  <c r="M707" i="8"/>
  <c r="J707" i="8"/>
  <c r="O707" i="8"/>
  <c r="I707" i="8"/>
  <c r="F375" i="8"/>
  <c r="F324" i="8"/>
  <c r="E375" i="8"/>
  <c r="E324" i="8"/>
  <c r="D375" i="8"/>
  <c r="D324" i="8"/>
  <c r="R88" i="8"/>
  <c r="R91" i="8"/>
  <c r="R71" i="8"/>
  <c r="L91" i="8"/>
  <c r="L88" i="8"/>
  <c r="L83" i="8"/>
  <c r="J702" i="8"/>
  <c r="D313" i="8"/>
  <c r="J627" i="8"/>
  <c r="J550" i="8"/>
  <c r="K625" i="8"/>
  <c r="I552" i="8"/>
  <c r="J475" i="8"/>
  <c r="K700" i="8"/>
  <c r="I477" i="8"/>
  <c r="O324" i="8"/>
  <c r="P632" i="8"/>
  <c r="O308" i="8"/>
  <c r="N329" i="8" l="1"/>
  <c r="N327" i="8"/>
  <c r="N326" i="8"/>
  <c r="N328" i="8"/>
  <c r="M328" i="8"/>
  <c r="M329" i="8"/>
  <c r="M326" i="8"/>
  <c r="M327" i="8"/>
  <c r="L328" i="8"/>
  <c r="L327" i="8"/>
  <c r="L326" i="8"/>
  <c r="L329" i="8"/>
  <c r="K329" i="8"/>
  <c r="K326" i="8"/>
  <c r="K328" i="8"/>
  <c r="K327" i="8"/>
  <c r="J327" i="8"/>
  <c r="J326" i="8"/>
  <c r="J328" i="8"/>
  <c r="J329" i="8"/>
  <c r="H359" i="8"/>
  <c r="H308" i="8"/>
  <c r="I328" i="8"/>
  <c r="I326" i="8"/>
  <c r="I329" i="8"/>
  <c r="I327" i="8"/>
  <c r="H329" i="8"/>
  <c r="H326" i="8"/>
  <c r="H328" i="8"/>
  <c r="H327" i="8"/>
  <c r="G327" i="8"/>
  <c r="G329" i="8"/>
  <c r="G328" i="8"/>
  <c r="G326" i="8"/>
  <c r="L65"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66" i="8"/>
  <c r="L62" i="8"/>
  <c r="L61" i="8"/>
  <c r="L64" i="8"/>
  <c r="L69" i="8"/>
  <c r="L67" i="8"/>
  <c r="L68" i="8"/>
  <c r="P375" i="8"/>
  <c r="Q375" i="8" s="1"/>
  <c r="T375" i="8" s="1"/>
  <c r="F326" i="8"/>
  <c r="F329" i="8"/>
  <c r="F328" i="8"/>
  <c r="F327" i="8"/>
  <c r="E326" i="8"/>
  <c r="E327" i="8"/>
  <c r="E328" i="8"/>
  <c r="E329" i="8"/>
  <c r="D327" i="8"/>
  <c r="D326" i="8"/>
  <c r="D329" i="8"/>
  <c r="D328" i="8"/>
  <c r="T59" i="8"/>
  <c r="O328" i="8"/>
  <c r="O326" i="8"/>
  <c r="O327" i="8"/>
  <c r="O329" i="8"/>
  <c r="P324" i="8"/>
  <c r="J477" i="8"/>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O312" i="8"/>
  <c r="O310" i="8"/>
  <c r="O311" i="8"/>
  <c r="L625" i="8"/>
  <c r="M330" i="8" l="1"/>
  <c r="N330" i="8"/>
  <c r="L330" i="8"/>
  <c r="K330" i="8"/>
  <c r="J330" i="8"/>
  <c r="H310" i="8"/>
  <c r="H311" i="8"/>
  <c r="H312" i="8"/>
  <c r="I330" i="8"/>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L702" i="8"/>
  <c r="P328" i="8"/>
  <c r="L475" i="8"/>
  <c r="M625" i="8"/>
  <c r="K552" i="8"/>
  <c r="K555" i="8" s="1"/>
  <c r="K556" i="8" s="1"/>
  <c r="O313" i="8"/>
  <c r="M700" i="8"/>
  <c r="L627" i="8"/>
  <c r="L550" i="8"/>
  <c r="O330" i="8"/>
  <c r="P327" i="8"/>
  <c r="C634" i="8"/>
  <c r="Q324" i="8"/>
  <c r="T324" i="8" s="1"/>
  <c r="M28" i="8" s="1"/>
  <c r="G18" i="11" s="1"/>
  <c r="H313" i="8" l="1"/>
  <c r="K339" i="8"/>
  <c r="M339" i="8"/>
  <c r="E339" i="8"/>
  <c r="D339" i="8"/>
  <c r="F339" i="8"/>
  <c r="O339" i="8"/>
  <c r="N339" i="8"/>
  <c r="L339" i="8"/>
  <c r="P338" i="8"/>
  <c r="H339" i="8"/>
  <c r="J339" i="8"/>
  <c r="P337" i="8"/>
  <c r="G339" i="8"/>
  <c r="P335" i="8"/>
  <c r="I339" i="8"/>
  <c r="P336" i="8"/>
  <c r="Q333" i="8"/>
  <c r="T333" i="8" s="1"/>
  <c r="M29" i="8" s="1"/>
  <c r="C709" i="8"/>
  <c r="P330" i="8"/>
  <c r="P556" i="8"/>
  <c r="P555" i="8" s="1"/>
  <c r="Q59" i="8"/>
  <c r="K72" i="8"/>
  <c r="K83" i="8"/>
  <c r="K71"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G19" i="11" l="1"/>
  <c r="K557" i="8"/>
  <c r="K316" i="8" s="1"/>
  <c r="J17" i="8"/>
  <c r="P339" i="8"/>
  <c r="M557" i="8"/>
  <c r="N557" i="8"/>
  <c r="I557" i="8"/>
  <c r="J557" i="8"/>
  <c r="L557" i="8"/>
  <c r="E557" i="8"/>
  <c r="D557" i="8"/>
  <c r="F557" i="8"/>
  <c r="G557" i="8"/>
  <c r="H557" i="8"/>
  <c r="O557" i="8"/>
  <c r="K367" i="8"/>
  <c r="O700" i="8"/>
  <c r="O625" i="8"/>
  <c r="M477" i="8"/>
  <c r="M480" i="8" s="1"/>
  <c r="M481" i="8" s="1"/>
  <c r="N475" i="8"/>
  <c r="N627" i="8"/>
  <c r="M552" i="8"/>
  <c r="N550" i="8"/>
  <c r="N702" i="8"/>
  <c r="P481" i="8" l="1"/>
  <c r="P480" i="8" s="1"/>
  <c r="M482" i="8" s="1"/>
  <c r="N367" i="8"/>
  <c r="N316" i="8"/>
  <c r="M367" i="8"/>
  <c r="M316" i="8"/>
  <c r="L367" i="8"/>
  <c r="L316" i="8"/>
  <c r="J367" i="8"/>
  <c r="J316" i="8"/>
  <c r="I367" i="8"/>
  <c r="I316" i="8"/>
  <c r="H316" i="8"/>
  <c r="H367" i="8"/>
  <c r="G316" i="8"/>
  <c r="G367" i="8"/>
  <c r="F367" i="8"/>
  <c r="F316" i="8"/>
  <c r="E367" i="8"/>
  <c r="E316" i="8"/>
  <c r="D367" i="8"/>
  <c r="D316" i="8"/>
  <c r="P557" i="8"/>
  <c r="K318" i="8"/>
  <c r="K319" i="8"/>
  <c r="K320" i="8"/>
  <c r="O367" i="8"/>
  <c r="O316" i="8"/>
  <c r="N552" i="8"/>
  <c r="N477" i="8"/>
  <c r="O550" i="8"/>
  <c r="O702" i="8"/>
  <c r="O627" i="8"/>
  <c r="O475" i="8"/>
  <c r="J16" i="8" l="1"/>
  <c r="J21" i="8" s="1"/>
  <c r="O482" i="8"/>
  <c r="O359" i="8" s="1"/>
  <c r="G482" i="8"/>
  <c r="G359" i="8" s="1"/>
  <c r="F482" i="8"/>
  <c r="F359" i="8" s="1"/>
  <c r="L482" i="8"/>
  <c r="L359" i="8" s="1"/>
  <c r="I482" i="8"/>
  <c r="I359" i="8" s="1"/>
  <c r="H482" i="8"/>
  <c r="E482" i="8"/>
  <c r="E359" i="8" s="1"/>
  <c r="J482" i="8"/>
  <c r="J359" i="8" s="1"/>
  <c r="D482" i="8"/>
  <c r="D359" i="8" s="1"/>
  <c r="N482" i="8"/>
  <c r="N359" i="8" s="1"/>
  <c r="K482" i="8"/>
  <c r="K359" i="8" s="1"/>
  <c r="M359" i="8"/>
  <c r="M308" i="8"/>
  <c r="N320" i="8"/>
  <c r="N318" i="8"/>
  <c r="N319" i="8"/>
  <c r="M320" i="8"/>
  <c r="M318" i="8"/>
  <c r="M319"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Q316" i="8"/>
  <c r="T316" i="8" s="1"/>
  <c r="M27" i="8" s="1"/>
  <c r="N77" i="8" s="1"/>
  <c r="O319" i="8"/>
  <c r="C558" i="8"/>
  <c r="O320" i="8"/>
  <c r="O318" i="8"/>
  <c r="K321" i="8"/>
  <c r="O552" i="8"/>
  <c r="O477" i="8"/>
  <c r="O77" i="8" l="1"/>
  <c r="N321" i="8"/>
  <c r="P359" i="8"/>
  <c r="Q359" i="8" s="1"/>
  <c r="T359" i="8" s="1"/>
  <c r="N26" i="8" s="1"/>
  <c r="M321" i="8"/>
  <c r="P482" i="8"/>
  <c r="M311" i="8"/>
  <c r="M312" i="8"/>
  <c r="P312" i="8" s="1"/>
  <c r="M310" i="8"/>
  <c r="P310" i="8" s="1"/>
  <c r="C483" i="8"/>
  <c r="P308" i="8"/>
  <c r="P319" i="8"/>
  <c r="L321" i="8"/>
  <c r="G321" i="8"/>
  <c r="I321" i="8"/>
  <c r="J321" i="8"/>
  <c r="H321" i="8"/>
  <c r="E321" i="8"/>
  <c r="F321" i="8"/>
  <c r="P320" i="8"/>
  <c r="P318" i="8"/>
  <c r="D321" i="8"/>
  <c r="G17" i="11"/>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N30" i="8" l="1"/>
  <c r="F50" i="8" s="1"/>
  <c r="G83" i="8" s="1"/>
  <c r="Y52" i="8" s="1"/>
  <c r="L59" i="8"/>
  <c r="L84" i="8"/>
  <c r="K26" i="8" s="1"/>
  <c r="L60" i="8"/>
  <c r="L87" i="8"/>
  <c r="L82" i="8"/>
  <c r="L79" i="8"/>
  <c r="J26" i="8" s="1"/>
  <c r="L78" i="8"/>
  <c r="C484" i="8"/>
  <c r="Q308" i="8"/>
  <c r="T308" i="8" s="1"/>
  <c r="M26" i="8" s="1"/>
  <c r="M313" i="8"/>
  <c r="P313" i="8" s="1"/>
  <c r="P311" i="8"/>
  <c r="P321" i="8"/>
  <c r="H27" i="8"/>
  <c r="O87" i="8"/>
  <c r="K27" i="8" s="1"/>
  <c r="O83" i="8"/>
  <c r="O59" i="8"/>
  <c r="O71" i="8"/>
  <c r="O79" i="8"/>
  <c r="J27" i="8" s="1"/>
  <c r="G27" i="8"/>
  <c r="G74" i="8" l="1"/>
  <c r="G65" i="8"/>
  <c r="G66" i="8"/>
  <c r="G72" i="8"/>
  <c r="G52" i="8"/>
  <c r="G59" i="8"/>
  <c r="G68" i="8"/>
  <c r="G67" i="8"/>
  <c r="G63" i="8"/>
  <c r="G78" i="8"/>
  <c r="G62" i="8"/>
  <c r="G84" i="8"/>
  <c r="G95" i="8"/>
  <c r="G79" i="8"/>
  <c r="G82" i="8"/>
  <c r="G54" i="8"/>
  <c r="G71" i="8"/>
  <c r="Y50" i="8" s="1"/>
  <c r="G75" i="8"/>
  <c r="G99" i="8"/>
  <c r="G91" i="8"/>
  <c r="G98" i="8"/>
  <c r="G69" i="8"/>
  <c r="G61" i="8"/>
  <c r="G100" i="8"/>
  <c r="G60" i="8"/>
  <c r="G64" i="8"/>
  <c r="G77" i="8"/>
  <c r="G87" i="8"/>
  <c r="G96" i="8"/>
  <c r="G97" i="8"/>
  <c r="G73" i="8"/>
  <c r="K82" i="8"/>
  <c r="K84" i="8"/>
  <c r="H26" i="8" s="1"/>
  <c r="K60" i="8"/>
  <c r="K59" i="8"/>
  <c r="K87" i="8"/>
  <c r="K78" i="8"/>
  <c r="K79" i="8"/>
  <c r="G26" i="8" s="1"/>
  <c r="G16" i="11"/>
  <c r="M30" i="8"/>
  <c r="C50" i="8" s="1"/>
  <c r="C18" i="8" s="1"/>
  <c r="E34" i="8" s="1"/>
  <c r="Y51" i="8" l="1"/>
  <c r="N39" i="8"/>
  <c r="F67" i="8"/>
  <c r="F84" i="8"/>
  <c r="F69" i="8"/>
  <c r="K39" i="8"/>
  <c r="F83" i="8"/>
  <c r="F66" i="8"/>
  <c r="M39" i="8"/>
  <c r="C39" i="8"/>
  <c r="F79" i="8"/>
  <c r="F82" i="8"/>
  <c r="F68" i="8"/>
  <c r="G30" i="8"/>
  <c r="F52" i="8"/>
  <c r="F72" i="8"/>
  <c r="F97" i="8"/>
  <c r="F39" i="8"/>
  <c r="F75" i="8"/>
  <c r="F96" i="8"/>
  <c r="E39" i="8"/>
  <c r="F61" i="8"/>
  <c r="F99" i="8"/>
  <c r="H39" i="8"/>
  <c r="F71" i="8"/>
  <c r="F98" i="8"/>
  <c r="H30" i="8"/>
  <c r="D50" i="8"/>
  <c r="G39" i="8"/>
  <c r="F59" i="8"/>
  <c r="F63" i="8"/>
  <c r="F77" i="8"/>
  <c r="F91" i="8"/>
  <c r="D89" i="8"/>
  <c r="G89" i="8" s="1"/>
  <c r="J39" i="8"/>
  <c r="F60" i="8"/>
  <c r="F62" i="8"/>
  <c r="F78" i="8"/>
  <c r="F95" i="8"/>
  <c r="D90" i="8"/>
  <c r="G90" i="8" s="1"/>
  <c r="I39" i="8"/>
  <c r="F54" i="8"/>
  <c r="F65" i="8"/>
  <c r="F74" i="8"/>
  <c r="D88" i="8"/>
  <c r="G88" i="8" s="1"/>
  <c r="F100" i="8"/>
  <c r="L39" i="8"/>
  <c r="D39" i="8"/>
  <c r="F64" i="8"/>
  <c r="F73" i="8"/>
  <c r="F87" i="8"/>
  <c r="J30" i="8"/>
  <c r="K30" i="8"/>
  <c r="C17" i="8"/>
  <c r="H34" i="8"/>
  <c r="C34" i="8"/>
  <c r="K34" i="8"/>
  <c r="J34" i="8"/>
  <c r="I34" i="8"/>
  <c r="L34" i="8"/>
  <c r="G34" i="8"/>
  <c r="N34" i="8"/>
  <c r="F34" i="8"/>
  <c r="M34" i="8"/>
  <c r="F88" i="8"/>
  <c r="G35" i="8"/>
  <c r="K35" i="8"/>
  <c r="C35" i="8"/>
  <c r="H35" i="8"/>
  <c r="E35" i="8"/>
  <c r="I35" i="8"/>
  <c r="M35" i="8"/>
  <c r="L35" i="8"/>
  <c r="F35" i="8"/>
  <c r="J35" i="8"/>
  <c r="N35" i="8"/>
  <c r="D35" i="8"/>
  <c r="M89" i="8"/>
  <c r="S89" i="8"/>
  <c r="J89" i="8"/>
  <c r="P89" i="8"/>
  <c r="J90" i="8"/>
  <c r="P90" i="8"/>
  <c r="S90" i="8"/>
  <c r="M90" i="8"/>
  <c r="N90" i="8" s="1"/>
  <c r="O90" i="8" s="1"/>
  <c r="F89" i="8" l="1"/>
  <c r="H89" i="8"/>
  <c r="F90" i="8"/>
  <c r="H90" i="8"/>
  <c r="H88" i="8"/>
  <c r="E41" i="8"/>
  <c r="O39" i="8"/>
  <c r="D92" i="8"/>
  <c r="I30" i="8" s="1"/>
  <c r="J41" i="8"/>
  <c r="L41" i="8"/>
  <c r="H41" i="8"/>
  <c r="I41" i="8"/>
  <c r="K41" i="8"/>
  <c r="F41" i="8"/>
  <c r="G41" i="8"/>
  <c r="N41" i="8"/>
  <c r="M41" i="8"/>
  <c r="P92" i="8"/>
  <c r="R92" i="8" s="1"/>
  <c r="L28" i="8" s="1"/>
  <c r="N89" i="8"/>
  <c r="O89" i="8" s="1"/>
  <c r="M92" i="8"/>
  <c r="J92" i="8"/>
  <c r="S92" i="8"/>
  <c r="R90" i="8"/>
  <c r="Q90" i="8"/>
  <c r="U89" i="8"/>
  <c r="T89" i="8"/>
  <c r="O35" i="8"/>
  <c r="L90" i="8"/>
  <c r="K90" i="8"/>
  <c r="U90" i="8"/>
  <c r="T90" i="8"/>
  <c r="R89" i="8"/>
  <c r="Q89" i="8"/>
  <c r="L89" i="8"/>
  <c r="K89" i="8"/>
  <c r="C41" i="8"/>
  <c r="G92" i="8" l="1"/>
  <c r="E88" i="8"/>
  <c r="E89" i="8"/>
  <c r="E87" i="8"/>
  <c r="L30" i="8"/>
  <c r="E91" i="8"/>
  <c r="E90" i="8"/>
  <c r="H92" i="8"/>
  <c r="F92" i="8"/>
  <c r="Q92" i="8"/>
  <c r="I28" i="8" s="1"/>
  <c r="N92" i="8"/>
  <c r="I27" i="8" s="1"/>
  <c r="O92" i="8"/>
  <c r="L27" i="8" s="1"/>
  <c r="U92" i="8"/>
  <c r="L29" i="8" s="1"/>
  <c r="T92" i="8"/>
  <c r="I29" i="8" s="1"/>
  <c r="L92" i="8"/>
  <c r="L26" i="8" s="1"/>
  <c r="K92" i="8"/>
  <c r="I26" i="8" s="1"/>
  <c r="C44" i="8"/>
  <c r="E238" i="8" l="1"/>
  <c r="E259" i="8" s="1"/>
  <c r="P34" i="9"/>
  <c r="P33" i="9" s="1"/>
  <c r="E33" i="9"/>
  <c r="E43" i="9"/>
  <c r="E70" i="9" s="1"/>
  <c r="P70" i="9" s="1"/>
  <c r="D34" i="8" l="1"/>
  <c r="P43" i="9"/>
  <c r="D53" i="8" s="1"/>
  <c r="P238" i="8"/>
  <c r="E261" i="8"/>
  <c r="E271" i="8" s="1"/>
  <c r="E286" i="8"/>
  <c r="E263" i="8"/>
  <c r="E273" i="8" s="1"/>
  <c r="E269" i="8"/>
  <c r="E284" i="8"/>
  <c r="E294" i="8"/>
  <c r="H53" i="8" l="1"/>
  <c r="G53" i="8"/>
  <c r="F53" i="8"/>
  <c r="D55" i="8"/>
  <c r="E53" i="8" s="1"/>
  <c r="E288" i="8"/>
  <c r="E296" i="8"/>
  <c r="E298" i="8" s="1"/>
  <c r="C232" i="8"/>
  <c r="C235" i="8" s="1"/>
  <c r="P53" i="8"/>
  <c r="P55" i="8" s="1"/>
  <c r="O34" i="8"/>
  <c r="D41" i="8"/>
  <c r="F55" i="8" l="1"/>
  <c r="G55" i="8"/>
  <c r="Y54" i="8" s="1"/>
  <c r="AB51" i="8" s="1"/>
  <c r="AB52" i="8" s="1"/>
  <c r="C16" i="8"/>
  <c r="H55" i="8"/>
  <c r="E52" i="8"/>
  <c r="O41" i="8"/>
  <c r="D44" i="8"/>
  <c r="E44" i="8" s="1"/>
  <c r="F44" i="8" s="1"/>
  <c r="G44" i="8" s="1"/>
  <c r="H44" i="8" s="1"/>
  <c r="I44" i="8" s="1"/>
  <c r="J44" i="8" s="1"/>
  <c r="K44" i="8" s="1"/>
  <c r="L44" i="8" s="1"/>
  <c r="M44" i="8" s="1"/>
  <c r="N44" i="8" s="1"/>
  <c r="O44" i="8" s="1"/>
  <c r="Z58" i="8" l="1"/>
  <c r="C28" i="8" s="1"/>
  <c r="Z57" i="8"/>
  <c r="C27" i="8" s="1"/>
  <c r="C29" i="8"/>
  <c r="C30" i="8"/>
  <c r="C19" i="8"/>
  <c r="C21" i="8" s="1"/>
</calcChain>
</file>

<file path=xl/comments1.xml><?xml version="1.0" encoding="utf-8"?>
<comments xmlns="http://schemas.openxmlformats.org/spreadsheetml/2006/main">
  <authors>
    <author>User</author>
  </authors>
  <commentList>
    <comment ref="I2" authorId="0" shapeId="0">
      <text>
        <r>
          <rPr>
            <sz val="9"/>
            <color indexed="81"/>
            <rFont val="Tahoma"/>
            <family val="2"/>
          </rPr>
          <t>Ano de apuração das receitas e custos</t>
        </r>
      </text>
    </comment>
    <comment ref="Q37" authorId="0" shapeId="0">
      <text>
        <r>
          <rPr>
            <sz val="9"/>
            <color indexed="81"/>
            <rFont val="Tahoma"/>
            <family val="2"/>
          </rPr>
          <t>Cotação do valor do animal, no mercado, obtida no mês de dezembro, do ano corrente (utilizado para fins de Patrimônio)</t>
        </r>
      </text>
    </comment>
    <comment ref="B38" authorId="0" shapeId="0">
      <text>
        <r>
          <rPr>
            <sz val="9"/>
            <color indexed="81"/>
            <rFont val="Tahoma"/>
            <family val="2"/>
          </rPr>
          <t>Bezerros e bezerras até a fase de desmama.</t>
        </r>
      </text>
    </comment>
    <comment ref="D38" authorId="0" shapeId="0">
      <text>
        <r>
          <rPr>
            <sz val="9"/>
            <color indexed="81"/>
            <rFont val="Tahoma"/>
            <family val="2"/>
          </rPr>
          <t>Quantidade de animais na categoria, no último dia do mês.</t>
        </r>
      </text>
    </comment>
    <comment ref="D39" authorId="0" shapeId="0">
      <text>
        <r>
          <rPr>
            <sz val="9"/>
            <color indexed="81"/>
            <rFont val="Tahoma"/>
            <family val="2"/>
          </rPr>
          <t>Peso médio dos animais em cada categoria, no último dia do mês.</t>
        </r>
      </text>
    </comment>
    <comment ref="B43" authorId="0" shapeId="0">
      <text>
        <r>
          <rPr>
            <sz val="9"/>
            <color indexed="81"/>
            <rFont val="Tahoma"/>
            <family val="2"/>
          </rPr>
          <t>Bezerros desmamados até antes da fase de terminação.</t>
        </r>
      </text>
    </comment>
    <comment ref="B48" authorId="0" shapeId="0">
      <text>
        <r>
          <rPr>
            <sz val="9"/>
            <color indexed="81"/>
            <rFont val="Tahoma"/>
            <family val="2"/>
          </rPr>
          <t>Animais que estão na fase de terminação para o abate ou para reposição de matrizes e reprodutores no rebanho.</t>
        </r>
      </text>
    </comment>
    <comment ref="B53" authorId="0" shapeId="0">
      <text>
        <r>
          <rPr>
            <sz val="9"/>
            <color indexed="81"/>
            <rFont val="Tahoma"/>
            <family val="2"/>
          </rPr>
          <t>Fêmeas (novilhas e matrizes) e Machos (Touros), utilizados com finsalidade de reprodução.</t>
        </r>
      </text>
    </comment>
    <comment ref="B58" authorId="0" shape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shapeId="0">
      <text>
        <r>
          <rPr>
            <sz val="9"/>
            <color indexed="81"/>
            <rFont val="Tahoma"/>
            <family val="2"/>
          </rPr>
          <t>Incluir o número de animais nascidos na propriedade, independentemente dos animais incluídos no inventário.</t>
        </r>
      </text>
    </comment>
    <comment ref="D66" authorId="0" shape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shapeId="0">
      <text>
        <r>
          <rPr>
            <sz val="9"/>
            <color indexed="81"/>
            <rFont val="Tahoma"/>
            <family val="2"/>
          </rPr>
          <t>Peso médio dos animais mortos no mês (Kg)</t>
        </r>
      </text>
    </comment>
    <comment ref="C70" authorId="0" shapeId="0">
      <text>
        <r>
          <rPr>
            <sz val="9"/>
            <color indexed="81"/>
            <rFont val="Tahoma"/>
            <family val="2"/>
          </rPr>
          <t>Peso médio dos animais mortos no mês (Kg)</t>
        </r>
      </text>
    </comment>
    <comment ref="C72" authorId="0" shapeId="0">
      <text>
        <r>
          <rPr>
            <sz val="9"/>
            <color indexed="81"/>
            <rFont val="Tahoma"/>
            <family val="2"/>
          </rPr>
          <t>Peso médio dos animais mortos no mês (Kg)</t>
        </r>
      </text>
    </comment>
    <comment ref="C74" authorId="0" shapeId="0">
      <text>
        <r>
          <rPr>
            <sz val="9"/>
            <color indexed="81"/>
            <rFont val="Tahoma"/>
            <family val="2"/>
          </rPr>
          <t>Peso médio dos animais mortos no mês (Kg)</t>
        </r>
      </text>
    </comment>
    <comment ref="C76" authorId="0" shape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shapeId="0">
      <text>
        <r>
          <rPr>
            <sz val="9"/>
            <color indexed="81"/>
            <rFont val="Tahoma"/>
            <family val="2"/>
          </rPr>
          <t>Incluir a quantidade e o preço médio obtido pela venda de animais vivos</t>
        </r>
      </text>
    </comment>
    <comment ref="B30" authorId="0" shapeId="0">
      <text>
        <r>
          <rPr>
            <sz val="9"/>
            <color indexed="81"/>
            <rFont val="Tahoma"/>
            <family val="2"/>
          </rPr>
          <t>Incluir o valor total obtido pela venda de animais para abate e o número de animais abatidos.</t>
        </r>
      </text>
    </comment>
    <comment ref="B45" authorId="0" shape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shapeId="0">
      <text>
        <r>
          <rPr>
            <sz val="9"/>
            <color indexed="81"/>
            <rFont val="Tahoma"/>
            <family val="2"/>
          </rPr>
          <t>Escolher o mês em que foi gerada a receita</t>
        </r>
      </text>
    </comment>
    <comment ref="E45" authorId="0" shapeId="0">
      <text>
        <r>
          <rPr>
            <sz val="9"/>
            <color indexed="81"/>
            <rFont val="Tahoma"/>
            <family val="2"/>
          </rPr>
          <t>Incluir o valor total da receita gerada</t>
        </r>
      </text>
    </comment>
    <comment ref="F45" authorId="0" shapeId="0">
      <text>
        <r>
          <rPr>
            <sz val="9"/>
            <color indexed="81"/>
            <rFont val="Tahoma"/>
            <family val="2"/>
          </rPr>
          <t>Incluir o número de animais a qual se refere a receita obtida.</t>
        </r>
      </text>
    </comment>
    <comment ref="G45" authorId="0" shapeId="0">
      <text>
        <r>
          <rPr>
            <sz val="9"/>
            <color indexed="81"/>
            <rFont val="Tahoma"/>
            <family val="2"/>
          </rPr>
          <t>Inserir o peso médio (em Kg) do(s) animal(is) que gerou(aram) receita</t>
        </r>
      </text>
    </comment>
    <comment ref="H45" authorId="0" shape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shape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shapeId="0">
      <text>
        <r>
          <rPr>
            <sz val="9"/>
            <color indexed="81"/>
            <rFont val="Tahoma"/>
            <family val="2"/>
          </rPr>
          <t>Taxa de juros utilizada para cálculo da depreciação e exaustão</t>
        </r>
      </text>
    </comment>
    <comment ref="B11" authorId="0" shapeId="0">
      <text>
        <r>
          <rPr>
            <sz val="9"/>
            <color indexed="81"/>
            <rFont val="Tahoma"/>
            <family val="2"/>
          </rPr>
          <t>A vida útil considerada é de 11 anos, sendo qur o Touro é considerado reprodutor, a partir dos 3 anos de idade</t>
        </r>
      </text>
    </comment>
    <comment ref="I11" authorId="0" shapeId="0">
      <text>
        <r>
          <rPr>
            <sz val="9"/>
            <color indexed="81"/>
            <rFont val="Tahoma"/>
            <family val="2"/>
          </rPr>
          <t>Valor obtido a partir do valor do animal caso fosse vendido para abate.</t>
        </r>
      </text>
    </comment>
    <comment ref="J11" authorId="0" shapeId="0">
      <text>
        <r>
          <rPr>
            <sz val="9"/>
            <color indexed="81"/>
            <rFont val="Tahoma"/>
            <family val="2"/>
          </rPr>
          <t>Valor obtido pelo método linear, em função da idade do animal.</t>
        </r>
      </text>
    </comment>
    <comment ref="P11" authorId="1" shapeId="0">
      <text>
        <r>
          <rPr>
            <sz val="9"/>
            <color indexed="81"/>
            <rFont val="Tahoma"/>
            <family val="2"/>
          </rPr>
          <t>Valor obtido com o abate do animal</t>
        </r>
      </text>
    </comment>
    <comment ref="T11" authorId="1" shapeId="0">
      <text>
        <r>
          <rPr>
            <sz val="9"/>
            <color indexed="81"/>
            <rFont val="Tahoma"/>
            <family val="2"/>
          </rPr>
          <t>Média ponderada durante o ano</t>
        </r>
      </text>
    </comment>
    <comment ref="M24" authorId="0" shapeId="0">
      <text>
        <r>
          <rPr>
            <sz val="9"/>
            <color indexed="81"/>
            <rFont val="Tahoma"/>
            <family val="2"/>
          </rPr>
          <t>A escolha da opção de rateio permitirá atribuir curstos, receitas e investimentos para  cada categoria. Deve ser a ssinalado uma das opções.</t>
        </r>
      </text>
    </comment>
    <comment ref="H26" authorId="0" shapeId="0">
      <text>
        <r>
          <rPr>
            <sz val="9"/>
            <color indexed="81"/>
            <rFont val="Tahoma"/>
            <family val="2"/>
          </rPr>
          <t>Valor gasto na formação da forrageira</t>
        </r>
      </text>
    </comment>
    <comment ref="I26" authorId="0" shapeId="0">
      <text>
        <r>
          <rPr>
            <sz val="9"/>
            <color indexed="81"/>
            <rFont val="Tahoma"/>
            <family val="2"/>
          </rPr>
          <t>Para forrageiras, o valor residual é zero. Trata-se de Exaustão.</t>
        </r>
      </text>
    </comment>
    <comment ref="J26" authorId="0" shapeId="0">
      <text>
        <r>
          <rPr>
            <sz val="9"/>
            <color indexed="81"/>
            <rFont val="Tahoma"/>
            <family val="2"/>
          </rPr>
          <t>Valor obtido pelo método linear, em função da tempo de formação da pastagem.</t>
        </r>
      </text>
    </comment>
    <comment ref="M26" authorId="0" shapeId="0">
      <text>
        <r>
          <rPr>
            <sz val="9"/>
            <color indexed="81"/>
            <rFont val="Tahoma"/>
            <family val="2"/>
          </rPr>
          <t>Valor correspondente a % de uso da forrageira para cada categoria. Pode ser utilizada a UA, como referência.</t>
        </r>
      </text>
    </comment>
    <comment ref="N26" authorId="0" shapeId="0">
      <text>
        <r>
          <rPr>
            <sz val="9"/>
            <color indexed="81"/>
            <rFont val="Tahoma"/>
            <family val="2"/>
          </rPr>
          <t>Valor referente à % do total, atribuído à cada categoria.</t>
        </r>
      </text>
    </comment>
    <comment ref="F55" authorId="0" shapeId="0">
      <text>
        <r>
          <rPr>
            <sz val="9"/>
            <color indexed="81"/>
            <rFont val="Tahoma"/>
            <family val="2"/>
          </rPr>
          <t>Valor gasto na aquisição do bem.</t>
        </r>
      </text>
    </comment>
    <comment ref="G55" authorId="0" shapeId="0">
      <text>
        <r>
          <rPr>
            <sz val="9"/>
            <color indexed="81"/>
            <rFont val="Tahoma"/>
            <family val="2"/>
          </rPr>
          <t>% atribuída a atividade de pecuária de corte</t>
        </r>
      </text>
    </comment>
    <comment ref="H55" authorId="0" shapeId="0">
      <text>
        <r>
          <rPr>
            <sz val="9"/>
            <color indexed="81"/>
            <rFont val="Tahoma"/>
            <family val="2"/>
          </rPr>
          <t xml:space="preserve">% do valor inicial que será atribuído, como valor final do bem. </t>
        </r>
      </text>
    </comment>
    <comment ref="I55" authorId="0" shapeId="0">
      <text>
        <r>
          <rPr>
            <sz val="9"/>
            <color indexed="81"/>
            <rFont val="Tahoma"/>
            <family val="2"/>
          </rPr>
          <t xml:space="preserve">Valor obtido com base na vida útil, % de rateio para a atividade, % de valor residual e ano de aquisição do bem . </t>
        </r>
      </text>
    </comment>
    <comment ref="J55" authorId="0" shapeId="0">
      <text>
        <r>
          <rPr>
            <sz val="9"/>
            <color indexed="81"/>
            <rFont val="Tahoma"/>
            <family val="2"/>
          </rPr>
          <t>Valor obtido pelo método linear, em finção da idade do bem.</t>
        </r>
      </text>
    </comment>
    <comment ref="M55" authorId="0" shape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shapeId="0">
      <text>
        <r>
          <rPr>
            <sz val="9"/>
            <color indexed="81"/>
            <rFont val="Tahoma"/>
            <family val="2"/>
          </rPr>
          <t>Valor referente à % do total, atribuído à cada categoria.</t>
        </r>
      </text>
    </comment>
    <comment ref="F86" authorId="0" shapeId="0">
      <text>
        <r>
          <rPr>
            <sz val="9"/>
            <color indexed="81"/>
            <rFont val="Tahoma"/>
            <family val="2"/>
          </rPr>
          <t>Valor gasto na aquisição do bem.</t>
        </r>
      </text>
    </comment>
    <comment ref="G86" authorId="0" shapeId="0">
      <text>
        <r>
          <rPr>
            <sz val="9"/>
            <color indexed="81"/>
            <rFont val="Tahoma"/>
            <family val="2"/>
          </rPr>
          <t>% atribuída a atividade de pecuária de corte</t>
        </r>
      </text>
    </comment>
    <comment ref="H86" authorId="0" shapeId="0">
      <text>
        <r>
          <rPr>
            <sz val="9"/>
            <color indexed="81"/>
            <rFont val="Tahoma"/>
            <family val="2"/>
          </rPr>
          <t xml:space="preserve">% do valor inicial que será atribuído, como valor final do bem. </t>
        </r>
      </text>
    </comment>
    <comment ref="I86" authorId="0" shapeId="0">
      <text>
        <r>
          <rPr>
            <sz val="9"/>
            <color indexed="81"/>
            <rFont val="Tahoma"/>
            <family val="2"/>
          </rPr>
          <t xml:space="preserve">Valor obtido com base na vida útil, % de rateio para a atividade, % de valor residual e ano de aquisição do bem . </t>
        </r>
      </text>
    </comment>
    <comment ref="J86" authorId="0" shapeId="0">
      <text>
        <r>
          <rPr>
            <sz val="9"/>
            <color indexed="81"/>
            <rFont val="Tahoma"/>
            <family val="2"/>
          </rPr>
          <t>Valor obtido pelo método linear, em finção da idade do bem.</t>
        </r>
      </text>
    </comment>
    <comment ref="M86" authorId="0" shapeId="0">
      <text>
        <r>
          <rPr>
            <sz val="9"/>
            <color indexed="81"/>
            <rFont val="Tahoma"/>
            <family val="2"/>
          </rPr>
          <t>Valor correspondente a % de uso ddo bem para cada categoria. Pode ser utilizada a UA, como referência.</t>
        </r>
      </text>
    </comment>
    <comment ref="N86" authorId="0" shapeId="0">
      <text>
        <r>
          <rPr>
            <sz val="9"/>
            <color indexed="81"/>
            <rFont val="Tahoma"/>
            <family val="2"/>
          </rPr>
          <t xml:space="preserve">
Valor referente à % do total, atribuído à cada categoria.</t>
        </r>
      </text>
    </comment>
    <comment ref="F115" authorId="0" shapeId="0">
      <text>
        <r>
          <rPr>
            <sz val="9"/>
            <color indexed="81"/>
            <rFont val="Tahoma"/>
            <family val="2"/>
          </rPr>
          <t>Valor gasto na aquisição do bem.</t>
        </r>
      </text>
    </comment>
    <comment ref="G115" authorId="0" shapeId="0">
      <text>
        <r>
          <rPr>
            <sz val="9"/>
            <color indexed="81"/>
            <rFont val="Tahoma"/>
            <family val="2"/>
          </rPr>
          <t>% atribuída a atividade de pecuária de corte</t>
        </r>
      </text>
    </comment>
    <comment ref="H115" authorId="0" shapeId="0">
      <text>
        <r>
          <rPr>
            <sz val="9"/>
            <color indexed="81"/>
            <rFont val="Tahoma"/>
            <family val="2"/>
          </rPr>
          <t xml:space="preserve">% do valor inicial que será atribuído, como valor final do bem. </t>
        </r>
      </text>
    </comment>
    <comment ref="I115" authorId="0" shapeId="0">
      <text>
        <r>
          <rPr>
            <sz val="9"/>
            <color indexed="81"/>
            <rFont val="Tahoma"/>
            <family val="2"/>
          </rPr>
          <t xml:space="preserve">Valor obtido com base na vida útil, % de rateio para a atividade, % de valor residual e ano de aquisição do bem . </t>
        </r>
      </text>
    </comment>
    <comment ref="J115" authorId="0" shapeId="0">
      <text>
        <r>
          <rPr>
            <sz val="9"/>
            <color indexed="81"/>
            <rFont val="Tahoma"/>
            <family val="2"/>
          </rPr>
          <t>Valor obtido pelo método linear, em finção da idade do bem.</t>
        </r>
      </text>
    </comment>
    <comment ref="M115" authorId="0" shapeId="0">
      <text>
        <r>
          <rPr>
            <sz val="9"/>
            <color indexed="81"/>
            <rFont val="Tahoma"/>
            <family val="2"/>
          </rPr>
          <t>Valor correspondente a % de uso ddo bem para cada categoria. Pode ser utilizada a UA, como referência.</t>
        </r>
      </text>
    </comment>
    <comment ref="N115" authorId="0" shapeId="0">
      <text>
        <r>
          <rPr>
            <sz val="9"/>
            <color indexed="81"/>
            <rFont val="Tahoma"/>
            <family val="2"/>
          </rPr>
          <t xml:space="preserve">
Valor referente à % do total, atribuído à cada categoria.</t>
        </r>
      </text>
    </comment>
    <comment ref="F144" authorId="0" shapeId="0">
      <text>
        <r>
          <rPr>
            <sz val="9"/>
            <color indexed="81"/>
            <rFont val="Tahoma"/>
            <family val="2"/>
          </rPr>
          <t>Valor gasto na aquisição do bem.</t>
        </r>
      </text>
    </comment>
    <comment ref="G144" authorId="0" shapeId="0">
      <text>
        <r>
          <rPr>
            <sz val="9"/>
            <color indexed="81"/>
            <rFont val="Tahoma"/>
            <family val="2"/>
          </rPr>
          <t>% atribuída a atividade de pecuária de corte</t>
        </r>
      </text>
    </comment>
    <comment ref="H144" authorId="0" shapeId="0">
      <text>
        <r>
          <rPr>
            <sz val="9"/>
            <color indexed="81"/>
            <rFont val="Tahoma"/>
            <family val="2"/>
          </rPr>
          <t xml:space="preserve">% do valor inicial que será atribuído, como valor final do bem. </t>
        </r>
      </text>
    </comment>
    <comment ref="I144" authorId="0" shapeId="0">
      <text>
        <r>
          <rPr>
            <sz val="9"/>
            <color indexed="81"/>
            <rFont val="Tahoma"/>
            <family val="2"/>
          </rPr>
          <t xml:space="preserve">Valor obtido com base na vida útil, % de rateio para a atividade, % de valor residual e ano de aquisição do bem . </t>
        </r>
      </text>
    </comment>
    <comment ref="J144" authorId="0" shapeId="0">
      <text>
        <r>
          <rPr>
            <sz val="9"/>
            <color indexed="81"/>
            <rFont val="Tahoma"/>
            <family val="2"/>
          </rPr>
          <t>Valor obtido pelo método linear, em finção da idade do bem.</t>
        </r>
      </text>
    </comment>
    <comment ref="M144" authorId="0" shapeId="0">
      <text>
        <r>
          <rPr>
            <sz val="9"/>
            <color indexed="81"/>
            <rFont val="Tahoma"/>
            <family val="2"/>
          </rPr>
          <t>Valor correspondente a % de uso ddo bem para cada categoria. Pode ser utilizada a UA, como referência.</t>
        </r>
      </text>
    </comment>
    <comment ref="N144" authorId="0" shape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shape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shapeId="0">
      <text>
        <r>
          <rPr>
            <sz val="9"/>
            <color indexed="81"/>
            <rFont val="Tahoma"/>
            <family val="2"/>
          </rPr>
          <t>incluir o valor de aquisição médio por animal no mês corrente.</t>
        </r>
      </text>
    </comment>
    <comment ref="E13" authorId="0" shapeId="0">
      <text>
        <r>
          <rPr>
            <sz val="9"/>
            <color indexed="81"/>
            <rFont val="Tahoma"/>
            <family val="2"/>
          </rPr>
          <t xml:space="preserve">
incluir o valor de aquisição médio por animal no mês corrente.</t>
        </r>
      </text>
    </comment>
    <comment ref="E17" authorId="0" shapeId="0">
      <text>
        <r>
          <rPr>
            <sz val="9"/>
            <color indexed="81"/>
            <rFont val="Tahoma"/>
            <family val="2"/>
          </rPr>
          <t xml:space="preserve">
incluir o valor de aquisição médio por animal no mês corrente.</t>
        </r>
      </text>
    </comment>
    <comment ref="E21" authorId="0" shapeId="0">
      <text>
        <r>
          <rPr>
            <sz val="9"/>
            <color indexed="81"/>
            <rFont val="Tahoma"/>
            <family val="2"/>
          </rPr>
          <t xml:space="preserve">
incluir o valor de aquisição médio por animal no mês corrente.</t>
        </r>
      </text>
    </comment>
    <comment ref="E25" authorId="0" shapeId="0">
      <text>
        <r>
          <rPr>
            <sz val="9"/>
            <color indexed="81"/>
            <rFont val="Tahoma"/>
            <family val="2"/>
          </rPr>
          <t xml:space="preserve">
incluir o valor de aquisição médio por animal no mês corrente.</t>
        </r>
      </text>
    </comment>
    <comment ref="S29" authorId="0" shapeId="0">
      <text>
        <r>
          <rPr>
            <sz val="11"/>
            <color indexed="81"/>
            <rFont val="Tahoma"/>
            <family val="2"/>
          </rPr>
          <t>Opção de rateio assinalada na planinha INVESTIMENTOS.</t>
        </r>
      </text>
    </comment>
    <comment ref="E30" authorId="0" shapeId="0">
      <text>
        <r>
          <rPr>
            <sz val="9"/>
            <color indexed="81"/>
            <rFont val="Tahoma"/>
            <family val="2"/>
          </rPr>
          <t xml:space="preserve">
incluir o  somatória dos valores de custo de cada ítem,  no mês corrente.</t>
        </r>
      </text>
    </comment>
    <comment ref="Q31" authorId="0" shapeId="0">
      <text>
        <r>
          <rPr>
            <sz val="9"/>
            <color indexed="81"/>
            <rFont val="Tahoma"/>
            <family val="2"/>
          </rPr>
          <t xml:space="preserve">
% dos valores gastos em Custos Variáveis relativo a cada ítem</t>
        </r>
      </text>
    </comment>
    <comment ref="S31" authorId="0" shapeId="0">
      <text>
        <r>
          <rPr>
            <sz val="9"/>
            <color indexed="81"/>
            <rFont val="Tahoma"/>
            <family val="2"/>
          </rPr>
          <t>% dos valores gastos em cada categoria</t>
        </r>
      </text>
    </comment>
    <comment ref="T31" authorId="0" shapeId="0">
      <text>
        <r>
          <rPr>
            <sz val="9"/>
            <color indexed="81"/>
            <rFont val="Tahoma"/>
            <family val="2"/>
          </rPr>
          <t xml:space="preserve">
incluir o  somatória dos valores de custo de cada ítem,  no mês corrente relativo a cada categoria.</t>
        </r>
      </text>
    </comment>
    <comment ref="B69" authorId="0" shapeId="0">
      <text>
        <r>
          <rPr>
            <sz val="12"/>
            <color indexed="81"/>
            <rFont val="Tahoma"/>
            <family val="2"/>
          </rPr>
          <t>Os reprodutores são Investimento e não estão incluídos neste ítem.</t>
        </r>
      </text>
    </comment>
    <comment ref="Q73" authorId="0" shape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shapeId="0">
      <text>
        <r>
          <rPr>
            <sz val="9"/>
            <color indexed="81"/>
            <rFont val="Tahoma"/>
            <family val="2"/>
          </rPr>
          <t xml:space="preserve">
Referente aos animais que geraram receita.</t>
        </r>
      </text>
    </comment>
    <comment ref="N16" authorId="0" shapeId="0">
      <text>
        <r>
          <rPr>
            <sz val="12"/>
            <color indexed="81"/>
            <rFont val="Tahoma"/>
            <family val="2"/>
          </rPr>
          <t>Cotação Animais em dezembro</t>
        </r>
      </text>
    </comment>
    <comment ref="B17" authorId="0" shapeId="0">
      <text>
        <r>
          <rPr>
            <sz val="9"/>
            <color indexed="81"/>
            <rFont val="Tahoma"/>
            <family val="2"/>
          </rPr>
          <t>Custo obtido para os animais que geraram receita</t>
        </r>
      </text>
    </comment>
    <comment ref="N17" authorId="0" shapeId="0">
      <text>
        <r>
          <rPr>
            <sz val="12"/>
            <color indexed="81"/>
            <rFont val="Tahoma"/>
            <family val="2"/>
          </rPr>
          <t>ÁREA TOTAL DA PROPRIEDADE</t>
        </r>
      </text>
    </comment>
    <comment ref="B18" authorId="0" shapeId="0">
      <text>
        <r>
          <rPr>
            <sz val="9"/>
            <color indexed="81"/>
            <rFont val="Tahoma"/>
            <family val="2"/>
          </rPr>
          <t>Valor obtido para os animais que geraram receita</t>
        </r>
      </text>
    </comment>
    <comment ref="N18" authorId="0" shapeId="0">
      <text>
        <r>
          <rPr>
            <sz val="12"/>
            <color indexed="81"/>
            <rFont val="Tahoma"/>
            <family val="2"/>
          </rPr>
          <t>soma dos valores atuais em Investimento</t>
        </r>
      </text>
    </comment>
    <comment ref="B20" authorId="0" shapeId="0">
      <text>
        <r>
          <rPr>
            <sz val="9"/>
            <color indexed="81"/>
            <rFont val="Tahoma"/>
            <family val="2"/>
          </rPr>
          <t>Inclui o valor total dos juros referente à financiamento contratado para a atividade pecuária</t>
        </r>
      </text>
    </comment>
    <comment ref="B27" authorId="1" shapeId="0">
      <text>
        <r>
          <rPr>
            <sz val="9"/>
            <color indexed="81"/>
            <rFont val="Tahoma"/>
            <family val="2"/>
          </rPr>
          <t>Valor referente  relação entre os custos fixos e o complementar da relação entre custos variáveis e receita bruta.  Inclui o custo operacioinal.</t>
        </r>
      </text>
    </comment>
    <comment ref="B28" authorId="1" shapeId="0">
      <text>
        <r>
          <rPr>
            <sz val="9"/>
            <color indexed="81"/>
            <rFont val="Tahoma"/>
            <family val="2"/>
          </rPr>
          <t>Valor referente  relação entre os custos fixos e o complementar da relação entre custos variáveis e receita bruta.Inclui depreciação  e custo operacional.</t>
        </r>
      </text>
    </comment>
    <comment ref="B29" authorId="1" shapeId="0">
      <text>
        <r>
          <rPr>
            <sz val="9"/>
            <color indexed="81"/>
            <rFont val="Tahoma"/>
            <family val="2"/>
          </rPr>
          <t>Relação entre Lucro Operacional  e Patrimonio (Animais + Benfeitorias e Maquinários)</t>
        </r>
      </text>
    </comment>
    <comment ref="B30" authorId="1" shapeId="0">
      <text>
        <r>
          <rPr>
            <sz val="9"/>
            <color indexed="81"/>
            <rFont val="Tahoma"/>
            <family val="2"/>
          </rPr>
          <t>Relação entre Lucro Operacional  e Patrimonio (Animais + Benfeitorias e Maquinários + Terras)</t>
        </r>
      </text>
    </comment>
    <comment ref="M30" authorId="0" shapeId="0">
      <text>
        <r>
          <rPr>
            <sz val="9"/>
            <color indexed="81"/>
            <rFont val="Tahoma"/>
            <family val="2"/>
          </rPr>
          <t>Média obtida em função das as opções de rateio e distribuição do número de animais durante o ano.</t>
        </r>
      </text>
    </comment>
    <comment ref="B33" authorId="0" shapeId="0">
      <text>
        <r>
          <rPr>
            <sz val="9"/>
            <color indexed="81"/>
            <rFont val="Tahoma"/>
            <family val="2"/>
          </rPr>
          <t>Valores referentes a todos os animais do rebanho.</t>
        </r>
      </text>
    </comment>
    <comment ref="B77" authorId="0" shapeId="0">
      <text>
        <r>
          <rPr>
            <sz val="10"/>
            <color indexed="81"/>
            <rFont val="Tahoma"/>
            <family val="2"/>
          </rPr>
          <t>Aquisição de animais com exceção dos Reprodutores, que compõem o investimento.</t>
        </r>
      </text>
    </comment>
    <comment ref="J77" authorId="0" shapeId="0">
      <text>
        <r>
          <rPr>
            <sz val="9"/>
            <color indexed="81"/>
            <rFont val="Tahoma"/>
            <family val="2"/>
          </rPr>
          <t>São consideradas compras de bezerros e bezerras.</t>
        </r>
      </text>
    </comment>
    <comment ref="M77" authorId="0" shapeId="0">
      <text>
        <r>
          <rPr>
            <sz val="9"/>
            <color indexed="81"/>
            <rFont val="Tahoma"/>
            <family val="2"/>
          </rPr>
          <t>São consideradas compras de bezerros e bezerras desmamadas.</t>
        </r>
      </text>
    </comment>
    <comment ref="P77" authorId="0" shapeId="0">
      <text>
        <r>
          <rPr>
            <sz val="9"/>
            <color indexed="81"/>
            <rFont val="Tahoma"/>
            <family val="2"/>
          </rPr>
          <t>São consideradas compras de animais para terminação</t>
        </r>
      </text>
    </comment>
    <comment ref="S77" authorId="0" shapeId="0">
      <text>
        <r>
          <rPr>
            <sz val="9"/>
            <color indexed="81"/>
            <rFont val="Tahoma"/>
            <family val="2"/>
          </rPr>
          <t>São incluídas apenas as Matrizes</t>
        </r>
      </text>
    </comment>
    <comment ref="C88" authorId="0" shapeId="0">
      <text>
        <r>
          <rPr>
            <sz val="9"/>
            <color indexed="81"/>
            <rFont val="Tahoma"/>
            <family val="2"/>
          </rPr>
          <t>Remuneração do capital em animais,  partir dos valores informados em dezembro do ano corrente.</t>
        </r>
      </text>
    </comment>
    <comment ref="C95" authorId="0" shape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shape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shape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shape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shapeId="0">
      <text>
        <r>
          <rPr>
            <sz val="9"/>
            <color indexed="81"/>
            <rFont val="Tahoma"/>
            <family val="2"/>
          </rPr>
          <t>Obtida pela divisão da somatória do número de animais mortos pelo numero médio de animais em cada categoria</t>
        </r>
      </text>
    </comment>
    <comment ref="B20" authorId="0" shapeId="0">
      <text>
        <r>
          <rPr>
            <sz val="9"/>
            <color indexed="81"/>
            <rFont val="Tahoma"/>
            <family val="2"/>
          </rPr>
          <t>Obtida pela divisão do número médio de Matrizes pelo número médio de Reprodutores</t>
        </r>
      </text>
    </comment>
    <comment ref="B21" authorId="0" shapeId="0">
      <text>
        <r>
          <rPr>
            <sz val="9"/>
            <color indexed="81"/>
            <rFont val="Tahoma"/>
            <family val="2"/>
          </rPr>
          <t>Obtido pelo saldo de animais entre as fases de Cria e Recria</t>
        </r>
      </text>
    </comment>
    <comment ref="B22" authorId="0" shapeId="0">
      <text>
        <r>
          <rPr>
            <sz val="9"/>
            <color indexed="81"/>
            <rFont val="Tahoma"/>
            <family val="2"/>
          </rPr>
          <t xml:space="preserve">Obtida pela divisão do número de animais desmamados pelo número médio de matrizes </t>
        </r>
      </text>
    </comment>
    <comment ref="B23" authorId="0" shapeId="0">
      <text>
        <r>
          <rPr>
            <sz val="9"/>
            <color indexed="81"/>
            <rFont val="Tahoma"/>
            <family val="2"/>
          </rPr>
          <t>Obtida pela divisão do total de kg de animais desmamados pelo número médio de matrizes e reprodutores</t>
        </r>
      </text>
    </comment>
    <comment ref="B24" authorId="0" shapeId="0">
      <text>
        <r>
          <rPr>
            <sz val="9"/>
            <color indexed="81"/>
            <rFont val="Tahoma"/>
            <family val="2"/>
          </rPr>
          <t>Quantidade em Kg de carne de animais vendidos vivos e para abate, sobre o Valor máximo de kg carne produzida no ano (considerando os animais que saíram da categoria)</t>
        </r>
      </text>
    </comment>
    <comment ref="B33" authorId="0" shapeId="0">
      <text>
        <r>
          <rPr>
            <sz val="9"/>
            <color indexed="81"/>
            <rFont val="Tahoma"/>
            <family val="2"/>
          </rPr>
          <t>área destinada ao pasto</t>
        </r>
      </text>
    </comment>
  </commentList>
</comments>
</file>

<file path=xl/sharedStrings.xml><?xml version="1.0" encoding="utf-8"?>
<sst xmlns="http://schemas.openxmlformats.org/spreadsheetml/2006/main" count="1533" uniqueCount="539">
  <si>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</si>
  <si>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</si>
  <si>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</si>
  <si>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</si>
  <si>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</si>
  <si>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</si>
  <si>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</si>
  <si>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</si>
  <si>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</si>
  <si>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</si>
  <si>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</si>
  <si>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</si>
  <si>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</si>
  <si>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</si>
  <si>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</si>
  <si>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</si>
  <si>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</si>
  <si>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</si>
  <si>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</si>
  <si>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</si>
  <si>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</si>
  <si>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</si>
  <si>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</si>
  <si>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</si>
  <si>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</si>
  <si>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</si>
  <si>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</si>
  <si>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</si>
  <si>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</si>
  <si>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</si>
  <si>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</si>
  <si>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</si>
  <si>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</si>
  <si>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</si>
  <si>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</si>
  <si>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</si>
  <si>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</si>
  <si>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</si>
  <si>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</si>
  <si>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</si>
  <si>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</si>
  <si>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</si>
  <si>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</si>
  <si>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</si>
  <si>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</si>
  <si>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</si>
  <si>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</si>
  <si>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</si>
  <si>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</si>
  <si>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</si>
  <si>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</si>
  <si>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</si>
  <si>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</si>
  <si>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</si>
  <si>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</si>
  <si>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</si>
  <si>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</si>
  <si>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</si>
  <si>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</si>
  <si>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</si>
  <si>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</si>
  <si>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</si>
  <si>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</si>
  <si>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</si>
  <si>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</si>
  <si>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</si>
  <si>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</si>
  <si>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</si>
  <si>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</si>
  <si>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</si>
  <si>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</si>
  <si>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</si>
  <si>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</si>
  <si>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</si>
  <si>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</si>
  <si>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</si>
  <si>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</si>
  <si>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</si>
  <si>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</si>
  <si>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</si>
  <si>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</si>
  <si>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</si>
  <si>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</si>
  <si>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</si>
  <si>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</si>
  <si>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</si>
  <si>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</si>
  <si>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</si>
  <si>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</si>
  <si>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</si>
  <si>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</si>
  <si>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</si>
  <si>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</si>
  <si>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</si>
  <si>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</si>
  <si>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</si>
  <si>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</si>
  <si>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</si>
  <si>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</si>
  <si>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</si>
  <si>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</si>
  <si>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</si>
  <si>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</si>
  <si>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</si>
  <si>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</si>
  <si>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</si>
  <si>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</si>
  <si>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</si>
  <si>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</si>
  <si>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</si>
  <si>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</si>
  <si>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</si>
  <si>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</si>
  <si>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</si>
  <si>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</si>
  <si>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</si>
  <si>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</si>
  <si>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</si>
  <si>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</si>
  <si>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</si>
  <si>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</si>
  <si>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</si>
  <si>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</si>
  <si>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</si>
  <si>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</si>
  <si>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</si>
  <si>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</si>
  <si>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</si>
  <si>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</si>
  <si>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</si>
  <si>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</si>
  <si>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</si>
  <si>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</si>
  <si>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</si>
  <si>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</si>
  <si>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</si>
  <si>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</si>
  <si>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</si>
  <si>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</si>
  <si>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</si>
  <si>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</si>
  <si>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</si>
  <si>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</si>
  <si>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</si>
  <si>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</si>
  <si>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</si>
  <si>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</si>
  <si>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</si>
  <si>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</si>
  <si>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</si>
  <si>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</si>
  <si>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</si>
  <si>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</si>
  <si>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</si>
  <si>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</si>
  <si>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</si>
  <si>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</si>
  <si>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</si>
  <si>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</si>
  <si>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</si>
  <si>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</si>
  <si>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</si>
  <si>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</si>
  <si>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</si>
  <si>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</si>
  <si>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</si>
  <si>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</si>
  <si>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</si>
  <si>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</si>
  <si>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</si>
  <si>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</si>
  <si>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</si>
  <si>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</si>
  <si>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</si>
  <si>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</si>
  <si>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</si>
  <si>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</si>
  <si>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</si>
  <si>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</si>
  <si>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</si>
  <si>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</si>
  <si>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</si>
  <si>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</si>
  <si>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</si>
  <si>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</si>
  <si>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</si>
  <si>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</si>
  <si>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</si>
  <si>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</si>
  <si>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</si>
  <si>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</si>
  <si>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</si>
  <si>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</si>
  <si>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</si>
  <si>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</si>
  <si>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</si>
  <si>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</si>
  <si>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</si>
  <si>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</si>
  <si>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</si>
  <si>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</si>
  <si>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</si>
  <si>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</si>
  <si>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</si>
  <si>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</si>
  <si>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</si>
  <si>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</si>
  <si>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</si>
  <si>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</si>
  <si>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</si>
  <si>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</si>
  <si>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</si>
  <si>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</si>
  <si>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</si>
  <si>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</si>
  <si>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</si>
  <si>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</si>
  <si>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</si>
  <si>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</si>
  <si>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</si>
  <si>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</si>
  <si>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</si>
  <si>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</si>
  <si>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</si>
  <si>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</si>
  <si>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</si>
  <si>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</si>
  <si>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</si>
  <si>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</si>
  <si>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</si>
  <si>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</si>
  <si>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</si>
  <si>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</si>
  <si>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</si>
  <si>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</si>
  <si>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</si>
  <si>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</si>
  <si>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</si>
  <si>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</si>
  <si>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</si>
  <si>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</si>
  <si>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</si>
  <si>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</si>
  <si>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</si>
  <si>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</si>
  <si>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</si>
  <si>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</si>
  <si>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</si>
  <si>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</si>
  <si>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</si>
  <si>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</si>
  <si>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</si>
  <si>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</si>
  <si>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</si>
  <si>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</si>
  <si>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</si>
  <si>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</si>
  <si>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</si>
  <si>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</si>
  <si>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</si>
  <si>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</si>
  <si>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</si>
  <si>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</si>
  <si>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</si>
  <si>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</si>
  <si>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</si>
  <si>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</si>
  <si>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</si>
  <si>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</si>
  <si>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</si>
  <si>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</si>
  <si>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</si>
  <si>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</si>
  <si>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</si>
  <si>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</si>
  <si>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</si>
  <si>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</si>
  <si>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</si>
  <si>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</si>
  <si>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</si>
  <si>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</si>
  <si>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</si>
  <si>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</si>
  <si>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</si>
  <si>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</si>
  <si>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</si>
  <si>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</si>
  <si>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</si>
  <si>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</si>
  <si>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</si>
  <si>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</si>
  <si>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</si>
  <si>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</si>
  <si>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</si>
  <si>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</si>
  <si>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</si>
  <si>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</si>
  <si>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</si>
  <si>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</si>
  <si>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</si>
  <si>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</si>
  <si>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</si>
  <si>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</si>
  <si>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</si>
  <si>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</si>
  <si>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</si>
  <si>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</si>
  <si>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</si>
  <si>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</si>
  <si>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</si>
  <si>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</si>
  <si>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</si>
  <si>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</si>
  <si>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</si>
  <si>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</si>
  <si>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</si>
  <si>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</si>
  <si>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</si>
  <si>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</si>
  <si>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</si>
  <si>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</si>
  <si>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</si>
  <si>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</si>
  <si>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</si>
  <si>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</si>
  <si>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</si>
  <si>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</si>
  <si>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</si>
  <si>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</si>
  <si>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</si>
  <si>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</si>
  <si>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</si>
  <si>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</si>
  <si>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</si>
  <si>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</si>
  <si>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</si>
  <si>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</si>
  <si>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</si>
  <si>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</si>
  <si>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</si>
  <si>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</si>
  <si>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</si>
  <si>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</si>
  <si>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</si>
  <si>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</si>
  <si>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</si>
  <si>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</si>
  <si>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</si>
  <si>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</si>
  <si>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</si>
  <si>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</si>
  <si>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</si>
  <si>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</si>
  <si>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</si>
  <si>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</si>
  <si>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</si>
  <si>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</si>
  <si>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</si>
  <si>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</si>
  <si>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</si>
  <si>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</si>
  <si>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</si>
  <si>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</si>
  <si>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</si>
  <si>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</si>
  <si>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</si>
  <si>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</si>
  <si>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</si>
  <si>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</si>
  <si>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</si>
  <si>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</si>
  <si>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</si>
  <si>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</si>
  <si>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</si>
  <si>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</si>
  <si>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</si>
  <si>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</si>
  <si>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</si>
  <si>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</si>
  <si>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</si>
  <si>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</si>
  <si>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</si>
  <si>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</si>
  <si>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</si>
  <si>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</si>
  <si>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</si>
  <si>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</si>
  <si>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</si>
  <si>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</si>
  <si>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</si>
  <si>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</si>
  <si>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</si>
  <si>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</si>
  <si>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</si>
  <si>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</si>
  <si>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</si>
  <si>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</si>
  <si>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</si>
  <si>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</si>
  <si>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</si>
  <si>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</si>
  <si>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</si>
  <si>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</si>
  <si>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</si>
  <si>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</si>
  <si>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</si>
  <si>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</si>
  <si>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</si>
  <si>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</si>
  <si>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</si>
  <si>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</si>
  <si>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</si>
  <si>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</si>
  <si>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</si>
  <si>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</si>
  <si>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</si>
  <si>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</si>
  <si>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</si>
  <si>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</si>
  <si>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</si>
  <si>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</si>
  <si>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</si>
  <si>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</si>
  <si>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</si>
  <si>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</si>
  <si>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</si>
  <si>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</si>
  <si>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</si>
  <si>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</si>
  <si>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</si>
  <si>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</si>
  <si>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</si>
  <si>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</si>
  <si>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</si>
  <si>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</si>
  <si>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</si>
  <si>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</si>
  <si>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</si>
  <si>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</si>
  <si>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</si>
  <si>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</si>
  <si>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</si>
  <si>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</si>
  <si>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</si>
  <si>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</si>
  <si>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</si>
  <si>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</si>
  <si>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</si>
  <si>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</si>
  <si>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</si>
  <si>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</si>
  <si>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</si>
  <si>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</si>
  <si>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</si>
  <si>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</si>
  <si>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</si>
  <si>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</si>
  <si>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</si>
  <si>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</si>
  <si>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</si>
  <si>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</si>
  <si>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</si>
  <si>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</si>
  <si>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</si>
  <si>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</si>
  <si>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</si>
  <si>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</si>
  <si>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</si>
  <si>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</si>
  <si>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</si>
  <si>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</si>
  <si>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</si>
  <si>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</si>
  <si>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</si>
  <si>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</si>
  <si>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</si>
  <si>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</si>
  <si>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</si>
  <si>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</si>
  <si>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</si>
  <si>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</si>
  <si>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</si>
  <si>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</si>
  <si>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</si>
  <si>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</si>
  <si>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</si>
  <si>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</si>
  <si>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</si>
  <si>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</si>
  <si>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</si>
  <si>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</si>
  <si>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</si>
  <si>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</si>
  <si>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</si>
  <si>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</si>
  <si>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</si>
  <si>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</si>
  <si>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</si>
  <si>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</si>
  <si>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</si>
  <si>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</si>
  <si>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</si>
  <si>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Bonanza</t>
  </si>
  <si>
    <t>Quatá</t>
  </si>
  <si>
    <t>SP</t>
  </si>
  <si>
    <t>Marcelo Delchiaro</t>
  </si>
  <si>
    <t>Rotacionado - Adubado</t>
  </si>
  <si>
    <t>Pastagem</t>
  </si>
  <si>
    <t>cobertura para implem.</t>
  </si>
  <si>
    <t>curral</t>
  </si>
  <si>
    <t>mangueira - centro man</t>
  </si>
  <si>
    <t>casa 1 - peao</t>
  </si>
  <si>
    <t>casa 2 - peao</t>
  </si>
  <si>
    <t>casa sede</t>
  </si>
  <si>
    <t>roçadeira trator</t>
  </si>
  <si>
    <t>pulverizador - trator</t>
  </si>
  <si>
    <t>adubadeira lanço</t>
  </si>
  <si>
    <t>concha traseira</t>
  </si>
  <si>
    <t>carreta 6ton. 4 rodas</t>
  </si>
  <si>
    <t>trator mf 5310</t>
  </si>
  <si>
    <t>picador/moedor nog.</t>
  </si>
  <si>
    <t>bomba d´agua eletrica</t>
  </si>
  <si>
    <t>bomba d´agua roda</t>
  </si>
  <si>
    <t>Milheto</t>
  </si>
  <si>
    <t>ConsultAgro</t>
  </si>
  <si>
    <t>Consultoria</t>
  </si>
  <si>
    <t>Diárias</t>
  </si>
  <si>
    <t>Consultor</t>
  </si>
  <si>
    <t>Despesas com viajens Consultor</t>
  </si>
  <si>
    <t>Comissão venda touros</t>
  </si>
  <si>
    <t>Cassio</t>
  </si>
  <si>
    <t>Material Sede</t>
  </si>
  <si>
    <t>material limpeza, vidro</t>
  </si>
  <si>
    <t>Eutrat</t>
  </si>
  <si>
    <t>madeiras manutencao</t>
  </si>
  <si>
    <t>Cambio trator</t>
  </si>
  <si>
    <t>Plaina</t>
  </si>
  <si>
    <t>frete</t>
  </si>
  <si>
    <t>Parceria em Confinamento Chaparral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</si>
</sst>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3">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4">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ill>
        <patternFill>
          <bgColor theme="0" tint="-0.14996795556505021"/>
        </patternFill>
      </fill>
    </dxf>
    <dxf>
      <fill>
        <patternFill>
          <bgColor theme="0" tint="-0.14996795556505021"/>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2"/>
          <c:y val="1.7443441586446676E-2"/>
        </c:manualLayout>
      </c:layout>
      <c:overlay val="0"/>
    </c:title>
    <c:autoTitleDeleted val="0"/>
    <c:plotArea>
      <c:layout>
        <c:manualLayout>
          <c:layoutTarget val="inner"/>
          <c:xMode val="edge"/>
          <c:yMode val="edge"/>
          <c:x val="6.9322724389802526E-2"/>
          <c:y val="9.1465974645605283E-2"/>
          <c:w val="0.90960919862377698"/>
          <c:h val="0.8198865666648947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137</c:v>
                </c:pt>
                <c:pt idx="1">
                  <c:v>137</c:v>
                </c:pt>
                <c:pt idx="2">
                  <c:v>236</c:v>
                </c:pt>
                <c:pt idx="3">
                  <c:v>124</c:v>
                </c:pt>
                <c:pt idx="4">
                  <c:v>101</c:v>
                </c:pt>
                <c:pt idx="5">
                  <c:v>101</c:v>
                </c:pt>
                <c:pt idx="6">
                  <c:v>174</c:v>
                </c:pt>
                <c:pt idx="7">
                  <c:v>205</c:v>
                </c:pt>
                <c:pt idx="8">
                  <c:v>204</c:v>
                </c:pt>
                <c:pt idx="9">
                  <c:v>204</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111</c:v>
                </c:pt>
                <c:pt idx="4">
                  <c:v>134</c:v>
                </c:pt>
                <c:pt idx="5">
                  <c:v>134</c:v>
                </c:pt>
                <c:pt idx="6">
                  <c:v>23</c:v>
                </c:pt>
                <c:pt idx="7">
                  <c:v>23</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1</c:v>
                </c:pt>
                <c:pt idx="1">
                  <c:v>1</c:v>
                </c:pt>
                <c:pt idx="2">
                  <c:v>1</c:v>
                </c:pt>
                <c:pt idx="3">
                  <c:v>1</c:v>
                </c:pt>
                <c:pt idx="4">
                  <c:v>1</c:v>
                </c:pt>
                <c:pt idx="5">
                  <c:v>1</c:v>
                </c:pt>
                <c:pt idx="6">
                  <c:v>1</c:v>
                </c:pt>
                <c:pt idx="7">
                  <c:v>1</c:v>
                </c:pt>
                <c:pt idx="8">
                  <c:v>1</c:v>
                </c:pt>
                <c:pt idx="9">
                  <c:v>1</c:v>
                </c:pt>
                <c:pt idx="10">
                  <c:v>0</c:v>
                </c:pt>
                <c:pt idx="11">
                  <c:v>0</c:v>
                </c:pt>
              </c:numCache>
            </c:numRef>
          </c:val>
        </c:ser>
        <c:dLbls>
          <c:showLegendKey val="0"/>
          <c:showVal val="0"/>
          <c:showCatName val="0"/>
          <c:showSerName val="0"/>
          <c:showPercent val="0"/>
          <c:showBubbleSize val="0"/>
        </c:dLbls>
        <c:gapWidth val="150"/>
        <c:axId val="305625416"/>
        <c:axId val="305627376"/>
      </c:barChart>
      <c:catAx>
        <c:axId val="305625416"/>
        <c:scaling>
          <c:orientation val="minMax"/>
        </c:scaling>
        <c:delete val="0"/>
        <c:axPos val="b"/>
        <c:title>
          <c:tx>
            <c:rich>
              <a:bodyPr/>
              <a:lstStyle/>
              <a:p>
                <a:pPr>
                  <a:defRPr/>
                </a:pPr>
                <a:r>
                  <a:rPr lang="en-US"/>
                  <a:t>Meses</a:t>
                </a:r>
              </a:p>
            </c:rich>
          </c:tx>
          <c:overlay val="0"/>
        </c:title>
        <c:numFmt formatCode="General" sourceLinked="1"/>
        <c:majorTickMark val="out"/>
        <c:minorTickMark val="none"/>
        <c:tickLblPos val="nextTo"/>
        <c:crossAx val="305627376"/>
        <c:crosses val="autoZero"/>
        <c:auto val="1"/>
        <c:lblAlgn val="ctr"/>
        <c:lblOffset val="100"/>
        <c:noMultiLvlLbl val="0"/>
      </c:catAx>
      <c:valAx>
        <c:axId val="305627376"/>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305625416"/>
        <c:crosses val="autoZero"/>
        <c:crossBetween val="between"/>
      </c:valAx>
    </c:plotArea>
    <c:legend>
      <c:legendPos val="r"/>
      <c:layout>
        <c:manualLayout>
          <c:xMode val="edge"/>
          <c:yMode val="edge"/>
          <c:x val="0.12606094743422591"/>
          <c:y val="9.1877791378289567E-2"/>
          <c:w val="0.80113299367485424"/>
          <c:h val="5.9895470353841809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25" footer="0.314960620000001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9194.64</c:v>
                </c:pt>
                <c:pt idx="1">
                  <c:v>7835.78</c:v>
                </c:pt>
                <c:pt idx="2">
                  <c:v>2555.61</c:v>
                </c:pt>
                <c:pt idx="3">
                  <c:v>14666.05</c:v>
                </c:pt>
                <c:pt idx="4">
                  <c:v>30365</c:v>
                </c:pt>
                <c:pt idx="5">
                  <c:v>0</c:v>
                </c:pt>
                <c:pt idx="6">
                  <c:v>8289.4500000000007</c:v>
                </c:pt>
                <c:pt idx="7">
                  <c:v>2330</c:v>
                </c:pt>
                <c:pt idx="8">
                  <c:v>963.39</c:v>
                </c:pt>
                <c:pt idx="9">
                  <c:v>1710.51</c:v>
                </c:pt>
                <c:pt idx="10">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54"/>
          <c:h val="0.68722001722209702"/>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0</c:v>
                </c:pt>
                <c:pt idx="1">
                  <c:v>0</c:v>
                </c:pt>
                <c:pt idx="2">
                  <c:v>0</c:v>
                </c:pt>
                <c:pt idx="3">
                  <c:v>3000</c:v>
                </c:pt>
                <c:pt idx="4">
                  <c:v>0</c:v>
                </c:pt>
                <c:pt idx="5">
                  <c:v>0</c:v>
                </c:pt>
                <c:pt idx="6">
                  <c:v>359730.8</c:v>
                </c:pt>
                <c:pt idx="7">
                  <c:v>0</c:v>
                </c:pt>
                <c:pt idx="8">
                  <c:v>62811.47</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12234.2</c:v>
                </c:pt>
                <c:pt idx="1">
                  <c:v>8135.3700000000008</c:v>
                </c:pt>
                <c:pt idx="2">
                  <c:v>194091.54</c:v>
                </c:pt>
                <c:pt idx="3">
                  <c:v>15031.36</c:v>
                </c:pt>
                <c:pt idx="4">
                  <c:v>10379.799999999999</c:v>
                </c:pt>
                <c:pt idx="5">
                  <c:v>10877.169999999998</c:v>
                </c:pt>
                <c:pt idx="6">
                  <c:v>238032.95</c:v>
                </c:pt>
                <c:pt idx="7">
                  <c:v>50281.09</c:v>
                </c:pt>
                <c:pt idx="8">
                  <c:v>30050.7</c:v>
                </c:pt>
                <c:pt idx="9">
                  <c:v>11751.619999999999</c:v>
                </c:pt>
                <c:pt idx="10">
                  <c:v>9456.27</c:v>
                </c:pt>
                <c:pt idx="11">
                  <c:v>0</c:v>
                </c:pt>
              </c:numCache>
            </c:numRef>
          </c:val>
        </c:ser>
        <c:dLbls>
          <c:showLegendKey val="0"/>
          <c:showVal val="0"/>
          <c:showCatName val="0"/>
          <c:showSerName val="0"/>
          <c:showPercent val="0"/>
          <c:showBubbleSize val="0"/>
        </c:dLbls>
        <c:gapWidth val="150"/>
        <c:axId val="305628944"/>
        <c:axId val="305630512"/>
      </c:barChart>
      <c:catAx>
        <c:axId val="305628944"/>
        <c:scaling>
          <c:orientation val="minMax"/>
        </c:scaling>
        <c:delete val="0"/>
        <c:axPos val="b"/>
        <c:title>
          <c:tx>
            <c:rich>
              <a:bodyPr/>
              <a:lstStyle/>
              <a:p>
                <a:pPr>
                  <a:defRPr/>
                </a:pPr>
                <a:r>
                  <a:rPr lang="pt-BR"/>
                  <a:t>Meses</a:t>
                </a:r>
              </a:p>
            </c:rich>
          </c:tx>
          <c:overlay val="0"/>
        </c:title>
        <c:majorTickMark val="out"/>
        <c:minorTickMark val="none"/>
        <c:tickLblPos val="nextTo"/>
        <c:crossAx val="305630512"/>
        <c:crosses val="autoZero"/>
        <c:auto val="1"/>
        <c:lblAlgn val="ctr"/>
        <c:lblOffset val="100"/>
        <c:noMultiLvlLbl val="0"/>
      </c:catAx>
      <c:valAx>
        <c:axId val="305630512"/>
        <c:scaling>
          <c:orientation val="minMax"/>
        </c:scaling>
        <c:delete val="0"/>
        <c:axPos val="l"/>
        <c:numFmt formatCode="#,##0.00" sourceLinked="1"/>
        <c:majorTickMark val="out"/>
        <c:minorTickMark val="none"/>
        <c:tickLblPos val="nextTo"/>
        <c:crossAx val="305628944"/>
        <c:crosses val="autoZero"/>
        <c:crossBetween val="between"/>
      </c:valAx>
    </c:plotArea>
    <c:legend>
      <c:legendPos val="r"/>
      <c:layout>
        <c:manualLayout>
          <c:xMode val="edge"/>
          <c:yMode val="edge"/>
          <c:x val="0.17734490353655222"/>
          <c:y val="0.11906307840012682"/>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9194.64</c:v>
                </c:pt>
                <c:pt idx="1">
                  <c:v>7835.78</c:v>
                </c:pt>
                <c:pt idx="2">
                  <c:v>2555.61</c:v>
                </c:pt>
                <c:pt idx="3">
                  <c:v>14666.05</c:v>
                </c:pt>
                <c:pt idx="4">
                  <c:v>30365</c:v>
                </c:pt>
                <c:pt idx="5">
                  <c:v>0</c:v>
                </c:pt>
                <c:pt idx="6">
                  <c:v>8289.4500000000007</c:v>
                </c:pt>
                <c:pt idx="7">
                  <c:v>2330</c:v>
                </c:pt>
                <c:pt idx="8">
                  <c:v>963.39</c:v>
                </c:pt>
                <c:pt idx="9">
                  <c:v>1710.51</c:v>
                </c:pt>
                <c:pt idx="10">
                  <c:v>0</c:v>
                </c:pt>
                <c:pt idx="11">
                  <c:v>334635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showRowColHeaders="0"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11" t="s">
        <v>413</v>
      </c>
      <c r="C3" s="1112"/>
      <c r="D3" s="1113"/>
    </row>
    <row r="4" spans="2:11" ht="16.5" thickTop="1" thickBot="1" x14ac:dyDescent="0.3">
      <c r="B4" s="1111" t="s">
        <v>430</v>
      </c>
      <c r="C4" s="1112"/>
      <c r="D4" s="1113"/>
    </row>
    <row r="5" spans="2:11" ht="15.75" thickTop="1" x14ac:dyDescent="0.25"/>
    <row r="6" spans="2:11" ht="82.5" customHeight="1" x14ac:dyDescent="0.25">
      <c r="B6" s="1110" t="s">
        <v>449</v>
      </c>
      <c r="C6" s="1110"/>
      <c r="D6" s="1110"/>
      <c r="E6" s="1110"/>
      <c r="F6" s="1110"/>
      <c r="G6" s="1110"/>
      <c r="H6" s="1110"/>
      <c r="I6" s="1110"/>
      <c r="J6" s="1110"/>
      <c r="K6" s="463"/>
    </row>
    <row r="7" spans="2:11" x14ac:dyDescent="0.25"/>
    <row r="8" spans="2:11" x14ac:dyDescent="0.25">
      <c r="B8" s="460" t="s">
        <v>417</v>
      </c>
    </row>
    <row r="9" spans="2:11" x14ac:dyDescent="0.25">
      <c r="B9" s="464" t="s">
        <v>414</v>
      </c>
    </row>
    <row r="10" spans="2:11" x14ac:dyDescent="0.25">
      <c r="B10" s="464" t="s">
        <v>415</v>
      </c>
    </row>
    <row r="11" spans="2:11" x14ac:dyDescent="0.25">
      <c r="B11" s="464" t="s">
        <v>416</v>
      </c>
    </row>
    <row r="12" spans="2:11" x14ac:dyDescent="0.25"/>
    <row r="13" spans="2:11" x14ac:dyDescent="0.25">
      <c r="B13" s="460" t="s">
        <v>418</v>
      </c>
    </row>
    <row r="14" spans="2:11" ht="33.75" customHeight="1" x14ac:dyDescent="0.25">
      <c r="B14" s="1109" t="s">
        <v>419</v>
      </c>
      <c r="C14" s="1109"/>
      <c r="D14" s="1109"/>
      <c r="E14" s="1109"/>
      <c r="F14" s="1109"/>
      <c r="G14" s="1109"/>
      <c r="H14" s="1109"/>
      <c r="I14" s="1109"/>
      <c r="J14" s="1109"/>
      <c r="K14" s="1109"/>
    </row>
    <row r="15" spans="2:11" x14ac:dyDescent="0.25">
      <c r="B15" s="464" t="s">
        <v>420</v>
      </c>
    </row>
    <row r="16" spans="2:11" x14ac:dyDescent="0.25"/>
    <row r="17" spans="2:2" x14ac:dyDescent="0.25">
      <c r="B17" s="460" t="s">
        <v>421</v>
      </c>
    </row>
    <row r="18" spans="2:2" x14ac:dyDescent="0.25">
      <c r="B18" s="464" t="s">
        <v>422</v>
      </c>
    </row>
    <row r="19" spans="2:2" x14ac:dyDescent="0.25">
      <c r="B19" s="464" t="s">
        <v>450</v>
      </c>
    </row>
    <row r="20" spans="2:2" x14ac:dyDescent="0.25"/>
    <row r="21" spans="2:2" x14ac:dyDescent="0.25">
      <c r="B21" s="460" t="s">
        <v>423</v>
      </c>
    </row>
    <row r="22" spans="2:2" x14ac:dyDescent="0.25">
      <c r="B22" s="464" t="s">
        <v>424</v>
      </c>
    </row>
    <row r="23" spans="2:2" x14ac:dyDescent="0.25">
      <c r="B23" s="464" t="s">
        <v>425</v>
      </c>
    </row>
    <row r="24" spans="2:2" x14ac:dyDescent="0.25">
      <c r="B24" s="464" t="s">
        <v>426</v>
      </c>
    </row>
    <row r="25" spans="2:2" x14ac:dyDescent="0.25"/>
    <row r="26" spans="2:2" x14ac:dyDescent="0.25">
      <c r="B26" s="460" t="s">
        <v>427</v>
      </c>
    </row>
    <row r="27" spans="2:2" x14ac:dyDescent="0.25">
      <c r="B27" s="464" t="s">
        <v>434</v>
      </c>
    </row>
    <row r="28" spans="2:2" x14ac:dyDescent="0.25">
      <c r="B28" s="464" t="s">
        <v>435</v>
      </c>
    </row>
    <row r="29" spans="2:2" x14ac:dyDescent="0.25">
      <c r="B29" s="464" t="s">
        <v>428</v>
      </c>
    </row>
    <row r="30" spans="2:2" x14ac:dyDescent="0.25">
      <c r="B30" s="464" t="s">
        <v>451</v>
      </c>
    </row>
    <row r="31" spans="2:2" x14ac:dyDescent="0.25">
      <c r="B31" s="464"/>
    </row>
    <row r="32" spans="2:2" x14ac:dyDescent="0.25">
      <c r="B32" s="460" t="s">
        <v>432</v>
      </c>
    </row>
    <row r="33" spans="2:10" x14ac:dyDescent="0.25">
      <c r="B33" s="464" t="s">
        <v>433</v>
      </c>
    </row>
    <row r="34" spans="2:10" x14ac:dyDescent="0.25">
      <c r="B34" s="464"/>
    </row>
    <row r="35" spans="2:10" ht="77.25" customHeight="1" x14ac:dyDescent="0.25">
      <c r="B35" s="1110" t="s">
        <v>437</v>
      </c>
      <c r="C35" s="1110"/>
      <c r="D35" s="1110"/>
      <c r="E35" s="1110"/>
      <c r="F35" s="1110"/>
      <c r="G35" s="1110"/>
      <c r="H35" s="1110"/>
      <c r="I35" s="1110"/>
      <c r="J35" s="1110"/>
    </row>
    <row r="36" spans="2:10" ht="61.5" customHeight="1" x14ac:dyDescent="0.25">
      <c r="B36" s="1110" t="s">
        <v>431</v>
      </c>
      <c r="C36" s="1110"/>
      <c r="D36" s="1110"/>
      <c r="E36" s="1110"/>
      <c r="F36" s="1110"/>
      <c r="G36" s="1110"/>
      <c r="H36" s="1110"/>
      <c r="I36" s="1110"/>
      <c r="J36" s="1110"/>
    </row>
    <row r="37" spans="2:10" x14ac:dyDescent="0.25"/>
    <row r="38" spans="2:10" x14ac:dyDescent="0.25">
      <c r="F38" s="464" t="s">
        <v>429</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93"/>
  <sheetViews>
    <sheetView topLeftCell="A41" zoomScale="60" zoomScaleNormal="60" workbookViewId="0">
      <selection activeCell="N46" sqref="N46"/>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46" t="s">
        <v>502</v>
      </c>
      <c r="D2" s="1146"/>
      <c r="E2" s="1146"/>
      <c r="F2" s="1143" t="s">
        <v>120</v>
      </c>
      <c r="G2" s="1143"/>
      <c r="H2" s="1143"/>
      <c r="I2" s="843">
        <v>2016</v>
      </c>
      <c r="J2" s="844"/>
      <c r="K2" s="226">
        <f ca="1">YEAR(TODAY())</f>
        <v>2016</v>
      </c>
      <c r="T2" s="86"/>
      <c r="U2" s="86"/>
      <c r="V2" s="86"/>
      <c r="W2" s="86"/>
      <c r="X2" s="86"/>
      <c r="Y2" s="86"/>
    </row>
    <row r="3" spans="2:25" s="51" customFormat="1" ht="15.75" thickTop="1" x14ac:dyDescent="0.25">
      <c r="B3" s="845" t="s">
        <v>22</v>
      </c>
      <c r="C3" s="1135" t="s">
        <v>503</v>
      </c>
      <c r="D3" s="1135"/>
      <c r="E3" s="1135"/>
      <c r="F3" s="1144" t="s">
        <v>115</v>
      </c>
      <c r="G3" s="1144"/>
      <c r="H3" s="1144"/>
      <c r="I3" s="846">
        <v>1100</v>
      </c>
      <c r="J3" s="844"/>
      <c r="K3" s="786"/>
      <c r="T3" s="86"/>
      <c r="U3" s="86"/>
      <c r="V3" s="86"/>
      <c r="W3" s="86"/>
      <c r="X3" s="86"/>
      <c r="Y3" s="86"/>
    </row>
    <row r="4" spans="2:25" s="51" customFormat="1" x14ac:dyDescent="0.25">
      <c r="B4" s="845" t="s">
        <v>23</v>
      </c>
      <c r="C4" s="1135" t="s">
        <v>504</v>
      </c>
      <c r="D4" s="1135"/>
      <c r="E4" s="1135"/>
      <c r="F4" s="1144" t="s">
        <v>116</v>
      </c>
      <c r="G4" s="1144"/>
      <c r="H4" s="1144"/>
      <c r="I4" s="847">
        <v>100.9</v>
      </c>
      <c r="J4" s="844"/>
      <c r="K4" s="786"/>
      <c r="T4" s="86"/>
      <c r="U4" s="86"/>
      <c r="V4" s="86"/>
      <c r="W4" s="86"/>
      <c r="X4" s="86"/>
      <c r="Y4" s="86"/>
    </row>
    <row r="5" spans="2:25" s="51" customFormat="1" x14ac:dyDescent="0.25">
      <c r="B5" s="845" t="s">
        <v>122</v>
      </c>
      <c r="C5" s="848" t="s">
        <v>505</v>
      </c>
      <c r="D5" s="849"/>
      <c r="E5" s="849"/>
      <c r="F5" s="850" t="s">
        <v>117</v>
      </c>
      <c r="G5" s="850"/>
      <c r="H5" s="850"/>
      <c r="I5" s="847">
        <v>11</v>
      </c>
      <c r="J5" s="844"/>
      <c r="K5" s="786"/>
      <c r="T5" s="86"/>
      <c r="U5" s="86"/>
      <c r="V5" s="86"/>
      <c r="W5" s="86"/>
      <c r="X5" s="86"/>
      <c r="Y5" s="86"/>
    </row>
    <row r="6" spans="2:25" s="51" customFormat="1" x14ac:dyDescent="0.25">
      <c r="B6" s="845" t="s">
        <v>24</v>
      </c>
      <c r="C6" s="1135" t="s">
        <v>506</v>
      </c>
      <c r="D6" s="1135"/>
      <c r="E6" s="1135"/>
      <c r="F6" s="850" t="s">
        <v>118</v>
      </c>
      <c r="G6" s="850"/>
      <c r="H6" s="850"/>
      <c r="I6" s="847"/>
      <c r="J6" s="844"/>
      <c r="K6" s="786"/>
      <c r="T6" s="86"/>
      <c r="U6" s="86"/>
      <c r="V6" s="86"/>
      <c r="W6" s="86"/>
      <c r="X6" s="86"/>
      <c r="Y6" s="86"/>
    </row>
    <row r="7" spans="2:25" s="51" customFormat="1" ht="15.75" thickBot="1" x14ac:dyDescent="0.3">
      <c r="B7" s="851" t="s">
        <v>114</v>
      </c>
      <c r="C7" s="852">
        <v>30000</v>
      </c>
      <c r="D7" s="852"/>
      <c r="E7" s="853"/>
      <c r="F7" s="854" t="s">
        <v>286</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41" t="s">
        <v>478</v>
      </c>
      <c r="M13" s="1142"/>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464</v>
      </c>
      <c r="M15" s="981" t="s">
        <v>476</v>
      </c>
      <c r="T15" s="86"/>
      <c r="U15" s="86"/>
      <c r="V15" s="86"/>
      <c r="W15" s="86"/>
      <c r="X15" s="86"/>
      <c r="Y15" s="86"/>
    </row>
    <row r="16" spans="2:25" s="51" customFormat="1" ht="15.75" thickTop="1" x14ac:dyDescent="0.25">
      <c r="B16" s="841"/>
      <c r="L16" s="984">
        <v>16</v>
      </c>
      <c r="M16" s="982">
        <f>L16*14.689</f>
        <v>235.024</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477</v>
      </c>
      <c r="M19" s="981" t="s">
        <v>490</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36" t="s">
        <v>27</v>
      </c>
      <c r="C36" s="1137"/>
      <c r="D36" s="1137"/>
      <c r="E36" s="1137"/>
      <c r="F36" s="1137"/>
      <c r="G36" s="1137"/>
      <c r="H36" s="1137"/>
      <c r="I36" s="1137"/>
      <c r="J36" s="1137"/>
      <c r="K36" s="1137"/>
      <c r="L36" s="1137"/>
      <c r="M36" s="1137"/>
      <c r="N36" s="1137"/>
      <c r="O36" s="1137"/>
      <c r="P36" s="1137"/>
      <c r="Q36" s="1138"/>
      <c r="T36" s="86"/>
      <c r="U36" s="86"/>
      <c r="V36" s="86"/>
      <c r="W36" s="86"/>
      <c r="X36" s="86"/>
      <c r="Y36" s="86"/>
    </row>
    <row r="37" spans="2:25" s="51" customFormat="1" ht="49.5" customHeight="1" thickBot="1" x14ac:dyDescent="0.3">
      <c r="B37" s="856" t="s">
        <v>108</v>
      </c>
      <c r="C37" s="1139">
        <f>IF(I2="","",I2)</f>
        <v>2016</v>
      </c>
      <c r="D37" s="1139"/>
      <c r="E37" s="857" t="s">
        <v>0</v>
      </c>
      <c r="F37" s="857" t="s">
        <v>1</v>
      </c>
      <c r="G37" s="857" t="s">
        <v>2</v>
      </c>
      <c r="H37" s="857" t="s">
        <v>3</v>
      </c>
      <c r="I37" s="857" t="s">
        <v>4</v>
      </c>
      <c r="J37" s="857" t="s">
        <v>5</v>
      </c>
      <c r="K37" s="857" t="s">
        <v>6</v>
      </c>
      <c r="L37" s="857" t="s">
        <v>7</v>
      </c>
      <c r="M37" s="857" t="s">
        <v>8</v>
      </c>
      <c r="N37" s="857" t="s">
        <v>9</v>
      </c>
      <c r="O37" s="857" t="s">
        <v>10</v>
      </c>
      <c r="P37" s="858" t="s">
        <v>11</v>
      </c>
      <c r="Q37" s="859" t="s">
        <v>301</v>
      </c>
      <c r="R37" s="79"/>
      <c r="S37" s="79"/>
      <c r="T37" s="86"/>
      <c r="U37" s="86"/>
      <c r="V37" s="86"/>
      <c r="W37" s="86"/>
      <c r="X37" s="86"/>
      <c r="Y37" s="86"/>
    </row>
    <row r="38" spans="2:25" s="51" customFormat="1" ht="18" customHeight="1" thickTop="1" x14ac:dyDescent="0.25">
      <c r="B38" s="1122" t="s">
        <v>225</v>
      </c>
      <c r="C38" s="1114"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23"/>
      <c r="C39" s="1115"/>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23"/>
      <c r="C40" s="1115"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23"/>
      <c r="C41" s="1115"/>
      <c r="D41" s="866" t="s">
        <v>112</v>
      </c>
      <c r="E41" s="867"/>
      <c r="F41" s="867"/>
      <c r="G41" s="867"/>
      <c r="H41" s="867"/>
      <c r="I41" s="867"/>
      <c r="J41" s="867"/>
      <c r="K41" s="867"/>
      <c r="L41" s="867"/>
      <c r="M41" s="867"/>
      <c r="N41" s="867"/>
      <c r="O41" s="867"/>
      <c r="P41" s="868"/>
      <c r="Q41" s="869">
        <f>P40*Q40</f>
        <v>0</v>
      </c>
      <c r="R41" s="864" t="s">
        <v>258</v>
      </c>
      <c r="S41" s="782" t="s">
        <v>249</v>
      </c>
      <c r="T41" s="86"/>
      <c r="U41" s="86"/>
      <c r="V41" s="86"/>
      <c r="W41" s="86"/>
      <c r="X41" s="86"/>
      <c r="Y41" s="86"/>
    </row>
    <row r="42" spans="2:25" s="51" customFormat="1" ht="16.5" customHeight="1" thickBot="1" x14ac:dyDescent="0.3">
      <c r="B42" s="1124"/>
      <c r="C42" s="1115" t="s">
        <v>298</v>
      </c>
      <c r="D42" s="1115"/>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22" t="s">
        <v>13</v>
      </c>
      <c r="C43" s="1145"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23"/>
      <c r="C44" s="1115"/>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23"/>
      <c r="C45" s="1115" t="s">
        <v>109</v>
      </c>
      <c r="D45" s="866" t="s">
        <v>15</v>
      </c>
      <c r="E45" s="870">
        <v>137</v>
      </c>
      <c r="F45" s="870">
        <v>137</v>
      </c>
      <c r="G45" s="870">
        <v>236</v>
      </c>
      <c r="H45" s="870">
        <v>124</v>
      </c>
      <c r="I45" s="870">
        <v>101</v>
      </c>
      <c r="J45" s="870">
        <v>101</v>
      </c>
      <c r="K45" s="870">
        <f>126+48</f>
        <v>174</v>
      </c>
      <c r="L45" s="870">
        <f>174+31</f>
        <v>205</v>
      </c>
      <c r="M45" s="870">
        <v>204</v>
      </c>
      <c r="N45" s="870">
        <v>204</v>
      </c>
      <c r="O45" s="870"/>
      <c r="P45" s="871"/>
      <c r="Q45" s="872"/>
      <c r="R45" s="864"/>
      <c r="S45" s="873"/>
      <c r="T45" s="86"/>
      <c r="U45" s="86"/>
      <c r="V45" s="86"/>
      <c r="W45" s="86"/>
      <c r="X45" s="86"/>
      <c r="Y45" s="86"/>
    </row>
    <row r="46" spans="2:25" s="51" customFormat="1" ht="18" customHeight="1" x14ac:dyDescent="0.25">
      <c r="B46" s="1123"/>
      <c r="C46" s="1115"/>
      <c r="D46" s="866" t="s">
        <v>112</v>
      </c>
      <c r="E46" s="867">
        <v>365</v>
      </c>
      <c r="F46" s="867">
        <v>365</v>
      </c>
      <c r="G46" s="867">
        <v>291</v>
      </c>
      <c r="H46" s="867">
        <v>260</v>
      </c>
      <c r="I46" s="867">
        <v>241</v>
      </c>
      <c r="J46" s="867">
        <v>241</v>
      </c>
      <c r="K46" s="867">
        <f>(249+255)/2</f>
        <v>252</v>
      </c>
      <c r="L46" s="867">
        <f>(252+228)/2</f>
        <v>240</v>
      </c>
      <c r="M46" s="867">
        <v>257</v>
      </c>
      <c r="N46" s="867">
        <v>257</v>
      </c>
      <c r="O46" s="867"/>
      <c r="P46" s="868"/>
      <c r="Q46" s="869">
        <f>P45*Q45</f>
        <v>0</v>
      </c>
      <c r="R46" s="864"/>
      <c r="S46" s="782"/>
      <c r="T46" s="86"/>
      <c r="U46" s="86"/>
      <c r="V46" s="86"/>
      <c r="W46" s="86"/>
      <c r="X46" s="86"/>
      <c r="Y46" s="86"/>
    </row>
    <row r="47" spans="2:25" s="51" customFormat="1" ht="18" customHeight="1" thickBot="1" x14ac:dyDescent="0.3">
      <c r="B47" s="1124"/>
      <c r="C47" s="1140" t="s">
        <v>298</v>
      </c>
      <c r="D47" s="1140"/>
      <c r="E47" s="877">
        <f t="shared" ref="E47:P47" si="1">IF(AND(E43="",E45=""),"",SUM(E43,E45))</f>
        <v>137</v>
      </c>
      <c r="F47" s="877">
        <f t="shared" si="1"/>
        <v>137</v>
      </c>
      <c r="G47" s="877">
        <f t="shared" si="1"/>
        <v>236</v>
      </c>
      <c r="H47" s="877">
        <f t="shared" si="1"/>
        <v>124</v>
      </c>
      <c r="I47" s="877">
        <f t="shared" si="1"/>
        <v>101</v>
      </c>
      <c r="J47" s="877">
        <f t="shared" si="1"/>
        <v>101</v>
      </c>
      <c r="K47" s="877">
        <f t="shared" si="1"/>
        <v>174</v>
      </c>
      <c r="L47" s="877">
        <f t="shared" si="1"/>
        <v>205</v>
      </c>
      <c r="M47" s="877">
        <f t="shared" si="1"/>
        <v>204</v>
      </c>
      <c r="N47" s="877">
        <f t="shared" si="1"/>
        <v>204</v>
      </c>
      <c r="O47" s="877" t="str">
        <f t="shared" si="1"/>
        <v/>
      </c>
      <c r="P47" s="878" t="str">
        <f t="shared" si="1"/>
        <v/>
      </c>
      <c r="Q47" s="232">
        <f>(P43*Q43)+(P45*Q45)</f>
        <v>0</v>
      </c>
      <c r="R47" s="876">
        <f>IF(SUM(E47:P47)=0,0,AVERAGE(E47:P47))</f>
        <v>162.30000000000001</v>
      </c>
      <c r="S47" s="864" t="e">
        <f>IF(SUM('ÍNDICES ZOOTÉCNICOS'!#REF!)=0,0,AVERAGE('ÍNDICES ZOOTÉCNICOS'!#REF!))</f>
        <v>#REF!</v>
      </c>
      <c r="T47" s="86"/>
      <c r="U47" s="86"/>
      <c r="V47" s="86"/>
      <c r="W47" s="86"/>
      <c r="X47" s="86"/>
      <c r="Y47" s="86"/>
    </row>
    <row r="48" spans="2:25" s="51" customFormat="1" ht="18" customHeight="1" thickTop="1" x14ac:dyDescent="0.25">
      <c r="B48" s="1122" t="s">
        <v>14</v>
      </c>
      <c r="C48" s="1114"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23"/>
      <c r="C49" s="1115"/>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23"/>
      <c r="C50" s="1115" t="s">
        <v>109</v>
      </c>
      <c r="D50" s="866" t="s">
        <v>15</v>
      </c>
      <c r="E50" s="870"/>
      <c r="F50" s="870"/>
      <c r="G50" s="870"/>
      <c r="H50" s="870">
        <v>111</v>
      </c>
      <c r="I50" s="870">
        <v>134</v>
      </c>
      <c r="J50" s="870">
        <v>134</v>
      </c>
      <c r="K50" s="870">
        <v>23</v>
      </c>
      <c r="L50" s="870">
        <v>23</v>
      </c>
      <c r="M50" s="870"/>
      <c r="N50" s="870"/>
      <c r="O50" s="870"/>
      <c r="P50" s="868"/>
      <c r="Q50" s="872"/>
      <c r="R50" s="864"/>
      <c r="S50" s="873"/>
      <c r="T50" s="86"/>
      <c r="U50" s="86"/>
      <c r="V50" s="86"/>
      <c r="W50" s="86"/>
      <c r="X50" s="86"/>
      <c r="Y50" s="86"/>
    </row>
    <row r="51" spans="2:25" s="51" customFormat="1" ht="18" customHeight="1" x14ac:dyDescent="0.25">
      <c r="B51" s="1123"/>
      <c r="C51" s="1115"/>
      <c r="D51" s="866" t="s">
        <v>112</v>
      </c>
      <c r="E51" s="867"/>
      <c r="F51" s="867"/>
      <c r="G51" s="867"/>
      <c r="H51" s="867">
        <v>451</v>
      </c>
      <c r="I51" s="867">
        <v>451</v>
      </c>
      <c r="J51" s="867">
        <v>451</v>
      </c>
      <c r="K51" s="867">
        <v>451</v>
      </c>
      <c r="L51" s="867">
        <v>451</v>
      </c>
      <c r="M51" s="867"/>
      <c r="N51" s="867"/>
      <c r="O51" s="867"/>
      <c r="P51" s="868"/>
      <c r="Q51" s="869">
        <f>P50*Q50</f>
        <v>0</v>
      </c>
      <c r="R51" s="864"/>
      <c r="S51" s="782"/>
      <c r="T51" s="86"/>
      <c r="U51" s="86"/>
      <c r="V51" s="86"/>
      <c r="W51" s="86"/>
      <c r="X51" s="86"/>
      <c r="Y51" s="86"/>
    </row>
    <row r="52" spans="2:25" s="51" customFormat="1" ht="18" customHeight="1" thickBot="1" x14ac:dyDescent="0.3">
      <c r="B52" s="1124"/>
      <c r="C52" s="1115" t="s">
        <v>298</v>
      </c>
      <c r="D52" s="1115"/>
      <c r="E52" s="874" t="str">
        <f t="shared" ref="E52:P52" si="2">IF(AND(E48="",E50=""),"",SUM(E48,E50))</f>
        <v/>
      </c>
      <c r="F52" s="874" t="str">
        <f t="shared" si="2"/>
        <v/>
      </c>
      <c r="G52" s="874" t="str">
        <f t="shared" si="2"/>
        <v/>
      </c>
      <c r="H52" s="874">
        <f t="shared" si="2"/>
        <v>111</v>
      </c>
      <c r="I52" s="874">
        <f t="shared" si="2"/>
        <v>134</v>
      </c>
      <c r="J52" s="874">
        <f t="shared" si="2"/>
        <v>134</v>
      </c>
      <c r="K52" s="874">
        <f t="shared" si="2"/>
        <v>23</v>
      </c>
      <c r="L52" s="874">
        <f t="shared" si="2"/>
        <v>23</v>
      </c>
      <c r="M52" s="874" t="str">
        <f t="shared" si="2"/>
        <v/>
      </c>
      <c r="N52" s="874" t="str">
        <f t="shared" si="2"/>
        <v/>
      </c>
      <c r="O52" s="874" t="str">
        <f t="shared" si="2"/>
        <v/>
      </c>
      <c r="P52" s="875" t="str">
        <f t="shared" si="2"/>
        <v/>
      </c>
      <c r="Q52" s="232">
        <f>(P48*Q48)+(P50*Q50)</f>
        <v>0</v>
      </c>
      <c r="R52" s="876">
        <f>IF(SUM(E52:P52)=0,0,AVERAGE(E52:P52))</f>
        <v>85</v>
      </c>
      <c r="S52" s="864" t="e">
        <f>IF(SUM('ÍNDICES ZOOTÉCNICOS'!#REF!)=0,0,AVERAGE('ÍNDICES ZOOTÉCNICOS'!#REF!))</f>
        <v>#REF!</v>
      </c>
      <c r="T52" s="86"/>
      <c r="U52" s="86"/>
      <c r="V52" s="86"/>
      <c r="W52" s="86"/>
      <c r="X52" s="86"/>
      <c r="Y52" s="86"/>
    </row>
    <row r="53" spans="2:25" s="51" customFormat="1" ht="18" customHeight="1" thickTop="1" x14ac:dyDescent="0.25">
      <c r="B53" s="1119" t="s">
        <v>237</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20"/>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20"/>
      <c r="C55" s="883" t="s">
        <v>109</v>
      </c>
      <c r="D55" s="879" t="s">
        <v>15</v>
      </c>
      <c r="E55" s="243">
        <v>1</v>
      </c>
      <c r="F55" s="243">
        <v>1</v>
      </c>
      <c r="G55" s="243">
        <v>1</v>
      </c>
      <c r="H55" s="243">
        <v>1</v>
      </c>
      <c r="I55" s="243">
        <v>1</v>
      </c>
      <c r="J55" s="243">
        <v>1</v>
      </c>
      <c r="K55" s="243">
        <v>1</v>
      </c>
      <c r="L55" s="243">
        <v>1</v>
      </c>
      <c r="M55" s="243">
        <v>1</v>
      </c>
      <c r="N55" s="243">
        <v>1</v>
      </c>
      <c r="O55" s="243"/>
      <c r="P55" s="880"/>
      <c r="Q55" s="863"/>
      <c r="R55" s="876">
        <f>IF(SUM(E55:P55)=0,0,AVERAGE(E55:P55))</f>
        <v>1</v>
      </c>
      <c r="S55" s="864" t="e">
        <f>IF(SUM('ÍNDICES ZOOTÉCNICOS'!#REF!)=0,0,AVERAGE('ÍNDICES ZOOTÉCNICOS'!#REF!))</f>
        <v>#REF!</v>
      </c>
      <c r="T55" s="86"/>
      <c r="U55" s="86"/>
      <c r="V55" s="86"/>
      <c r="W55" s="86"/>
      <c r="X55" s="86"/>
      <c r="Y55" s="86"/>
    </row>
    <row r="56" spans="2:25" s="51" customFormat="1" ht="18" customHeight="1" x14ac:dyDescent="0.25">
      <c r="B56" s="1120"/>
      <c r="C56" s="882"/>
      <c r="D56" s="866" t="s">
        <v>112</v>
      </c>
      <c r="E56" s="867">
        <v>600</v>
      </c>
      <c r="F56" s="867">
        <v>600</v>
      </c>
      <c r="G56" s="867">
        <v>600</v>
      </c>
      <c r="H56" s="867">
        <v>600</v>
      </c>
      <c r="I56" s="867">
        <v>600</v>
      </c>
      <c r="J56" s="867">
        <v>600</v>
      </c>
      <c r="K56" s="867">
        <v>606</v>
      </c>
      <c r="L56" s="867">
        <v>606</v>
      </c>
      <c r="M56" s="867">
        <v>550</v>
      </c>
      <c r="N56" s="867">
        <v>550</v>
      </c>
      <c r="O56" s="867"/>
      <c r="P56" s="868"/>
      <c r="Q56" s="869">
        <f>P55*Q55</f>
        <v>0</v>
      </c>
      <c r="R56" s="864"/>
      <c r="S56" s="782"/>
      <c r="T56" s="86"/>
      <c r="U56" s="86"/>
      <c r="V56" s="86"/>
      <c r="W56" s="86"/>
      <c r="X56" s="86"/>
      <c r="Y56" s="86"/>
    </row>
    <row r="57" spans="2:25" s="51" customFormat="1" ht="18" customHeight="1" thickBot="1" x14ac:dyDescent="0.3">
      <c r="B57" s="1121"/>
      <c r="C57" s="1131" t="s">
        <v>298</v>
      </c>
      <c r="D57" s="1132"/>
      <c r="E57" s="874">
        <f t="shared" ref="E57:P57" si="3">IF(AND(E53="",E55=""),"",SUM(E53,E55))</f>
        <v>1</v>
      </c>
      <c r="F57" s="874">
        <f t="shared" si="3"/>
        <v>1</v>
      </c>
      <c r="G57" s="874">
        <f t="shared" si="3"/>
        <v>1</v>
      </c>
      <c r="H57" s="874">
        <f t="shared" si="3"/>
        <v>1</v>
      </c>
      <c r="I57" s="874">
        <f t="shared" si="3"/>
        <v>1</v>
      </c>
      <c r="J57" s="874">
        <f t="shared" si="3"/>
        <v>1</v>
      </c>
      <c r="K57" s="874">
        <f t="shared" si="3"/>
        <v>1</v>
      </c>
      <c r="L57" s="874">
        <f t="shared" si="3"/>
        <v>1</v>
      </c>
      <c r="M57" s="874">
        <f t="shared" si="3"/>
        <v>1</v>
      </c>
      <c r="N57" s="874">
        <f t="shared" si="3"/>
        <v>1</v>
      </c>
      <c r="O57" s="874" t="str">
        <f t="shared" si="3"/>
        <v/>
      </c>
      <c r="P57" s="875" t="str">
        <f t="shared" si="3"/>
        <v/>
      </c>
      <c r="Q57" s="232">
        <f>(P53*Q53)+(P55*Q55)</f>
        <v>0</v>
      </c>
      <c r="R57" s="876">
        <f>R54+R55</f>
        <v>1</v>
      </c>
      <c r="S57" s="876" t="e">
        <f>S54+S55</f>
        <v>#REF!</v>
      </c>
      <c r="T57" s="86"/>
      <c r="U57" s="86"/>
      <c r="V57" s="86"/>
      <c r="W57" s="86"/>
      <c r="X57" s="86"/>
      <c r="Y57" s="86"/>
    </row>
    <row r="58" spans="2:25" s="51" customFormat="1" ht="16.5" thickTop="1" thickBot="1" x14ac:dyDescent="0.3">
      <c r="B58" s="1133" t="s">
        <v>302</v>
      </c>
      <c r="C58" s="1134"/>
      <c r="D58" s="1134"/>
      <c r="E58" s="884">
        <f t="shared" ref="E58:P58" si="4">E38+E40+E43+E45+E48+E50+E53+E55</f>
        <v>138</v>
      </c>
      <c r="F58" s="884">
        <f t="shared" si="4"/>
        <v>138</v>
      </c>
      <c r="G58" s="884">
        <f t="shared" si="4"/>
        <v>237</v>
      </c>
      <c r="H58" s="884">
        <f t="shared" si="4"/>
        <v>236</v>
      </c>
      <c r="I58" s="884">
        <f t="shared" si="4"/>
        <v>236</v>
      </c>
      <c r="J58" s="884">
        <f t="shared" si="4"/>
        <v>236</v>
      </c>
      <c r="K58" s="884">
        <f t="shared" si="4"/>
        <v>198</v>
      </c>
      <c r="L58" s="884">
        <f t="shared" si="4"/>
        <v>229</v>
      </c>
      <c r="M58" s="884">
        <f t="shared" si="4"/>
        <v>205</v>
      </c>
      <c r="N58" s="884">
        <f t="shared" si="4"/>
        <v>205</v>
      </c>
      <c r="O58" s="884">
        <f t="shared" si="4"/>
        <v>0</v>
      </c>
      <c r="P58" s="885">
        <f t="shared" si="4"/>
        <v>0</v>
      </c>
      <c r="Q58" s="233">
        <f>SUM(Q42,Q47,Q52,Q57)</f>
        <v>0</v>
      </c>
      <c r="R58" s="876">
        <f>AVERAGE(E58:P58)</f>
        <v>171.5</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16" t="s">
        <v>26</v>
      </c>
      <c r="C61" s="1117"/>
      <c r="D61" s="1117"/>
      <c r="E61" s="1117"/>
      <c r="F61" s="1117"/>
      <c r="G61" s="1117"/>
      <c r="H61" s="1117"/>
      <c r="I61" s="1117"/>
      <c r="J61" s="1117"/>
      <c r="K61" s="1117"/>
      <c r="L61" s="1117"/>
      <c r="M61" s="1117"/>
      <c r="N61" s="1117"/>
      <c r="O61" s="1117"/>
      <c r="P61" s="1117"/>
      <c r="Q61" s="1118"/>
      <c r="T61" s="786"/>
      <c r="U61" s="786"/>
      <c r="V61" s="86"/>
      <c r="W61" s="786"/>
      <c r="X61" s="86"/>
      <c r="Y61" s="86"/>
    </row>
    <row r="62" spans="2:25" s="51" customFormat="1" ht="15.75" thickBot="1" x14ac:dyDescent="0.3">
      <c r="B62" s="1099" t="s">
        <v>108</v>
      </c>
      <c r="C62" s="1129"/>
      <c r="D62" s="1130"/>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225</v>
      </c>
      <c r="C63" s="1128" t="s">
        <v>15</v>
      </c>
      <c r="D63" s="1128"/>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25" t="s">
        <v>25</v>
      </c>
      <c r="C65" s="1126"/>
      <c r="D65" s="1126"/>
      <c r="E65" s="1126"/>
      <c r="F65" s="1126"/>
      <c r="G65" s="1126"/>
      <c r="H65" s="1126"/>
      <c r="I65" s="1126"/>
      <c r="J65" s="1126"/>
      <c r="K65" s="1126"/>
      <c r="L65" s="1126"/>
      <c r="M65" s="1126"/>
      <c r="N65" s="1126"/>
      <c r="O65" s="1126"/>
      <c r="P65" s="1126"/>
      <c r="Q65" s="1127"/>
      <c r="T65" s="786"/>
      <c r="U65" s="86"/>
      <c r="V65" s="86"/>
      <c r="W65" s="786"/>
      <c r="X65" s="786"/>
      <c r="Y65" s="86"/>
    </row>
    <row r="66" spans="2:25" s="51" customFormat="1" ht="48.75" customHeight="1" thickBot="1" x14ac:dyDescent="0.3">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4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48"/>
      <c r="C68" s="1150" t="s">
        <v>489</v>
      </c>
      <c r="D68" s="115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49" t="s">
        <v>13</v>
      </c>
      <c r="C69" s="242">
        <f>IF(Q69=0,"",D69/Q69)</f>
        <v>0</v>
      </c>
      <c r="D69" s="244"/>
      <c r="E69" s="892"/>
      <c r="F69" s="892"/>
      <c r="G69" s="892">
        <v>1</v>
      </c>
      <c r="H69" s="892"/>
      <c r="I69" s="892"/>
      <c r="J69" s="892"/>
      <c r="K69" s="892"/>
      <c r="L69" s="892"/>
      <c r="M69" s="892">
        <v>1</v>
      </c>
      <c r="N69" s="892"/>
      <c r="O69" s="892"/>
      <c r="P69" s="892"/>
      <c r="Q69" s="893">
        <f t="shared" ref="Q69:Q76" si="5">SUM(E69:P69)</f>
        <v>2</v>
      </c>
      <c r="T69" s="86"/>
      <c r="U69" s="456"/>
      <c r="V69" s="786"/>
      <c r="W69" s="786"/>
      <c r="X69" s="786"/>
      <c r="Y69" s="86"/>
    </row>
    <row r="70" spans="2:25" s="51" customFormat="1" ht="15.75" thickBot="1" x14ac:dyDescent="0.3">
      <c r="B70" s="1149"/>
      <c r="C70" s="1152" t="s">
        <v>489</v>
      </c>
      <c r="D70" s="1153"/>
      <c r="E70" s="1076"/>
      <c r="F70" s="1076"/>
      <c r="G70" s="1076"/>
      <c r="H70" s="1076"/>
      <c r="I70" s="1076"/>
      <c r="J70" s="1076"/>
      <c r="K70" s="1076"/>
      <c r="L70" s="1076"/>
      <c r="M70" s="1076">
        <v>280</v>
      </c>
      <c r="N70" s="1076"/>
      <c r="O70" s="1076"/>
      <c r="P70" s="1076"/>
      <c r="Q70" s="1080">
        <f t="shared" si="5"/>
        <v>280</v>
      </c>
      <c r="T70" s="86"/>
      <c r="U70" s="456"/>
      <c r="V70" s="786"/>
      <c r="W70" s="786"/>
      <c r="X70" s="786"/>
      <c r="Y70" s="86"/>
    </row>
    <row r="71" spans="2:25" s="51" customFormat="1" ht="15.75" thickTop="1" x14ac:dyDescent="0.25">
      <c r="B71" s="114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48"/>
      <c r="C72" s="1154" t="s">
        <v>489</v>
      </c>
      <c r="D72" s="115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49"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49"/>
      <c r="C74" s="1152" t="s">
        <v>489</v>
      </c>
      <c r="D74" s="1153"/>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4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48"/>
      <c r="C76" s="1154" t="s">
        <v>489</v>
      </c>
      <c r="D76" s="115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472</v>
      </c>
      <c r="C77" s="1072" t="s">
        <v>47</v>
      </c>
      <c r="D77" s="1073">
        <f t="shared" ref="D77" si="6">SUM(D67:D75)</f>
        <v>0</v>
      </c>
      <c r="E77" s="1074">
        <f>SUM(E67,E69,E71,E73,E75)</f>
        <v>0</v>
      </c>
      <c r="F77" s="1074">
        <f t="shared" ref="F77:P77" si="7">SUM(F67,F69,F71,F73,F75)</f>
        <v>0</v>
      </c>
      <c r="G77" s="1074">
        <f t="shared" si="7"/>
        <v>1</v>
      </c>
      <c r="H77" s="1074">
        <f t="shared" si="7"/>
        <v>0</v>
      </c>
      <c r="I77" s="1074">
        <f t="shared" si="7"/>
        <v>0</v>
      </c>
      <c r="J77" s="1074">
        <f t="shared" si="7"/>
        <v>0</v>
      </c>
      <c r="K77" s="1074">
        <f t="shared" si="7"/>
        <v>0</v>
      </c>
      <c r="L77" s="1074">
        <f t="shared" si="7"/>
        <v>0</v>
      </c>
      <c r="M77" s="1074">
        <f t="shared" si="7"/>
        <v>1</v>
      </c>
      <c r="N77" s="1074">
        <f t="shared" si="7"/>
        <v>0</v>
      </c>
      <c r="O77" s="1074">
        <f t="shared" si="7"/>
        <v>0</v>
      </c>
      <c r="P77" s="1074">
        <f t="shared" si="7"/>
        <v>0</v>
      </c>
      <c r="Q77" s="1075">
        <f>SUM(Q67,Q69,Q71,Q73,Q75)</f>
        <v>2</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310</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303</v>
      </c>
      <c r="D81" s="949" t="s">
        <v>305</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306</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304</v>
      </c>
      <c r="D83" s="949" t="s">
        <v>305</v>
      </c>
      <c r="E83" s="950">
        <f>SAÍDAS!C11+SAÍDAS!E11</f>
        <v>137</v>
      </c>
      <c r="F83" s="950">
        <f>SAÍDAS!F11</f>
        <v>0</v>
      </c>
      <c r="G83" s="950">
        <f>SAÍDAS!G11</f>
        <v>100</v>
      </c>
      <c r="H83" s="950">
        <f>SAÍDAS!H11</f>
        <v>0</v>
      </c>
      <c r="I83" s="950">
        <f>SAÍDAS!I11</f>
        <v>0</v>
      </c>
      <c r="J83" s="950">
        <f>SAÍDAS!J11</f>
        <v>0</v>
      </c>
      <c r="K83" s="950">
        <f>SAÍDAS!K11</f>
        <v>73</v>
      </c>
      <c r="L83" s="950">
        <f>SAÍDAS!L11</f>
        <v>31</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306</v>
      </c>
      <c r="E84" s="950">
        <f>E69+ENTRADAS!D12</f>
        <v>0</v>
      </c>
      <c r="F84" s="950">
        <f>F69+ENTRADAS!E12</f>
        <v>0</v>
      </c>
      <c r="G84" s="950">
        <f>G69+ENTRADAS!F12</f>
        <v>1</v>
      </c>
      <c r="H84" s="950">
        <f>H69+ENTRADAS!G12</f>
        <v>1</v>
      </c>
      <c r="I84" s="950">
        <f>I69+ENTRADAS!H12</f>
        <v>0</v>
      </c>
      <c r="J84" s="950">
        <f>J69+ENTRADAS!I12</f>
        <v>0</v>
      </c>
      <c r="K84" s="950">
        <f>K69+ENTRADAS!J12</f>
        <v>0</v>
      </c>
      <c r="L84" s="950">
        <f>L69+ENTRADAS!K12</f>
        <v>0</v>
      </c>
      <c r="M84" s="950">
        <f>M69+ENTRADAS!L12</f>
        <v>1</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307</v>
      </c>
      <c r="D85" s="949" t="s">
        <v>305</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306</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111</v>
      </c>
      <c r="L86" s="950">
        <f>L71+ENTRADAS!K16++ENTRADAS!K31</f>
        <v>0</v>
      </c>
      <c r="M86" s="950">
        <f>M71+ENTRADAS!L16++ENTRADAS!L31</f>
        <v>23</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308</v>
      </c>
      <c r="D87" s="949" t="s">
        <v>305</v>
      </c>
      <c r="E87" s="950">
        <f>SAÍDAS!C23+SAÍDAS!C19+SAÍDAS!E19+SAÍDAS!E23</f>
        <v>1</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306</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138</v>
      </c>
      <c r="F89" s="950">
        <f t="shared" ref="F89:P89" si="8">F81+F83+F85+F87-F82-F84-F86-F88</f>
        <v>0</v>
      </c>
      <c r="G89" s="950">
        <f t="shared" si="8"/>
        <v>99</v>
      </c>
      <c r="H89" s="950">
        <f t="shared" si="8"/>
        <v>-1</v>
      </c>
      <c r="I89" s="950">
        <f t="shared" si="8"/>
        <v>0</v>
      </c>
      <c r="J89" s="950">
        <f t="shared" si="8"/>
        <v>0</v>
      </c>
      <c r="K89" s="950">
        <f t="shared" si="8"/>
        <v>-38</v>
      </c>
      <c r="L89" s="950">
        <f t="shared" si="8"/>
        <v>31</v>
      </c>
      <c r="M89" s="950">
        <f t="shared" si="8"/>
        <v>-24</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309</v>
      </c>
      <c r="E91" s="950">
        <f>E89</f>
        <v>138</v>
      </c>
      <c r="F91" s="950">
        <f t="shared" ref="F91:P91" si="9">E91+F89</f>
        <v>138</v>
      </c>
      <c r="G91" s="950">
        <f t="shared" si="9"/>
        <v>237</v>
      </c>
      <c r="H91" s="950">
        <f t="shared" si="9"/>
        <v>236</v>
      </c>
      <c r="I91" s="950">
        <f t="shared" si="9"/>
        <v>236</v>
      </c>
      <c r="J91" s="950">
        <f t="shared" si="9"/>
        <v>236</v>
      </c>
      <c r="K91" s="950">
        <f t="shared" si="9"/>
        <v>198</v>
      </c>
      <c r="L91" s="950">
        <f t="shared" si="9"/>
        <v>229</v>
      </c>
      <c r="M91" s="950">
        <f t="shared" si="9"/>
        <v>205</v>
      </c>
      <c r="N91" s="950">
        <f t="shared" si="9"/>
        <v>205</v>
      </c>
      <c r="O91" s="950">
        <f t="shared" si="9"/>
        <v>205</v>
      </c>
      <c r="P91" s="950">
        <f t="shared" si="9"/>
        <v>205</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473</v>
      </c>
      <c r="R93" s="960" t="s">
        <v>130</v>
      </c>
    </row>
    <row r="94" spans="2:25" hidden="1" x14ac:dyDescent="0.25">
      <c r="B94" s="894"/>
      <c r="C94" s="961" t="s">
        <v>249</v>
      </c>
      <c r="D94" s="959" t="s">
        <v>303</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304</v>
      </c>
      <c r="E95" s="960">
        <f t="shared" ref="E95:P95" si="11">((E44*E43)+(E46*E45))/540</f>
        <v>92.601851851851848</v>
      </c>
      <c r="F95" s="960">
        <f t="shared" si="11"/>
        <v>92.601851851851848</v>
      </c>
      <c r="G95" s="960">
        <f t="shared" si="11"/>
        <v>127.17777777777778</v>
      </c>
      <c r="H95" s="960">
        <f t="shared" si="11"/>
        <v>59.703703703703702</v>
      </c>
      <c r="I95" s="960">
        <f t="shared" si="11"/>
        <v>45.075925925925922</v>
      </c>
      <c r="J95" s="960">
        <f t="shared" si="11"/>
        <v>45.075925925925922</v>
      </c>
      <c r="K95" s="960">
        <f t="shared" si="11"/>
        <v>81.2</v>
      </c>
      <c r="L95" s="960">
        <f t="shared" si="11"/>
        <v>91.111111111111114</v>
      </c>
      <c r="M95" s="960">
        <f t="shared" si="11"/>
        <v>97.088888888888889</v>
      </c>
      <c r="N95" s="960">
        <f t="shared" si="11"/>
        <v>97.088888888888889</v>
      </c>
      <c r="O95" s="960">
        <f t="shared" si="11"/>
        <v>0</v>
      </c>
      <c r="P95" s="964">
        <f t="shared" si="11"/>
        <v>0</v>
      </c>
      <c r="Q95" s="965">
        <f t="shared" ref="Q95:Q97" si="12">AVERAGE(E95:P95)</f>
        <v>69.060493827160485</v>
      </c>
      <c r="R95" s="960">
        <f t="shared" ref="R95:R97" si="13">IF($D$98=0,0,(Q95/$D$98)*100)</f>
        <v>69.371057775628231</v>
      </c>
    </row>
    <row r="96" spans="2:25" hidden="1" x14ac:dyDescent="0.25">
      <c r="B96" s="894"/>
      <c r="C96" s="962"/>
      <c r="D96" s="959" t="s">
        <v>307</v>
      </c>
      <c r="E96" s="960">
        <f t="shared" ref="E96:P96" si="14">((E49*E48)+(E51*E50))/540</f>
        <v>0</v>
      </c>
      <c r="F96" s="960">
        <f t="shared" si="14"/>
        <v>0</v>
      </c>
      <c r="G96" s="960">
        <f t="shared" si="14"/>
        <v>0</v>
      </c>
      <c r="H96" s="960">
        <f t="shared" si="14"/>
        <v>92.705555555555549</v>
      </c>
      <c r="I96" s="960">
        <f t="shared" si="14"/>
        <v>111.91481481481482</v>
      </c>
      <c r="J96" s="960">
        <f t="shared" si="14"/>
        <v>111.91481481481482</v>
      </c>
      <c r="K96" s="960">
        <f t="shared" si="14"/>
        <v>19.209259259259259</v>
      </c>
      <c r="L96" s="960">
        <f t="shared" si="14"/>
        <v>19.209259259259259</v>
      </c>
      <c r="M96" s="960">
        <f t="shared" si="14"/>
        <v>0</v>
      </c>
      <c r="N96" s="960">
        <f t="shared" si="14"/>
        <v>0</v>
      </c>
      <c r="O96" s="960">
        <f t="shared" si="14"/>
        <v>0</v>
      </c>
      <c r="P96" s="964">
        <f t="shared" si="14"/>
        <v>0</v>
      </c>
      <c r="Q96" s="965">
        <f t="shared" si="12"/>
        <v>29.579475308641978</v>
      </c>
      <c r="R96" s="960">
        <f t="shared" si="13"/>
        <v>29.712493741270723</v>
      </c>
    </row>
    <row r="97" spans="2:18" hidden="1" x14ac:dyDescent="0.25">
      <c r="B97" s="894"/>
      <c r="C97" s="963"/>
      <c r="D97" s="959" t="s">
        <v>308</v>
      </c>
      <c r="E97" s="960">
        <f t="shared" ref="E97:P97" si="15">((E54*E53)+(E56*E55))/540</f>
        <v>1.1111111111111112</v>
      </c>
      <c r="F97" s="960">
        <f t="shared" si="15"/>
        <v>1.1111111111111112</v>
      </c>
      <c r="G97" s="960">
        <f t="shared" si="15"/>
        <v>1.1111111111111112</v>
      </c>
      <c r="H97" s="960">
        <f t="shared" si="15"/>
        <v>1.1111111111111112</v>
      </c>
      <c r="I97" s="960">
        <f t="shared" si="15"/>
        <v>1.1111111111111112</v>
      </c>
      <c r="J97" s="960">
        <f t="shared" si="15"/>
        <v>1.1111111111111112</v>
      </c>
      <c r="K97" s="960">
        <f t="shared" si="15"/>
        <v>1.1222222222222222</v>
      </c>
      <c r="L97" s="960">
        <f t="shared" si="15"/>
        <v>1.1222222222222222</v>
      </c>
      <c r="M97" s="960">
        <f t="shared" si="15"/>
        <v>1.0185185185185186</v>
      </c>
      <c r="N97" s="960">
        <f t="shared" si="15"/>
        <v>1.0185185185185186</v>
      </c>
      <c r="O97" s="960">
        <f t="shared" si="15"/>
        <v>0</v>
      </c>
      <c r="P97" s="964">
        <f t="shared" si="15"/>
        <v>0</v>
      </c>
      <c r="Q97" s="965">
        <f t="shared" si="12"/>
        <v>0.91234567901234565</v>
      </c>
      <c r="R97" s="960">
        <f t="shared" si="13"/>
        <v>0.91644848310104343</v>
      </c>
    </row>
    <row r="98" spans="2:18" hidden="1" x14ac:dyDescent="0.25">
      <c r="B98" s="894"/>
      <c r="C98" s="966" t="s">
        <v>134</v>
      </c>
      <c r="D98" s="965">
        <f>SUM(Q94:Q97)</f>
        <v>99.552314814814807</v>
      </c>
      <c r="E98" s="967">
        <f t="shared" ref="E98:P98" si="16">SUM(E94:E97)</f>
        <v>93.712962962962962</v>
      </c>
      <c r="F98" s="967">
        <f t="shared" si="16"/>
        <v>93.712962962962962</v>
      </c>
      <c r="G98" s="967">
        <f t="shared" si="16"/>
        <v>128.28888888888889</v>
      </c>
      <c r="H98" s="967">
        <f t="shared" si="16"/>
        <v>153.52037037037036</v>
      </c>
      <c r="I98" s="967">
        <f t="shared" si="16"/>
        <v>158.10185185185185</v>
      </c>
      <c r="J98" s="967">
        <f t="shared" si="16"/>
        <v>158.10185185185185</v>
      </c>
      <c r="K98" s="967">
        <f t="shared" si="16"/>
        <v>101.53148148148148</v>
      </c>
      <c r="L98" s="967">
        <f t="shared" si="16"/>
        <v>111.44259259259259</v>
      </c>
      <c r="M98" s="967">
        <f t="shared" si="16"/>
        <v>98.107407407407408</v>
      </c>
      <c r="N98" s="967">
        <f t="shared" si="16"/>
        <v>98.107407407407408</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473</v>
      </c>
      <c r="R100" s="960" t="s">
        <v>130</v>
      </c>
    </row>
    <row r="101" spans="2:18" hidden="1" x14ac:dyDescent="0.25">
      <c r="B101" s="894"/>
      <c r="C101" s="961" t="s">
        <v>464</v>
      </c>
      <c r="D101" s="959" t="s">
        <v>303</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304</v>
      </c>
      <c r="E102" s="1018">
        <f t="shared" ref="E102:P102" si="18">((E44*E43)+(E46*E45))/14.689</f>
        <v>3404.2480767921575</v>
      </c>
      <c r="F102" s="1018">
        <f t="shared" si="18"/>
        <v>3404.2480767921575</v>
      </c>
      <c r="G102" s="1018">
        <f t="shared" si="18"/>
        <v>4675.3352849070734</v>
      </c>
      <c r="H102" s="1018">
        <f t="shared" si="18"/>
        <v>2194.8396759479883</v>
      </c>
      <c r="I102" s="1018">
        <f t="shared" si="18"/>
        <v>1657.0903397099871</v>
      </c>
      <c r="J102" s="1018">
        <f t="shared" si="18"/>
        <v>1657.0903397099871</v>
      </c>
      <c r="K102" s="1018">
        <f t="shared" si="18"/>
        <v>2985.0908843352167</v>
      </c>
      <c r="L102" s="1018">
        <f t="shared" si="18"/>
        <v>3349.4451630471781</v>
      </c>
      <c r="M102" s="1018">
        <f t="shared" si="18"/>
        <v>3569.201443256859</v>
      </c>
      <c r="N102" s="1018">
        <f t="shared" si="18"/>
        <v>3569.201443256859</v>
      </c>
      <c r="O102" s="1018">
        <f t="shared" si="18"/>
        <v>0</v>
      </c>
      <c r="P102" s="1018">
        <f t="shared" si="18"/>
        <v>0</v>
      </c>
      <c r="Q102" s="965">
        <f t="shared" ref="Q102:Q104" si="19">AVERAGE(E102:P102)</f>
        <v>2538.8158939796217</v>
      </c>
      <c r="R102" s="960">
        <f t="shared" ref="R102:R104" si="20">IF($D$105=0,0,(Q102/$D$105)*100)</f>
        <v>69.371057775628231</v>
      </c>
    </row>
    <row r="103" spans="2:18" hidden="1" x14ac:dyDescent="0.25">
      <c r="C103" s="962"/>
      <c r="D103" s="959" t="s">
        <v>307</v>
      </c>
      <c r="E103" s="1018">
        <f t="shared" ref="E103:P103" si="21">((E49*E48)+(E51*E50))/14.689</f>
        <v>0</v>
      </c>
      <c r="F103" s="1018">
        <f t="shared" si="21"/>
        <v>0</v>
      </c>
      <c r="G103" s="1018">
        <f t="shared" si="21"/>
        <v>0</v>
      </c>
      <c r="H103" s="1018">
        <f t="shared" si="21"/>
        <v>3408.0604534005038</v>
      </c>
      <c r="I103" s="1018">
        <f t="shared" si="21"/>
        <v>4114.2351419429506</v>
      </c>
      <c r="J103" s="1018">
        <f t="shared" si="21"/>
        <v>4114.2351419429506</v>
      </c>
      <c r="K103" s="1018">
        <f t="shared" si="21"/>
        <v>706.17468854244669</v>
      </c>
      <c r="L103" s="1018">
        <f t="shared" si="21"/>
        <v>706.17468854244669</v>
      </c>
      <c r="M103" s="1018">
        <f t="shared" si="21"/>
        <v>0</v>
      </c>
      <c r="N103" s="1018">
        <f t="shared" si="21"/>
        <v>0</v>
      </c>
      <c r="O103" s="1018">
        <f t="shared" si="21"/>
        <v>0</v>
      </c>
      <c r="P103" s="1018">
        <f t="shared" si="21"/>
        <v>0</v>
      </c>
      <c r="Q103" s="965">
        <f t="shared" si="19"/>
        <v>1087.4066761976082</v>
      </c>
      <c r="R103" s="960">
        <f t="shared" si="20"/>
        <v>29.712493741270723</v>
      </c>
    </row>
    <row r="104" spans="2:18" hidden="1" x14ac:dyDescent="0.25">
      <c r="C104" s="963"/>
      <c r="D104" s="959" t="s">
        <v>308</v>
      </c>
      <c r="E104" s="1018">
        <f t="shared" ref="E104:P104" si="22">((E54*E53)+(E56*E55))/14.689</f>
        <v>40.846892232282663</v>
      </c>
      <c r="F104" s="1018">
        <f t="shared" si="22"/>
        <v>40.846892232282663</v>
      </c>
      <c r="G104" s="1018">
        <f t="shared" si="22"/>
        <v>40.846892232282663</v>
      </c>
      <c r="H104" s="1018">
        <f t="shared" si="22"/>
        <v>40.846892232282663</v>
      </c>
      <c r="I104" s="1018">
        <f t="shared" si="22"/>
        <v>40.846892232282663</v>
      </c>
      <c r="J104" s="1018">
        <f t="shared" si="22"/>
        <v>40.846892232282663</v>
      </c>
      <c r="K104" s="1018">
        <f t="shared" si="22"/>
        <v>41.255361154605488</v>
      </c>
      <c r="L104" s="1018">
        <f t="shared" si="22"/>
        <v>41.255361154605488</v>
      </c>
      <c r="M104" s="1018">
        <f t="shared" si="22"/>
        <v>37.442984546259105</v>
      </c>
      <c r="N104" s="1018">
        <f t="shared" si="22"/>
        <v>37.442984546259105</v>
      </c>
      <c r="O104" s="1018">
        <f t="shared" si="22"/>
        <v>0</v>
      </c>
      <c r="P104" s="1018">
        <f t="shared" si="22"/>
        <v>0</v>
      </c>
      <c r="Q104" s="965">
        <f t="shared" si="19"/>
        <v>33.539837066285429</v>
      </c>
      <c r="R104" s="960">
        <f t="shared" si="20"/>
        <v>0.91644848310104343</v>
      </c>
    </row>
    <row r="105" spans="2:18" hidden="1" x14ac:dyDescent="0.25">
      <c r="C105" s="966" t="s">
        <v>134</v>
      </c>
      <c r="D105" s="965">
        <f>SUM(Q101:Q104)</f>
        <v>3659.7624072435156</v>
      </c>
      <c r="E105" s="967">
        <f t="shared" ref="E105" si="23">SUM(E101:E104)</f>
        <v>3445.0949690244402</v>
      </c>
      <c r="F105" s="967">
        <f t="shared" ref="F105" si="24">SUM(F101:F104)</f>
        <v>3445.0949690244402</v>
      </c>
      <c r="G105" s="967">
        <f t="shared" ref="G105" si="25">SUM(G101:G104)</f>
        <v>4716.1821771393561</v>
      </c>
      <c r="H105" s="967">
        <f t="shared" ref="H105" si="26">SUM(H101:H104)</f>
        <v>5643.7470215807753</v>
      </c>
      <c r="I105" s="967">
        <f t="shared" ref="I105" si="27">SUM(I101:I104)</f>
        <v>5812.1723738852206</v>
      </c>
      <c r="J105" s="967">
        <f t="shared" ref="J105" si="28">SUM(J101:J104)</f>
        <v>5812.1723738852206</v>
      </c>
      <c r="K105" s="967">
        <f t="shared" ref="K105" si="29">SUM(K101:K104)</f>
        <v>3732.520934032269</v>
      </c>
      <c r="L105" s="967">
        <f t="shared" ref="L105" si="30">SUM(L101:L104)</f>
        <v>4096.8752127442303</v>
      </c>
      <c r="M105" s="967">
        <f t="shared" ref="M105" si="31">SUM(M101:M104)</f>
        <v>3606.6444278031181</v>
      </c>
      <c r="N105" s="967">
        <f t="shared" ref="N105" si="32">SUM(N101:N104)</f>
        <v>3606.6444278031181</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E066" sheet="1" objects="1" scenarios="1" selectLockedCells="1"/>
  <mergeCells count="39">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3" priority="13">
      <formula>E58&lt;&gt;E91</formula>
    </cfRule>
  </conditionalFormatting>
  <conditionalFormatting sqref="I2">
    <cfRule type="expression" dxfId="22" priority="6">
      <formula>$I$2=0</formula>
    </cfRule>
    <cfRule type="expression" dxfId="21" priority="7">
      <formula>$I$2=""</formula>
    </cfRule>
    <cfRule type="expression" dxfId="20" priority="8">
      <formula>$I$2&lt;&gt;$K$2</formula>
    </cfRule>
    <cfRule type="expression" dxfId="19" priority="9">
      <formula>$I$2=" "</formula>
    </cfRule>
  </conditionalFormatting>
  <conditionalFormatting sqref="G63:P63">
    <cfRule type="expression" dxfId="18" priority="2">
      <formula>OR(G$53=0,G$53="")</formula>
    </cfRule>
  </conditionalFormatting>
  <conditionalFormatting sqref="E63:F63">
    <cfRule type="expression" dxfId="17" priority="1">
      <formula>OR(E$53=0,E$53="")</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77"/>
  <sheetViews>
    <sheetView showGridLines="0" topLeftCell="A4" zoomScale="70" zoomScaleNormal="70" workbookViewId="0">
      <selection activeCell="L35" sqref="L35"/>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Bonanza</v>
      </c>
      <c r="D2" s="762"/>
      <c r="E2" s="762"/>
      <c r="F2" s="774"/>
      <c r="G2" s="467" t="s">
        <v>120</v>
      </c>
      <c r="H2" s="224"/>
      <c r="J2" s="437"/>
    </row>
    <row r="3" spans="2:29" ht="15.75" thickBot="1" x14ac:dyDescent="0.3">
      <c r="B3" s="775" t="str">
        <f>REBANHO!B6</f>
        <v>Sistema de produção</v>
      </c>
      <c r="C3" s="776" t="str">
        <f>IF(REBANHO!C3="","",REBANHO!C3)</f>
        <v>Quatá</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4" t="s">
        <v>367</v>
      </c>
      <c r="C7" s="1165"/>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6" t="s">
        <v>121</v>
      </c>
      <c r="C8" s="250" t="s">
        <v>15</v>
      </c>
      <c r="D8" s="313"/>
      <c r="E8" s="313"/>
      <c r="F8" s="313"/>
      <c r="G8" s="313"/>
      <c r="H8" s="313"/>
      <c r="I8" s="313"/>
      <c r="J8" s="313"/>
      <c r="K8" s="313"/>
      <c r="L8" s="313"/>
      <c r="M8" s="313"/>
      <c r="N8" s="313"/>
      <c r="O8" s="313"/>
      <c r="P8" s="251">
        <f>SUM(D8:O8)</f>
        <v>0</v>
      </c>
    </row>
    <row r="9" spans="2:29" x14ac:dyDescent="0.25">
      <c r="B9" s="1166"/>
      <c r="C9" s="250" t="s">
        <v>112</v>
      </c>
      <c r="D9" s="314"/>
      <c r="E9" s="314"/>
      <c r="F9" s="314"/>
      <c r="G9" s="314"/>
      <c r="H9" s="314"/>
      <c r="I9" s="314"/>
      <c r="J9" s="314"/>
      <c r="K9" s="314"/>
      <c r="L9" s="314"/>
      <c r="M9" s="314"/>
      <c r="N9" s="314"/>
      <c r="O9" s="314"/>
      <c r="P9" s="253">
        <f>SUM(D9:O9)</f>
        <v>0</v>
      </c>
    </row>
    <row r="10" spans="2:29" x14ac:dyDescent="0.25">
      <c r="B10" s="1167"/>
      <c r="C10" s="252" t="s">
        <v>113</v>
      </c>
      <c r="D10" s="314"/>
      <c r="E10" s="314"/>
      <c r="F10" s="314"/>
      <c r="G10" s="314"/>
      <c r="H10" s="314"/>
      <c r="I10" s="314"/>
      <c r="J10" s="314"/>
      <c r="K10" s="314"/>
      <c r="L10" s="314"/>
      <c r="M10" s="314"/>
      <c r="N10" s="314"/>
      <c r="O10" s="314"/>
      <c r="P10" s="253">
        <f>IF(P8=0,0,P11/P8)</f>
        <v>0</v>
      </c>
    </row>
    <row r="11" spans="2:29" ht="15.75" thickBot="1" x14ac:dyDescent="0.3">
      <c r="B11" s="1172"/>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6" t="s">
        <v>13</v>
      </c>
      <c r="C12" s="257" t="s">
        <v>15</v>
      </c>
      <c r="D12" s="313"/>
      <c r="E12" s="313"/>
      <c r="F12" s="313"/>
      <c r="G12" s="313">
        <v>1</v>
      </c>
      <c r="H12" s="313"/>
      <c r="I12" s="313"/>
      <c r="J12" s="313"/>
      <c r="K12" s="313"/>
      <c r="L12" s="313"/>
      <c r="M12" s="313"/>
      <c r="N12" s="313"/>
      <c r="O12" s="313"/>
      <c r="P12" s="251">
        <f>SUM(D12:O12)</f>
        <v>1</v>
      </c>
    </row>
    <row r="13" spans="2:29" x14ac:dyDescent="0.25">
      <c r="B13" s="1166"/>
      <c r="C13" s="250" t="s">
        <v>112</v>
      </c>
      <c r="D13" s="314"/>
      <c r="E13" s="314"/>
      <c r="F13" s="314"/>
      <c r="G13" s="314">
        <v>458</v>
      </c>
      <c r="H13" s="314"/>
      <c r="I13" s="314"/>
      <c r="J13" s="314"/>
      <c r="K13" s="314"/>
      <c r="L13" s="314"/>
      <c r="M13" s="314"/>
      <c r="N13" s="314"/>
      <c r="O13" s="314"/>
      <c r="P13" s="253">
        <f>SUM(D13:O13)</f>
        <v>458</v>
      </c>
    </row>
    <row r="14" spans="2:29" x14ac:dyDescent="0.25">
      <c r="B14" s="1167"/>
      <c r="C14" s="252" t="s">
        <v>113</v>
      </c>
      <c r="D14" s="314"/>
      <c r="E14" s="314"/>
      <c r="F14" s="314"/>
      <c r="G14" s="314">
        <v>3000</v>
      </c>
      <c r="H14" s="314"/>
      <c r="I14" s="314"/>
      <c r="J14" s="314"/>
      <c r="K14" s="314"/>
      <c r="L14" s="314"/>
      <c r="M14" s="314"/>
      <c r="N14" s="314"/>
      <c r="O14" s="314"/>
      <c r="P14" s="253">
        <f>IF(P12=0,0,P15/P12)</f>
        <v>3000</v>
      </c>
    </row>
    <row r="15" spans="2:29" ht="15.75" thickBot="1" x14ac:dyDescent="0.3">
      <c r="B15" s="1168"/>
      <c r="C15" s="254" t="s">
        <v>16</v>
      </c>
      <c r="D15" s="258">
        <f t="shared" ref="D15:O15" si="1">D12*D14</f>
        <v>0</v>
      </c>
      <c r="E15" s="258">
        <f t="shared" si="1"/>
        <v>0</v>
      </c>
      <c r="F15" s="258">
        <f t="shared" si="1"/>
        <v>0</v>
      </c>
      <c r="G15" s="258">
        <f t="shared" si="1"/>
        <v>3000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3000</v>
      </c>
    </row>
    <row r="16" spans="2:29" ht="15.75" thickTop="1" x14ac:dyDescent="0.25">
      <c r="B16" s="1171" t="s">
        <v>14</v>
      </c>
      <c r="C16" s="257" t="s">
        <v>15</v>
      </c>
      <c r="D16" s="315"/>
      <c r="E16" s="315"/>
      <c r="F16" s="315"/>
      <c r="G16" s="315"/>
      <c r="H16" s="315"/>
      <c r="I16" s="315"/>
      <c r="J16" s="315"/>
      <c r="K16" s="315"/>
      <c r="L16" s="315"/>
      <c r="M16" s="315"/>
      <c r="N16" s="315"/>
      <c r="O16" s="315"/>
      <c r="P16" s="260">
        <f>SUM(D16:O16)</f>
        <v>0</v>
      </c>
    </row>
    <row r="17" spans="2:29" x14ac:dyDescent="0.25">
      <c r="B17" s="1166"/>
      <c r="C17" s="250" t="s">
        <v>112</v>
      </c>
      <c r="D17" s="314"/>
      <c r="E17" s="314"/>
      <c r="F17" s="314"/>
      <c r="G17" s="314"/>
      <c r="H17" s="314"/>
      <c r="I17" s="314"/>
      <c r="J17" s="314"/>
      <c r="K17" s="314"/>
      <c r="L17" s="314"/>
      <c r="M17" s="314"/>
      <c r="N17" s="314"/>
      <c r="O17" s="314"/>
      <c r="P17" s="253">
        <f>SUM(D17:O17)</f>
        <v>0</v>
      </c>
    </row>
    <row r="18" spans="2:29" x14ac:dyDescent="0.25">
      <c r="B18" s="1167"/>
      <c r="C18" s="252" t="s">
        <v>113</v>
      </c>
      <c r="D18" s="314"/>
      <c r="E18" s="314"/>
      <c r="F18" s="314"/>
      <c r="G18" s="314"/>
      <c r="H18" s="314"/>
      <c r="I18" s="314"/>
      <c r="J18" s="314"/>
      <c r="K18" s="314"/>
      <c r="L18" s="314"/>
      <c r="M18" s="314"/>
      <c r="N18" s="314"/>
      <c r="O18" s="314"/>
      <c r="P18" s="253">
        <f>IF(P16=0,0,P19/P16)</f>
        <v>0</v>
      </c>
    </row>
    <row r="19" spans="2:29" ht="15.75" thickBot="1" x14ac:dyDescent="0.3">
      <c r="B19" s="1172"/>
      <c r="C19" s="254" t="s">
        <v>16</v>
      </c>
      <c r="D19" s="255">
        <f t="shared" ref="D19:O19" si="2">D16*D18</f>
        <v>0</v>
      </c>
      <c r="E19" s="255">
        <f t="shared" si="2"/>
        <v>0</v>
      </c>
      <c r="F19" s="255">
        <f>F16*F18</f>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6" t="s">
        <v>105</v>
      </c>
      <c r="C20" s="257" t="s">
        <v>15</v>
      </c>
      <c r="D20" s="313"/>
      <c r="E20" s="313"/>
      <c r="F20" s="313"/>
      <c r="G20" s="313"/>
      <c r="H20" s="313"/>
      <c r="I20" s="313"/>
      <c r="J20" s="313"/>
      <c r="K20" s="313"/>
      <c r="L20" s="313"/>
      <c r="M20" s="313"/>
      <c r="N20" s="313"/>
      <c r="O20" s="313"/>
      <c r="P20" s="251">
        <f>SUM(D20:O20)</f>
        <v>0</v>
      </c>
    </row>
    <row r="21" spans="2:29" x14ac:dyDescent="0.25">
      <c r="B21" s="1166"/>
      <c r="C21" s="250" t="s">
        <v>112</v>
      </c>
      <c r="D21" s="314"/>
      <c r="E21" s="314"/>
      <c r="F21" s="314"/>
      <c r="G21" s="314"/>
      <c r="H21" s="314"/>
      <c r="I21" s="314"/>
      <c r="J21" s="314"/>
      <c r="K21" s="314"/>
      <c r="L21" s="314"/>
      <c r="M21" s="314"/>
      <c r="N21" s="314"/>
      <c r="O21" s="314"/>
      <c r="P21" s="253">
        <f>SUM(D21:O21)</f>
        <v>0</v>
      </c>
    </row>
    <row r="22" spans="2:29" x14ac:dyDescent="0.25">
      <c r="B22" s="1167"/>
      <c r="C22" s="252" t="s">
        <v>113</v>
      </c>
      <c r="D22" s="314"/>
      <c r="E22" s="314"/>
      <c r="F22" s="314"/>
      <c r="G22" s="314"/>
      <c r="H22" s="314"/>
      <c r="I22" s="314"/>
      <c r="J22" s="314"/>
      <c r="K22" s="314"/>
      <c r="L22" s="314"/>
      <c r="M22" s="314"/>
      <c r="N22" s="314"/>
      <c r="O22" s="314"/>
      <c r="P22" s="253">
        <f>IF(P20=0,0,P23/P20)</f>
        <v>0</v>
      </c>
    </row>
    <row r="23" spans="2:29" ht="15.75" thickBot="1" x14ac:dyDescent="0.3">
      <c r="B23" s="1168"/>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71" t="s">
        <v>106</v>
      </c>
      <c r="C24" s="257" t="s">
        <v>15</v>
      </c>
      <c r="D24" s="315"/>
      <c r="E24" s="315"/>
      <c r="F24" s="315"/>
      <c r="G24" s="315"/>
      <c r="H24" s="315"/>
      <c r="I24" s="315"/>
      <c r="J24" s="315"/>
      <c r="K24" s="315"/>
      <c r="L24" s="315"/>
      <c r="M24" s="315"/>
      <c r="N24" s="315"/>
      <c r="O24" s="315"/>
      <c r="P24" s="260">
        <f>SUM(D24:O24)</f>
        <v>0</v>
      </c>
    </row>
    <row r="25" spans="2:29" x14ac:dyDescent="0.25">
      <c r="B25" s="1166"/>
      <c r="C25" s="250" t="s">
        <v>112</v>
      </c>
      <c r="D25" s="314"/>
      <c r="E25" s="314"/>
      <c r="F25" s="314"/>
      <c r="G25" s="314"/>
      <c r="H25" s="314"/>
      <c r="I25" s="314"/>
      <c r="J25" s="314"/>
      <c r="K25" s="314"/>
      <c r="L25" s="314"/>
      <c r="M25" s="314"/>
      <c r="N25" s="314"/>
      <c r="O25" s="314"/>
      <c r="P25" s="253">
        <f>SUM(D25:O25)</f>
        <v>0</v>
      </c>
    </row>
    <row r="26" spans="2:29" x14ac:dyDescent="0.25">
      <c r="B26" s="1167"/>
      <c r="C26" s="252" t="s">
        <v>113</v>
      </c>
      <c r="D26" s="314"/>
      <c r="E26" s="314"/>
      <c r="F26" s="314"/>
      <c r="G26" s="314"/>
      <c r="H26" s="314"/>
      <c r="I26" s="314"/>
      <c r="J26" s="314"/>
      <c r="K26" s="314"/>
      <c r="L26" s="314"/>
      <c r="M26" s="314"/>
      <c r="N26" s="314"/>
      <c r="O26" s="314"/>
      <c r="P26" s="253">
        <f>IF(P24=0,0,P27/P24)</f>
        <v>0</v>
      </c>
    </row>
    <row r="27" spans="2:29" ht="15.75" thickBot="1" x14ac:dyDescent="0.3">
      <c r="B27" s="1168"/>
      <c r="C27" s="261" t="s">
        <v>16</v>
      </c>
      <c r="D27" s="258">
        <f t="shared" ref="D27:O27" si="4">D24*D26</f>
        <v>0</v>
      </c>
      <c r="E27" s="258">
        <f t="shared" si="4"/>
        <v>0</v>
      </c>
      <c r="F27" s="258">
        <f>F24*F26</f>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3000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3000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4" t="s">
        <v>368</v>
      </c>
      <c r="C30" s="1165"/>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6" t="s">
        <v>14</v>
      </c>
      <c r="C31" s="250" t="s">
        <v>15</v>
      </c>
      <c r="D31" s="313"/>
      <c r="E31" s="313"/>
      <c r="F31" s="313"/>
      <c r="G31" s="313"/>
      <c r="H31" s="313"/>
      <c r="I31" s="313"/>
      <c r="J31" s="313">
        <v>111</v>
      </c>
      <c r="K31" s="313"/>
      <c r="L31" s="313">
        <v>23</v>
      </c>
      <c r="M31" s="313"/>
      <c r="N31" s="313"/>
      <c r="O31" s="313"/>
      <c r="P31" s="251">
        <f>SUM(D31:O31)</f>
        <v>134</v>
      </c>
    </row>
    <row r="32" spans="2:29" x14ac:dyDescent="0.25">
      <c r="B32" s="1166"/>
      <c r="C32" s="250" t="s">
        <v>112</v>
      </c>
      <c r="D32" s="313"/>
      <c r="E32" s="313"/>
      <c r="F32" s="313"/>
      <c r="G32" s="313"/>
      <c r="H32" s="313"/>
      <c r="I32" s="313"/>
      <c r="J32" s="313">
        <v>587</v>
      </c>
      <c r="K32" s="313"/>
      <c r="L32" s="313">
        <f>(518+498)/2</f>
        <v>508</v>
      </c>
      <c r="M32" s="313"/>
      <c r="N32" s="313"/>
      <c r="O32" s="313"/>
      <c r="P32" s="253">
        <f>SUM(D32:O32)</f>
        <v>1095</v>
      </c>
    </row>
    <row r="33" spans="2:16" x14ac:dyDescent="0.25">
      <c r="B33" s="1167"/>
      <c r="C33" s="252" t="s">
        <v>113</v>
      </c>
      <c r="D33" s="267">
        <f t="shared" ref="D33:P33" si="6">IF(D31=0,0,D34/D31)</f>
        <v>0</v>
      </c>
      <c r="E33" s="267">
        <f t="shared" si="6"/>
        <v>0</v>
      </c>
      <c r="F33" s="267">
        <f t="shared" si="6"/>
        <v>0</v>
      </c>
      <c r="G33" s="267">
        <f t="shared" si="6"/>
        <v>0</v>
      </c>
      <c r="H33" s="267">
        <f t="shared" si="6"/>
        <v>0</v>
      </c>
      <c r="I33" s="267">
        <f t="shared" si="6"/>
        <v>0</v>
      </c>
      <c r="J33" s="267">
        <f t="shared" si="6"/>
        <v>3240.8180180180179</v>
      </c>
      <c r="K33" s="267">
        <f t="shared" si="6"/>
        <v>0</v>
      </c>
      <c r="L33" s="267">
        <f t="shared" si="6"/>
        <v>2730.9334782608698</v>
      </c>
      <c r="M33" s="267">
        <f t="shared" si="6"/>
        <v>0</v>
      </c>
      <c r="N33" s="267">
        <f t="shared" si="6"/>
        <v>0</v>
      </c>
      <c r="O33" s="267">
        <f t="shared" si="6"/>
        <v>0</v>
      </c>
      <c r="P33" s="253">
        <f t="shared" si="6"/>
        <v>3153.30052238806</v>
      </c>
    </row>
    <row r="34" spans="2:16" ht="15.75" thickBot="1" x14ac:dyDescent="0.3">
      <c r="B34" s="1172"/>
      <c r="C34" s="254" t="s">
        <v>16</v>
      </c>
      <c r="D34" s="316"/>
      <c r="E34" s="316"/>
      <c r="F34" s="316"/>
      <c r="G34" s="316"/>
      <c r="H34" s="316"/>
      <c r="I34" s="316"/>
      <c r="J34" s="316">
        <v>359730.8</v>
      </c>
      <c r="K34" s="316"/>
      <c r="L34" s="316">
        <v>62811.47</v>
      </c>
      <c r="M34" s="316"/>
      <c r="N34" s="316"/>
      <c r="O34" s="316"/>
      <c r="P34" s="268">
        <f>SUM(D34:O34)</f>
        <v>422542.27</v>
      </c>
    </row>
    <row r="35" spans="2:16" ht="15.75" thickTop="1" x14ac:dyDescent="0.25">
      <c r="B35" s="1166" t="s">
        <v>105</v>
      </c>
      <c r="C35" s="257" t="s">
        <v>15</v>
      </c>
      <c r="D35" s="313"/>
      <c r="E35" s="313"/>
      <c r="F35" s="313"/>
      <c r="G35" s="313"/>
      <c r="H35" s="313"/>
      <c r="I35" s="313"/>
      <c r="J35" s="313"/>
      <c r="K35" s="313"/>
      <c r="L35" s="313"/>
      <c r="M35" s="313"/>
      <c r="N35" s="313"/>
      <c r="O35" s="313"/>
      <c r="P35" s="251">
        <f>SUM(D35:O35)</f>
        <v>0</v>
      </c>
    </row>
    <row r="36" spans="2:16" x14ac:dyDescent="0.25">
      <c r="B36" s="1166"/>
      <c r="C36" s="250" t="s">
        <v>112</v>
      </c>
      <c r="D36" s="313"/>
      <c r="E36" s="313"/>
      <c r="F36" s="313"/>
      <c r="G36" s="313"/>
      <c r="H36" s="313"/>
      <c r="I36" s="313"/>
      <c r="J36" s="313"/>
      <c r="K36" s="313"/>
      <c r="L36" s="313"/>
      <c r="M36" s="313"/>
      <c r="N36" s="313"/>
      <c r="O36" s="313"/>
      <c r="P36" s="253">
        <f>SUM(D36:O36)</f>
        <v>0</v>
      </c>
    </row>
    <row r="37" spans="2:16" x14ac:dyDescent="0.25">
      <c r="B37" s="1167"/>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8"/>
      <c r="C38" s="254" t="s">
        <v>16</v>
      </c>
      <c r="D38" s="316"/>
      <c r="E38" s="316"/>
      <c r="F38" s="316"/>
      <c r="G38" s="316"/>
      <c r="H38" s="316"/>
      <c r="I38" s="316"/>
      <c r="J38" s="316"/>
      <c r="K38" s="316"/>
      <c r="L38" s="316"/>
      <c r="M38" s="316"/>
      <c r="N38" s="316"/>
      <c r="O38" s="316"/>
      <c r="P38" s="259">
        <f>SUM(D38:O38)</f>
        <v>0</v>
      </c>
    </row>
    <row r="39" spans="2:16" ht="15.75" thickTop="1" x14ac:dyDescent="0.25">
      <c r="B39" s="1171" t="s">
        <v>106</v>
      </c>
      <c r="C39" s="257" t="s">
        <v>15</v>
      </c>
      <c r="D39" s="315"/>
      <c r="E39" s="315"/>
      <c r="F39" s="315"/>
      <c r="G39" s="315"/>
      <c r="H39" s="315"/>
      <c r="I39" s="315"/>
      <c r="J39" s="315"/>
      <c r="K39" s="315"/>
      <c r="L39" s="315"/>
      <c r="M39" s="315"/>
      <c r="N39" s="315"/>
      <c r="O39" s="315"/>
      <c r="P39" s="260">
        <f>SUM(D39:O39)</f>
        <v>0</v>
      </c>
    </row>
    <row r="40" spans="2:16" x14ac:dyDescent="0.25">
      <c r="B40" s="1166"/>
      <c r="C40" s="250" t="s">
        <v>112</v>
      </c>
      <c r="D40" s="313"/>
      <c r="E40" s="313"/>
      <c r="F40" s="313"/>
      <c r="G40" s="313"/>
      <c r="H40" s="313"/>
      <c r="I40" s="313"/>
      <c r="J40" s="313"/>
      <c r="K40" s="313"/>
      <c r="L40" s="313"/>
      <c r="M40" s="313"/>
      <c r="N40" s="313"/>
      <c r="O40" s="313"/>
      <c r="P40" s="253">
        <f>SUM(D40:O40)</f>
        <v>0</v>
      </c>
    </row>
    <row r="41" spans="2:16" x14ac:dyDescent="0.25">
      <c r="B41" s="1167"/>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2"/>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359730.8</v>
      </c>
      <c r="K43" s="264">
        <f t="shared" si="9"/>
        <v>0</v>
      </c>
      <c r="L43" s="264">
        <f t="shared" si="9"/>
        <v>62811.47</v>
      </c>
      <c r="M43" s="264">
        <f t="shared" si="9"/>
        <v>0</v>
      </c>
      <c r="N43" s="264">
        <f t="shared" si="9"/>
        <v>0</v>
      </c>
      <c r="O43" s="264">
        <f t="shared" si="9"/>
        <v>0</v>
      </c>
      <c r="P43" s="265">
        <f t="shared" si="9"/>
        <v>422542.27</v>
      </c>
    </row>
    <row r="44" spans="2:16" ht="16.5" thickTop="1" thickBot="1" x14ac:dyDescent="0.3"/>
    <row r="45" spans="2:16" ht="23.25" customHeight="1" thickTop="1" thickBot="1" x14ac:dyDescent="0.3">
      <c r="B45" s="1164" t="s">
        <v>235</v>
      </c>
      <c r="C45" s="1165"/>
      <c r="D45" s="269" t="s">
        <v>202</v>
      </c>
      <c r="E45" s="248" t="s">
        <v>47</v>
      </c>
      <c r="F45" s="270" t="s">
        <v>203</v>
      </c>
      <c r="G45" s="270" t="s">
        <v>487</v>
      </c>
      <c r="H45" s="1160" t="s">
        <v>236</v>
      </c>
      <c r="I45" s="1161"/>
      <c r="J45" s="271"/>
      <c r="K45" s="436" t="s">
        <v>488</v>
      </c>
      <c r="L45" s="271"/>
      <c r="M45" s="271"/>
      <c r="N45" s="271"/>
      <c r="O45" s="271"/>
      <c r="P45" s="271"/>
    </row>
    <row r="46" spans="2:16" ht="15.75" customHeight="1" thickTop="1" x14ac:dyDescent="0.25">
      <c r="B46" s="1169"/>
      <c r="C46" s="1170"/>
      <c r="D46" s="317"/>
      <c r="E46" s="317"/>
      <c r="F46" s="318"/>
      <c r="G46" s="318"/>
      <c r="H46" s="1162"/>
      <c r="I46" s="1163"/>
      <c r="J46" s="273" t="s">
        <v>104</v>
      </c>
      <c r="K46" s="226">
        <f>(F46*G46)/14.689</f>
        <v>0</v>
      </c>
      <c r="L46" s="1019"/>
      <c r="M46" s="1019"/>
      <c r="N46" s="1019"/>
      <c r="O46" s="1019"/>
      <c r="P46" s="271"/>
    </row>
    <row r="47" spans="2:16" x14ac:dyDescent="0.25">
      <c r="B47" s="1173"/>
      <c r="C47" s="1174"/>
      <c r="D47" s="777"/>
      <c r="E47" s="317"/>
      <c r="F47" s="318"/>
      <c r="G47" s="318"/>
      <c r="H47" s="1158"/>
      <c r="I47" s="1159"/>
      <c r="J47" s="273" t="s">
        <v>103</v>
      </c>
      <c r="K47" s="226">
        <f t="shared" ref="K47:K65" si="10">(F47*G47)/14.689</f>
        <v>0</v>
      </c>
      <c r="L47" s="224"/>
      <c r="M47" s="274"/>
      <c r="N47" s="237"/>
      <c r="O47" s="275"/>
      <c r="P47" s="276"/>
    </row>
    <row r="48" spans="2:16" x14ac:dyDescent="0.25">
      <c r="B48" s="1173"/>
      <c r="C48" s="1174"/>
      <c r="D48" s="317"/>
      <c r="E48" s="317"/>
      <c r="F48" s="318"/>
      <c r="G48" s="318"/>
      <c r="H48" s="1158"/>
      <c r="I48" s="1159"/>
      <c r="J48" s="273" t="s">
        <v>102</v>
      </c>
      <c r="K48" s="226">
        <f t="shared" si="10"/>
        <v>0</v>
      </c>
      <c r="L48" s="224"/>
      <c r="M48" s="274"/>
      <c r="N48" s="237"/>
      <c r="O48" s="275"/>
      <c r="P48" s="276"/>
    </row>
    <row r="49" spans="2:16" x14ac:dyDescent="0.25">
      <c r="B49" s="1173"/>
      <c r="C49" s="1174"/>
      <c r="D49" s="317"/>
      <c r="E49" s="317"/>
      <c r="F49" s="318"/>
      <c r="G49" s="318"/>
      <c r="H49" s="1158"/>
      <c r="I49" s="1159"/>
      <c r="J49" s="273" t="s">
        <v>123</v>
      </c>
      <c r="K49" s="226">
        <f t="shared" si="10"/>
        <v>0</v>
      </c>
      <c r="L49" s="224"/>
      <c r="M49" s="274"/>
      <c r="N49" s="237"/>
      <c r="O49" s="275"/>
      <c r="P49" s="276"/>
    </row>
    <row r="50" spans="2:16" x14ac:dyDescent="0.25">
      <c r="B50" s="1173"/>
      <c r="C50" s="1174"/>
      <c r="D50" s="317"/>
      <c r="E50" s="317"/>
      <c r="F50" s="318"/>
      <c r="G50" s="318"/>
      <c r="H50" s="1158"/>
      <c r="I50" s="1159"/>
      <c r="J50" s="224"/>
      <c r="K50" s="226">
        <f t="shared" si="10"/>
        <v>0</v>
      </c>
      <c r="L50" s="224"/>
      <c r="M50" s="274"/>
      <c r="N50" s="237"/>
      <c r="O50" s="275"/>
      <c r="P50" s="276"/>
    </row>
    <row r="51" spans="2:16" x14ac:dyDescent="0.25">
      <c r="B51" s="1173"/>
      <c r="C51" s="1174"/>
      <c r="D51" s="317"/>
      <c r="E51" s="317"/>
      <c r="F51" s="318"/>
      <c r="G51" s="318"/>
      <c r="H51" s="1158"/>
      <c r="I51" s="1159"/>
      <c r="J51" s="224"/>
      <c r="K51" s="226">
        <f t="shared" si="10"/>
        <v>0</v>
      </c>
      <c r="L51" s="224"/>
      <c r="M51" s="274"/>
      <c r="N51" s="237"/>
      <c r="O51" s="275"/>
      <c r="P51" s="276"/>
    </row>
    <row r="52" spans="2:16" x14ac:dyDescent="0.25">
      <c r="B52" s="1173"/>
      <c r="C52" s="1174"/>
      <c r="D52" s="317"/>
      <c r="E52" s="317"/>
      <c r="F52" s="318"/>
      <c r="G52" s="318"/>
      <c r="H52" s="1158"/>
      <c r="I52" s="1159"/>
      <c r="J52" s="274"/>
      <c r="K52" s="226">
        <f t="shared" si="10"/>
        <v>0</v>
      </c>
      <c r="L52" s="275"/>
      <c r="M52" s="274"/>
      <c r="N52" s="237"/>
      <c r="O52" s="275"/>
      <c r="P52" s="276"/>
    </row>
    <row r="53" spans="2:16" x14ac:dyDescent="0.25">
      <c r="B53" s="1173"/>
      <c r="C53" s="1174"/>
      <c r="D53" s="317"/>
      <c r="E53" s="317"/>
      <c r="F53" s="318"/>
      <c r="G53" s="318"/>
      <c r="H53" s="1158"/>
      <c r="I53" s="1159"/>
      <c r="J53" s="274"/>
      <c r="K53" s="226">
        <f t="shared" si="10"/>
        <v>0</v>
      </c>
      <c r="L53" s="275"/>
      <c r="M53" s="274"/>
      <c r="N53" s="237"/>
      <c r="O53" s="275"/>
      <c r="P53" s="276"/>
    </row>
    <row r="54" spans="2:16" x14ac:dyDescent="0.25">
      <c r="B54" s="1173"/>
      <c r="C54" s="1174"/>
      <c r="D54" s="317"/>
      <c r="E54" s="317"/>
      <c r="F54" s="318"/>
      <c r="G54" s="318"/>
      <c r="H54" s="1158"/>
      <c r="I54" s="1159"/>
      <c r="J54" s="274"/>
      <c r="K54" s="226">
        <f t="shared" si="10"/>
        <v>0</v>
      </c>
      <c r="L54" s="275"/>
      <c r="M54" s="274"/>
      <c r="N54" s="237"/>
      <c r="O54" s="275"/>
      <c r="P54" s="276"/>
    </row>
    <row r="55" spans="2:16" x14ac:dyDescent="0.25">
      <c r="B55" s="1173"/>
      <c r="C55" s="1174"/>
      <c r="D55" s="317"/>
      <c r="E55" s="317"/>
      <c r="F55" s="318"/>
      <c r="G55" s="318"/>
      <c r="H55" s="1158"/>
      <c r="I55" s="1159"/>
      <c r="J55" s="274"/>
      <c r="K55" s="226">
        <f t="shared" si="10"/>
        <v>0</v>
      </c>
      <c r="L55" s="275"/>
      <c r="M55" s="274"/>
      <c r="N55" s="237"/>
      <c r="O55" s="275"/>
      <c r="P55" s="276"/>
    </row>
    <row r="56" spans="2:16" x14ac:dyDescent="0.25">
      <c r="B56" s="1173"/>
      <c r="C56" s="1174"/>
      <c r="D56" s="317"/>
      <c r="E56" s="317"/>
      <c r="F56" s="318"/>
      <c r="G56" s="318"/>
      <c r="H56" s="1158"/>
      <c r="I56" s="1159"/>
      <c r="J56" s="274"/>
      <c r="K56" s="226">
        <f t="shared" si="10"/>
        <v>0</v>
      </c>
      <c r="L56" s="275"/>
      <c r="M56" s="274"/>
      <c r="N56" s="237"/>
      <c r="O56" s="275"/>
      <c r="P56" s="276"/>
    </row>
    <row r="57" spans="2:16" x14ac:dyDescent="0.25">
      <c r="B57" s="1173"/>
      <c r="C57" s="1174"/>
      <c r="D57" s="317"/>
      <c r="E57" s="317"/>
      <c r="F57" s="318"/>
      <c r="G57" s="318"/>
      <c r="H57" s="1158"/>
      <c r="I57" s="1159"/>
      <c r="J57" s="274"/>
      <c r="K57" s="226">
        <f t="shared" si="10"/>
        <v>0</v>
      </c>
      <c r="L57" s="275"/>
      <c r="M57" s="274"/>
      <c r="N57" s="237"/>
      <c r="O57" s="275"/>
      <c r="P57" s="276"/>
    </row>
    <row r="58" spans="2:16" x14ac:dyDescent="0.25">
      <c r="B58" s="1173"/>
      <c r="C58" s="1174"/>
      <c r="D58" s="319"/>
      <c r="E58" s="317"/>
      <c r="F58" s="318"/>
      <c r="G58" s="318"/>
      <c r="H58" s="1158"/>
      <c r="I58" s="1159"/>
      <c r="J58" s="274"/>
      <c r="K58" s="226">
        <f t="shared" si="10"/>
        <v>0</v>
      </c>
      <c r="L58" s="275"/>
      <c r="M58" s="274"/>
      <c r="N58" s="237"/>
      <c r="O58" s="275"/>
      <c r="P58" s="276"/>
    </row>
    <row r="59" spans="2:16" x14ac:dyDescent="0.25">
      <c r="B59" s="820"/>
      <c r="C59" s="821"/>
      <c r="D59" s="319"/>
      <c r="E59" s="317"/>
      <c r="F59" s="318"/>
      <c r="G59" s="318"/>
      <c r="H59" s="1158"/>
      <c r="I59" s="1159"/>
      <c r="J59" s="274"/>
      <c r="K59" s="226">
        <f t="shared" si="10"/>
        <v>0</v>
      </c>
      <c r="L59" s="275"/>
      <c r="M59" s="274"/>
      <c r="N59" s="237"/>
      <c r="O59" s="275"/>
      <c r="P59" s="276"/>
    </row>
    <row r="60" spans="2:16" x14ac:dyDescent="0.25">
      <c r="B60" s="820"/>
      <c r="C60" s="821"/>
      <c r="D60" s="319"/>
      <c r="E60" s="317"/>
      <c r="F60" s="318"/>
      <c r="G60" s="318"/>
      <c r="H60" s="1158"/>
      <c r="I60" s="1159"/>
      <c r="J60" s="274"/>
      <c r="K60" s="226">
        <f t="shared" si="10"/>
        <v>0</v>
      </c>
      <c r="L60" s="275"/>
      <c r="M60" s="274"/>
      <c r="N60" s="237"/>
      <c r="O60" s="275"/>
      <c r="P60" s="276"/>
    </row>
    <row r="61" spans="2:16" x14ac:dyDescent="0.25">
      <c r="B61" s="820"/>
      <c r="C61" s="821"/>
      <c r="D61" s="319"/>
      <c r="E61" s="317"/>
      <c r="F61" s="318"/>
      <c r="G61" s="318"/>
      <c r="H61" s="1158"/>
      <c r="I61" s="1159"/>
      <c r="J61" s="274"/>
      <c r="K61" s="226">
        <f t="shared" si="10"/>
        <v>0</v>
      </c>
      <c r="L61" s="275"/>
      <c r="M61" s="274"/>
      <c r="N61" s="237"/>
      <c r="O61" s="275"/>
      <c r="P61" s="276"/>
    </row>
    <row r="62" spans="2:16" x14ac:dyDescent="0.25">
      <c r="B62" s="820"/>
      <c r="C62" s="821"/>
      <c r="D62" s="319"/>
      <c r="E62" s="317"/>
      <c r="F62" s="318"/>
      <c r="G62" s="318"/>
      <c r="H62" s="1158"/>
      <c r="I62" s="1159"/>
      <c r="J62" s="274"/>
      <c r="K62" s="226">
        <f t="shared" si="10"/>
        <v>0</v>
      </c>
      <c r="L62" s="275"/>
      <c r="M62" s="274"/>
      <c r="N62" s="237"/>
      <c r="O62" s="275"/>
      <c r="P62" s="276"/>
    </row>
    <row r="63" spans="2:16" x14ac:dyDescent="0.25">
      <c r="B63" s="820"/>
      <c r="C63" s="821"/>
      <c r="D63" s="319"/>
      <c r="E63" s="317"/>
      <c r="F63" s="318"/>
      <c r="G63" s="318"/>
      <c r="H63" s="1158"/>
      <c r="I63" s="1159"/>
      <c r="J63" s="274"/>
      <c r="K63" s="226">
        <f t="shared" si="10"/>
        <v>0</v>
      </c>
      <c r="L63" s="275"/>
      <c r="M63" s="274"/>
      <c r="N63" s="237"/>
      <c r="O63" s="275"/>
      <c r="P63" s="276"/>
    </row>
    <row r="64" spans="2:16" x14ac:dyDescent="0.25">
      <c r="B64" s="820"/>
      <c r="C64" s="821"/>
      <c r="D64" s="319"/>
      <c r="E64" s="317"/>
      <c r="F64" s="318"/>
      <c r="G64" s="318"/>
      <c r="H64" s="1158"/>
      <c r="I64" s="1159"/>
      <c r="J64" s="274"/>
      <c r="K64" s="226">
        <f t="shared" si="10"/>
        <v>0</v>
      </c>
      <c r="L64" s="275"/>
      <c r="M64" s="274"/>
      <c r="N64" s="237"/>
      <c r="O64" s="275"/>
      <c r="P64" s="276"/>
    </row>
    <row r="65" spans="2:26" ht="15.75" thickBot="1" x14ac:dyDescent="0.3">
      <c r="B65" s="778"/>
      <c r="C65" s="779"/>
      <c r="D65" s="320"/>
      <c r="E65" s="321"/>
      <c r="F65" s="322"/>
      <c r="G65" s="322"/>
      <c r="H65" s="1156"/>
      <c r="I65" s="115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4" t="s">
        <v>403</v>
      </c>
      <c r="C68" s="1175"/>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177" t="s">
        <v>402</v>
      </c>
      <c r="C70" s="1178"/>
      <c r="D70" s="290">
        <f t="shared" ref="D70:O70" si="12">SUM(D68,D43,D28)</f>
        <v>0</v>
      </c>
      <c r="E70" s="290">
        <f t="shared" si="12"/>
        <v>0</v>
      </c>
      <c r="F70" s="290">
        <f t="shared" si="12"/>
        <v>0</v>
      </c>
      <c r="G70" s="290">
        <f t="shared" si="12"/>
        <v>3000</v>
      </c>
      <c r="H70" s="290">
        <f t="shared" si="12"/>
        <v>0</v>
      </c>
      <c r="I70" s="290">
        <f t="shared" si="12"/>
        <v>0</v>
      </c>
      <c r="J70" s="290">
        <f t="shared" si="12"/>
        <v>359730.8</v>
      </c>
      <c r="K70" s="290">
        <f t="shared" si="12"/>
        <v>0</v>
      </c>
      <c r="L70" s="290">
        <f t="shared" si="12"/>
        <v>62811.47</v>
      </c>
      <c r="M70" s="290">
        <f t="shared" si="12"/>
        <v>0</v>
      </c>
      <c r="N70" s="290">
        <f t="shared" si="12"/>
        <v>0</v>
      </c>
      <c r="O70" s="290">
        <f t="shared" si="12"/>
        <v>0</v>
      </c>
      <c r="P70" s="291">
        <f>SUM(D70:O70)</f>
        <v>425542.27</v>
      </c>
    </row>
    <row r="71" spans="2:26" ht="16.5" thickTop="1" thickBot="1" x14ac:dyDescent="0.3"/>
    <row r="72" spans="2:26" ht="16.5" thickTop="1" thickBot="1" x14ac:dyDescent="0.3">
      <c r="B72" s="292" t="s">
        <v>391</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6"/>
      <c r="T72" s="1176"/>
      <c r="U72" s="1176"/>
      <c r="V72" s="1176"/>
      <c r="W72" s="1176"/>
      <c r="X72" s="1176"/>
      <c r="Y72" s="1176"/>
      <c r="Z72" s="1176"/>
    </row>
    <row r="73" spans="2:26" ht="15.75" thickTop="1" x14ac:dyDescent="0.25">
      <c r="B73" s="297" t="s">
        <v>405</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406</v>
      </c>
      <c r="C74" s="302"/>
      <c r="D74" s="324"/>
      <c r="E74" s="324"/>
      <c r="F74" s="324">
        <v>180000</v>
      </c>
      <c r="G74" s="324"/>
      <c r="H74" s="324"/>
      <c r="I74" s="324"/>
      <c r="J74" s="324">
        <f>38500+74400</f>
        <v>112900</v>
      </c>
      <c r="K74" s="324">
        <v>41850</v>
      </c>
      <c r="L74" s="324"/>
      <c r="M74" s="324"/>
      <c r="N74" s="324"/>
      <c r="O74" s="324"/>
      <c r="P74" s="303">
        <f t="shared" ref="P74:P76" si="13">SUM(D74:O74)</f>
        <v>334750</v>
      </c>
      <c r="Q74" s="300"/>
      <c r="R74" s="300"/>
      <c r="S74" s="300"/>
      <c r="T74" s="300"/>
      <c r="U74" s="300"/>
      <c r="V74" s="300"/>
      <c r="W74" s="300"/>
      <c r="X74" s="300"/>
      <c r="Y74" s="300"/>
      <c r="Z74" s="300"/>
    </row>
    <row r="75" spans="2:26" ht="15.75" thickBot="1" x14ac:dyDescent="0.3">
      <c r="B75" s="304" t="s">
        <v>407</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404</v>
      </c>
      <c r="C76" s="308"/>
      <c r="D76" s="309">
        <f t="shared" ref="D76:O76" si="14">SUM(D73:D75)</f>
        <v>0</v>
      </c>
      <c r="E76" s="309">
        <f t="shared" si="14"/>
        <v>0</v>
      </c>
      <c r="F76" s="309">
        <f t="shared" si="14"/>
        <v>180000</v>
      </c>
      <c r="G76" s="309">
        <f t="shared" si="14"/>
        <v>0</v>
      </c>
      <c r="H76" s="309">
        <f t="shared" si="14"/>
        <v>0</v>
      </c>
      <c r="I76" s="309">
        <f t="shared" si="14"/>
        <v>0</v>
      </c>
      <c r="J76" s="309">
        <f t="shared" si="14"/>
        <v>112900</v>
      </c>
      <c r="K76" s="309">
        <f t="shared" si="14"/>
        <v>41850</v>
      </c>
      <c r="L76" s="309">
        <f t="shared" si="14"/>
        <v>0</v>
      </c>
      <c r="M76" s="309">
        <f t="shared" si="14"/>
        <v>0</v>
      </c>
      <c r="N76" s="309">
        <f t="shared" si="14"/>
        <v>0</v>
      </c>
      <c r="O76" s="309">
        <f t="shared" si="14"/>
        <v>0</v>
      </c>
      <c r="P76" s="310">
        <f t="shared" si="13"/>
        <v>334750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E066"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disablePrompts="1"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82"/>
  <sheetViews>
    <sheetView showGridLines="0" topLeftCell="B1" zoomScale="80" zoomScaleNormal="80" workbookViewId="0">
      <selection activeCell="B27" sqref="B27"/>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Bonanza</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Quatá</v>
      </c>
      <c r="D3" s="439"/>
      <c r="E3" s="439"/>
      <c r="F3" s="451"/>
      <c r="G3" s="446" t="str">
        <f>REBANHO!F3</f>
        <v>Área total da propriedade (ha)</v>
      </c>
      <c r="H3" s="439"/>
      <c r="I3" s="449">
        <f>IF(REBANHO!I3="","",REBANHO!I3)</f>
        <v>1100</v>
      </c>
      <c r="K3" s="74"/>
    </row>
    <row r="4" spans="1:16384" ht="16.5" customHeight="1" x14ac:dyDescent="0.25">
      <c r="B4" s="442" t="str">
        <f>REBANHO!B4</f>
        <v>Estado</v>
      </c>
      <c r="C4" s="439" t="str">
        <f>IF(REBANHO!C4="","",REBANHO!C4)</f>
        <v>SP</v>
      </c>
      <c r="D4" s="439"/>
      <c r="E4" s="439"/>
      <c r="F4" s="451"/>
      <c r="G4" s="446" t="str">
        <f>REBANHO!F4</f>
        <v>Área de pasto (ha)</v>
      </c>
      <c r="H4" s="439"/>
      <c r="I4" s="453">
        <f>IF(REBANHO!I4="","",REBANHO!I4)</f>
        <v>100.9</v>
      </c>
      <c r="K4" s="74"/>
    </row>
    <row r="5" spans="1:16384" ht="16.5" customHeight="1" x14ac:dyDescent="0.25">
      <c r="B5" s="442" t="str">
        <f>REBANHO!B5</f>
        <v>Proprietário</v>
      </c>
      <c r="C5" s="439" t="str">
        <f>IF(REBANHO!C5="","",REBANHO!C5)</f>
        <v>Marcelo Delchiaro</v>
      </c>
      <c r="D5" s="439"/>
      <c r="E5" s="439"/>
      <c r="F5" s="451"/>
      <c r="G5" s="446" t="str">
        <f>REBANHO!F5</f>
        <v>Área de reserva (ha)</v>
      </c>
      <c r="H5" s="439"/>
      <c r="I5" s="453">
        <f>IF(REBANHO!I5="","",REBANHO!I5)</f>
        <v>11</v>
      </c>
      <c r="K5" s="74"/>
    </row>
    <row r="6" spans="1:16384" ht="16.5" customHeight="1" thickBot="1" x14ac:dyDescent="0.3">
      <c r="B6" s="443" t="str">
        <f>REBANHO!B6</f>
        <v>Sistema de produção</v>
      </c>
      <c r="C6" s="444" t="str">
        <f>IF(REBANHO!C6="","",REBANHO!C6)</f>
        <v>Rotacionado - Adubado</v>
      </c>
      <c r="D6" s="444"/>
      <c r="E6" s="444"/>
      <c r="F6" s="452"/>
      <c r="G6" s="447" t="str">
        <f>REBANHO!F6</f>
        <v>Outros (ha)</v>
      </c>
      <c r="H6" s="444"/>
      <c r="I6" s="450" t="str">
        <f>IF(REBANHO!I6="","",REBANHO!I6)</f>
        <v/>
      </c>
      <c r="K6" s="74"/>
    </row>
    <row r="7" spans="1:16384" ht="17.25" thickTop="1" thickBot="1" x14ac:dyDescent="0.3">
      <c r="B7" s="2"/>
      <c r="C7" s="14"/>
      <c r="D7" s="14"/>
      <c r="E7" s="2"/>
      <c r="F7" s="38"/>
      <c r="J7" s="2"/>
      <c r="K7" s="2"/>
    </row>
    <row r="8" spans="1:16384" ht="24" customHeight="1" thickTop="1" thickBot="1" x14ac:dyDescent="0.3">
      <c r="B8" s="1198" t="s">
        <v>229</v>
      </c>
      <c r="C8" s="1199"/>
      <c r="D8" s="1161"/>
      <c r="E8" s="3"/>
      <c r="F8" s="4"/>
      <c r="G8" s="1197" t="s">
        <v>126</v>
      </c>
      <c r="H8" s="1197"/>
      <c r="I8" s="92">
        <v>0.06</v>
      </c>
      <c r="J8" s="5"/>
      <c r="K8" s="5"/>
    </row>
    <row r="9" spans="1:16384" ht="30" customHeight="1" thickTop="1" thickBot="1" x14ac:dyDescent="0.3">
      <c r="E9" s="3"/>
      <c r="F9" s="4"/>
      <c r="J9" s="5"/>
      <c r="K9" s="5"/>
    </row>
    <row r="10" spans="1:16384" ht="23.25" customHeight="1" thickTop="1" thickBot="1" x14ac:dyDescent="0.3">
      <c r="B10" s="1183" t="s">
        <v>135</v>
      </c>
      <c r="C10" s="1184"/>
      <c r="D10" s="1184"/>
      <c r="E10" s="1184"/>
      <c r="F10" s="1184"/>
      <c r="G10" s="1184"/>
      <c r="H10" s="1184"/>
      <c r="I10" s="1184"/>
      <c r="J10" s="1184"/>
      <c r="K10" s="97"/>
      <c r="M10" s="1194" t="s">
        <v>373</v>
      </c>
      <c r="N10" s="1195"/>
      <c r="O10" s="1195"/>
      <c r="P10" s="1196"/>
      <c r="R10" s="128" t="s">
        <v>313</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300</v>
      </c>
      <c r="F11" s="102" t="s">
        <v>372</v>
      </c>
      <c r="G11" s="102" t="s">
        <v>139</v>
      </c>
      <c r="H11" s="102" t="s">
        <v>377</v>
      </c>
      <c r="I11" s="102" t="s">
        <v>374</v>
      </c>
      <c r="J11" s="103" t="s">
        <v>375</v>
      </c>
      <c r="K11" s="105" t="s">
        <v>376</v>
      </c>
      <c r="L11" s="71"/>
      <c r="M11" s="120" t="s">
        <v>140</v>
      </c>
      <c r="N11" s="121" t="s">
        <v>141</v>
      </c>
      <c r="O11" s="121" t="s">
        <v>142</v>
      </c>
      <c r="P11" s="122" t="s">
        <v>143</v>
      </c>
      <c r="R11" s="134" t="s">
        <v>236</v>
      </c>
      <c r="S11" s="137"/>
      <c r="T11" s="131" t="s">
        <v>314</v>
      </c>
    </row>
    <row r="12" spans="1:16384" s="15" customFormat="1" ht="15.75" thickTop="1" x14ac:dyDescent="0.25">
      <c r="A12" s="71"/>
      <c r="B12" s="98" t="s">
        <v>299</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69.371057775628231</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29.712493741270723</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0.91644848310104343</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05" t="s">
        <v>42</v>
      </c>
      <c r="N24" s="1206"/>
      <c r="O24" s="1206"/>
      <c r="P24" s="1206"/>
      <c r="Q24" s="819" t="s">
        <v>447</v>
      </c>
      <c r="R24" s="816"/>
      <c r="S24" s="819" t="s">
        <v>448</v>
      </c>
      <c r="T24" s="817" t="s">
        <v>498</v>
      </c>
    </row>
    <row r="25" spans="1:20" ht="16.5" thickTop="1" thickBot="1" x14ac:dyDescent="0.3">
      <c r="B25" s="141" t="s">
        <v>166</v>
      </c>
      <c r="C25" s="142"/>
      <c r="D25" s="142"/>
      <c r="E25" s="142"/>
      <c r="F25" s="142"/>
      <c r="G25" s="142"/>
      <c r="H25" s="142"/>
      <c r="I25" s="142"/>
      <c r="J25" s="142"/>
      <c r="K25" s="143"/>
      <c r="L25" s="72"/>
      <c r="M25" s="1200" t="s">
        <v>123</v>
      </c>
      <c r="N25" s="1192"/>
      <c r="O25" s="1201" t="s">
        <v>104</v>
      </c>
      <c r="P25" s="1202"/>
      <c r="Q25" s="1203" t="s">
        <v>127</v>
      </c>
      <c r="R25" s="1192"/>
      <c r="S25" s="1203" t="s">
        <v>128</v>
      </c>
      <c r="T25" s="1204"/>
    </row>
    <row r="26" spans="1:20" ht="55.5" customHeight="1" thickTop="1" thickBot="1" x14ac:dyDescent="0.3">
      <c r="A26" s="30"/>
      <c r="B26" s="150" t="s">
        <v>136</v>
      </c>
      <c r="C26" s="151" t="s">
        <v>261</v>
      </c>
      <c r="D26" s="151" t="s">
        <v>147</v>
      </c>
      <c r="E26" s="152"/>
      <c r="F26" s="151" t="s">
        <v>224</v>
      </c>
      <c r="G26" s="151" t="s">
        <v>148</v>
      </c>
      <c r="H26" s="151" t="s">
        <v>377</v>
      </c>
      <c r="I26" s="151" t="s">
        <v>378</v>
      </c>
      <c r="J26" s="174" t="s">
        <v>436</v>
      </c>
      <c r="K26" s="175" t="s">
        <v>376</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507</v>
      </c>
      <c r="C27" s="160">
        <v>41487</v>
      </c>
      <c r="D27" s="161">
        <v>10</v>
      </c>
      <c r="E27" s="162"/>
      <c r="F27" s="163">
        <f t="shared" ref="F27:F51" si="6">IF(L27="","",IF(D27-($I$2-L27)&lt;=0,0,D27-($I$2-L27)))</f>
        <v>7</v>
      </c>
      <c r="G27" s="164">
        <v>53</v>
      </c>
      <c r="H27" s="165">
        <v>15000</v>
      </c>
      <c r="I27" s="166">
        <f>IF(OR(B27="",H27=""),"",0)</f>
        <v>0</v>
      </c>
      <c r="J27" s="425">
        <f>IF(OR(B27="",I$2=""),"",IF(L27&gt;$I$2,0,IF(F27&lt;=0,0,(PMT($I$8,D27,H27,0,0))*(-1))))</f>
        <v>2038.0193733057577</v>
      </c>
      <c r="K27" s="834">
        <v>15000</v>
      </c>
      <c r="L27" s="42">
        <f>IF(C27="","",YEAR(C27))</f>
        <v>2013</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11</v>
      </c>
      <c r="B28" s="148" t="s">
        <v>523</v>
      </c>
      <c r="C28" s="69">
        <v>41944</v>
      </c>
      <c r="D28" s="21">
        <v>0.5</v>
      </c>
      <c r="E28" s="22"/>
      <c r="F28" s="40">
        <f t="shared" si="6"/>
        <v>0</v>
      </c>
      <c r="G28" s="23">
        <v>38</v>
      </c>
      <c r="H28" s="24">
        <v>3040</v>
      </c>
      <c r="I28" s="16">
        <f t="shared" ref="I28:I50" si="12">IF(OR(B28="",H28=""),"",0)</f>
        <v>0</v>
      </c>
      <c r="J28" s="426">
        <f t="shared" ref="J28:J51" si="13">IF(OR(B28="",I$2=""),"",IF(L28&gt;$I$2,0,IF(F28&lt;=0,0,(PMT($I$8,D28,H28,0,0))*(-1))))</f>
        <v>0</v>
      </c>
      <c r="K28" s="832">
        <v>3040</v>
      </c>
      <c r="L28" s="42">
        <f t="shared" ref="L28:L52" si="14">IF(C28="","",YEAR(C28))</f>
        <v>2014</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287</v>
      </c>
      <c r="C52" s="154"/>
      <c r="D52" s="154" t="s">
        <v>107</v>
      </c>
      <c r="E52" s="155"/>
      <c r="F52" s="156" t="s">
        <v>107</v>
      </c>
      <c r="G52" s="157">
        <f>SUM(G27:G51)</f>
        <v>91</v>
      </c>
      <c r="H52" s="158">
        <f>SUM(H27:H51)</f>
        <v>18040</v>
      </c>
      <c r="I52" s="157">
        <f>SUM(I27:I51)</f>
        <v>0</v>
      </c>
      <c r="J52" s="158">
        <f>SUM(J27:J51)</f>
        <v>2038.0193733057577</v>
      </c>
      <c r="K52" s="176">
        <f>SUM(K27:K51)</f>
        <v>18040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2"/>
      <c r="N53" s="1182"/>
      <c r="O53" s="1182"/>
      <c r="P53" s="1182"/>
      <c r="Q53" s="1182"/>
      <c r="R53" s="1182"/>
      <c r="S53" s="1182"/>
      <c r="T53" s="118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3" t="s">
        <v>167</v>
      </c>
      <c r="C54" s="1184"/>
      <c r="D54" s="1184"/>
      <c r="E54" s="1184"/>
      <c r="F54" s="1184"/>
      <c r="G54" s="1184"/>
      <c r="H54" s="1184"/>
      <c r="I54" s="1184"/>
      <c r="J54" s="1184"/>
      <c r="K54" s="97"/>
      <c r="L54" s="31"/>
      <c r="M54" s="1189" t="s">
        <v>123</v>
      </c>
      <c r="N54" s="1190"/>
      <c r="O54" s="1191" t="s">
        <v>104</v>
      </c>
      <c r="P54" s="1191"/>
      <c r="Q54" s="1190" t="s">
        <v>127</v>
      </c>
      <c r="R54" s="1190"/>
      <c r="S54" s="1192" t="s">
        <v>128</v>
      </c>
      <c r="T54" s="1193"/>
    </row>
    <row r="55" spans="1:16384" ht="58.5" customHeight="1" thickTop="1" thickBot="1" x14ac:dyDescent="0.3">
      <c r="A55" s="31"/>
      <c r="B55" s="101" t="s">
        <v>136</v>
      </c>
      <c r="C55" s="102" t="s">
        <v>260</v>
      </c>
      <c r="D55" s="102" t="s">
        <v>138</v>
      </c>
      <c r="E55" s="102"/>
      <c r="F55" s="102" t="s">
        <v>377</v>
      </c>
      <c r="G55" s="102" t="s">
        <v>163</v>
      </c>
      <c r="H55" s="102" t="s">
        <v>164</v>
      </c>
      <c r="I55" s="102" t="s">
        <v>378</v>
      </c>
      <c r="J55" s="103" t="s">
        <v>379</v>
      </c>
      <c r="K55" s="105" t="s">
        <v>376</v>
      </c>
      <c r="L55" s="147" t="s">
        <v>162</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12</v>
      </c>
      <c r="B56" s="188" t="s">
        <v>508</v>
      </c>
      <c r="C56" s="70">
        <v>41609</v>
      </c>
      <c r="D56" s="33">
        <v>10</v>
      </c>
      <c r="E56" s="189"/>
      <c r="F56" s="35">
        <v>9000</v>
      </c>
      <c r="G56" s="780">
        <v>50</v>
      </c>
      <c r="H56" s="36">
        <v>80</v>
      </c>
      <c r="I56" s="19">
        <f>IF(OR(B56="",H56=""),"",(H56*0.01*F56)*G56*0.01)</f>
        <v>3600</v>
      </c>
      <c r="J56" s="104">
        <f>IF(OR(B56="",I$2=""),"",IF(L56&gt;$I$2,0,IF((L56+D56)-$I$2&lt;=0,0,(PMT($I$8,D56,F56*G56*0.01,-I56,0))*(-1))))</f>
        <v>338.28116239834543</v>
      </c>
      <c r="K56" s="831">
        <v>9000</v>
      </c>
      <c r="L56" s="42">
        <f>IF(C56="","",YEAR(C56))</f>
        <v>2013</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v>
      </c>
      <c r="B57" s="148" t="s">
        <v>509</v>
      </c>
      <c r="C57" s="69">
        <v>32874</v>
      </c>
      <c r="D57" s="34">
        <v>20</v>
      </c>
      <c r="E57" s="46"/>
      <c r="F57" s="23">
        <v>25000</v>
      </c>
      <c r="G57" s="780">
        <v>100</v>
      </c>
      <c r="H57" s="36">
        <v>80</v>
      </c>
      <c r="I57" s="19">
        <f t="shared" ref="I57:I82" si="27">IF(OR(B57="",H57=""),"",(H57*0.01*F57)*G57*0.01)</f>
        <v>20000</v>
      </c>
      <c r="J57" s="104">
        <f t="shared" ref="J57:J82" si="28">IF(OR(B57="",I$2=""),"",IF(L57&gt;$I$2,0,IF((L57+D57)-$I$2&lt;=0,0,(PMT($I$8,D57,F57*G57*0.01,-I57,0))*(-1))))</f>
        <v>0</v>
      </c>
      <c r="K57" s="832">
        <v>25000</v>
      </c>
      <c r="L57" s="42">
        <f t="shared" ref="L57:L82" si="29">IF(C57="","",YEAR(C57))</f>
        <v>1990</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v>
      </c>
      <c r="B58" s="148" t="s">
        <v>510</v>
      </c>
      <c r="C58" s="69">
        <v>32874</v>
      </c>
      <c r="D58" s="34">
        <v>20</v>
      </c>
      <c r="E58" s="46"/>
      <c r="F58" s="23">
        <v>100000</v>
      </c>
      <c r="G58" s="780">
        <v>100</v>
      </c>
      <c r="H58" s="36">
        <v>80</v>
      </c>
      <c r="I58" s="19">
        <f t="shared" si="27"/>
        <v>80000</v>
      </c>
      <c r="J58" s="104">
        <f t="shared" si="28"/>
        <v>0</v>
      </c>
      <c r="K58" s="832">
        <v>120000</v>
      </c>
      <c r="L58" s="42">
        <f t="shared" si="29"/>
        <v>1990</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5</v>
      </c>
      <c r="B59" s="148" t="s">
        <v>511</v>
      </c>
      <c r="C59" s="69">
        <v>41395</v>
      </c>
      <c r="D59" s="34">
        <v>20</v>
      </c>
      <c r="E59" s="46"/>
      <c r="F59" s="23">
        <v>20000</v>
      </c>
      <c r="G59" s="780">
        <v>80</v>
      </c>
      <c r="H59" s="36">
        <v>80</v>
      </c>
      <c r="I59" s="19">
        <f t="shared" si="27"/>
        <v>12800</v>
      </c>
      <c r="J59" s="104">
        <f t="shared" si="28"/>
        <v>1046.9905823259246</v>
      </c>
      <c r="K59" s="832">
        <v>25000</v>
      </c>
      <c r="L59" s="42">
        <f t="shared" si="29"/>
        <v>2013</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5</v>
      </c>
      <c r="B60" s="148" t="s">
        <v>512</v>
      </c>
      <c r="C60" s="69">
        <v>41395</v>
      </c>
      <c r="D60" s="34">
        <v>20</v>
      </c>
      <c r="E60" s="46"/>
      <c r="F60" s="23">
        <v>15000</v>
      </c>
      <c r="G60" s="780">
        <v>80</v>
      </c>
      <c r="H60" s="36">
        <v>80</v>
      </c>
      <c r="I60" s="19">
        <f t="shared" si="27"/>
        <v>9600</v>
      </c>
      <c r="J60" s="104">
        <f t="shared" si="28"/>
        <v>785.24293674444345</v>
      </c>
      <c r="K60" s="832">
        <v>20000</v>
      </c>
      <c r="L60" s="42">
        <f t="shared" si="29"/>
        <v>2013</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5</v>
      </c>
      <c r="B61" s="148" t="s">
        <v>513</v>
      </c>
      <c r="C61" s="69">
        <v>41395</v>
      </c>
      <c r="D61" s="34">
        <v>20</v>
      </c>
      <c r="E61" s="46"/>
      <c r="F61" s="23">
        <v>35000</v>
      </c>
      <c r="G61" s="780">
        <v>20</v>
      </c>
      <c r="H61" s="36">
        <v>80</v>
      </c>
      <c r="I61" s="19">
        <f t="shared" si="27"/>
        <v>5600</v>
      </c>
      <c r="J61" s="104">
        <f t="shared" si="28"/>
        <v>458.05837976759199</v>
      </c>
      <c r="K61" s="832">
        <v>50000</v>
      </c>
      <c r="L61" s="42">
        <f t="shared" si="29"/>
        <v>2013</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288</v>
      </c>
      <c r="C83" s="195"/>
      <c r="D83" s="195" t="s">
        <v>107</v>
      </c>
      <c r="E83" s="196"/>
      <c r="F83" s="197">
        <f>SUM(F56:F82)</f>
        <v>204000</v>
      </c>
      <c r="G83" s="197" t="s">
        <v>107</v>
      </c>
      <c r="H83" s="198" t="s">
        <v>107</v>
      </c>
      <c r="I83" s="197">
        <f>SUM(I56:I82)</f>
        <v>131600</v>
      </c>
      <c r="J83" s="198">
        <f>SUM(J56:J82)</f>
        <v>2628.5730612363059</v>
      </c>
      <c r="K83" s="199">
        <f>SUM(K56:K82)</f>
        <v>249000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2"/>
      <c r="N84" s="1182"/>
      <c r="O84" s="1182"/>
      <c r="P84" s="1182"/>
      <c r="Q84" s="1182"/>
      <c r="R84" s="1182"/>
      <c r="S84" s="1182"/>
      <c r="T84" s="118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87" t="s">
        <v>168</v>
      </c>
      <c r="C85" s="1188"/>
      <c r="D85" s="1188"/>
      <c r="E85" s="1188"/>
      <c r="F85" s="1188"/>
      <c r="G85" s="1188"/>
      <c r="H85" s="1188"/>
      <c r="I85" s="1188"/>
      <c r="J85" s="1188"/>
      <c r="K85" s="143"/>
      <c r="L85" s="31"/>
      <c r="M85" s="1189" t="s">
        <v>123</v>
      </c>
      <c r="N85" s="1190"/>
      <c r="O85" s="1191" t="s">
        <v>104</v>
      </c>
      <c r="P85" s="1191"/>
      <c r="Q85" s="1190" t="s">
        <v>127</v>
      </c>
      <c r="R85" s="1190"/>
      <c r="S85" s="1192" t="s">
        <v>128</v>
      </c>
      <c r="T85" s="1193"/>
    </row>
    <row r="86" spans="1:16384" ht="62.25" customHeight="1" thickTop="1" thickBot="1" x14ac:dyDescent="0.3">
      <c r="B86" s="101" t="s">
        <v>136</v>
      </c>
      <c r="C86" s="102" t="s">
        <v>260</v>
      </c>
      <c r="D86" s="102" t="s">
        <v>138</v>
      </c>
      <c r="E86" s="212"/>
      <c r="F86" s="102" t="s">
        <v>377</v>
      </c>
      <c r="G86" s="102" t="s">
        <v>163</v>
      </c>
      <c r="H86" s="102" t="s">
        <v>164</v>
      </c>
      <c r="I86" s="102" t="s">
        <v>378</v>
      </c>
      <c r="J86" s="103" t="s">
        <v>379</v>
      </c>
      <c r="K86" s="105" t="s">
        <v>376</v>
      </c>
      <c r="L86" s="147" t="s">
        <v>162</v>
      </c>
      <c r="M86" s="120" t="s">
        <v>130</v>
      </c>
      <c r="N86" s="121" t="s">
        <v>165</v>
      </c>
      <c r="O86" s="121" t="s">
        <v>130</v>
      </c>
      <c r="P86" s="121" t="s">
        <v>165</v>
      </c>
      <c r="Q86" s="121" t="s">
        <v>130</v>
      </c>
      <c r="R86" s="121" t="s">
        <v>165</v>
      </c>
      <c r="S86" s="121" t="s">
        <v>130</v>
      </c>
      <c r="T86" s="122" t="s">
        <v>165</v>
      </c>
    </row>
    <row r="87" spans="1:16384" ht="15.75" thickTop="1" x14ac:dyDescent="0.25">
      <c r="A87" s="30">
        <f>IF(C87="","",MONTH(C87))</f>
        <v>3</v>
      </c>
      <c r="B87" s="159" t="s">
        <v>514</v>
      </c>
      <c r="C87" s="160">
        <v>41353</v>
      </c>
      <c r="D87" s="213">
        <v>10</v>
      </c>
      <c r="E87" s="214"/>
      <c r="F87" s="164">
        <v>10000</v>
      </c>
      <c r="G87" s="215">
        <v>40</v>
      </c>
      <c r="H87" s="215">
        <v>80</v>
      </c>
      <c r="I87" s="166">
        <f>IF(OR(B87="",H87=""),"",(H87*0.01*F87)*G87*0.01)</f>
        <v>3200</v>
      </c>
      <c r="J87" s="425">
        <f>IF(OR(I$2="",B87=""),"",IF(L87&gt;$I$2,0,IF((L87+D87)-$I$2&lt;=0,0,(PMT($I$8,D87,F87*G87*0.01,-I87,0))*(-1))))</f>
        <v>300.69436657630706</v>
      </c>
      <c r="K87" s="834">
        <v>8500</v>
      </c>
      <c r="L87" s="42">
        <f>IF(C87="","",YEAR(C87))</f>
        <v>2013</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9</v>
      </c>
      <c r="B88" s="148" t="s">
        <v>515</v>
      </c>
      <c r="C88" s="69">
        <v>41527</v>
      </c>
      <c r="D88" s="34">
        <v>10</v>
      </c>
      <c r="E88" s="46"/>
      <c r="F88" s="23">
        <v>6000</v>
      </c>
      <c r="G88" s="37">
        <v>100</v>
      </c>
      <c r="H88" s="36">
        <v>80</v>
      </c>
      <c r="I88" s="16">
        <f t="shared" ref="I88:I111" si="45">IF(OR(B88="",H88=""),"",(H88*0.01*F88)*G88*0.01)</f>
        <v>4800</v>
      </c>
      <c r="J88" s="426">
        <f t="shared" ref="J88:J111" si="46">IF(OR(I$2="",B88=""),"",IF(L88&gt;$I$2,0,IF((L88+D88)-$I$2&lt;=0,0,(PMT($I$8,D88,F88*G88*0.01,-I88,0))*(-1))))</f>
        <v>451.04154986446059</v>
      </c>
      <c r="K88" s="832">
        <v>5000</v>
      </c>
      <c r="L88" s="42">
        <f t="shared" ref="L88:L111" si="47">IF(C88="","",YEAR(C88))</f>
        <v>2013</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9</v>
      </c>
      <c r="B89" s="148" t="s">
        <v>516</v>
      </c>
      <c r="C89" s="69">
        <v>41529</v>
      </c>
      <c r="D89" s="34">
        <v>10</v>
      </c>
      <c r="E89" s="46"/>
      <c r="F89" s="23">
        <v>2250</v>
      </c>
      <c r="G89" s="37">
        <v>100</v>
      </c>
      <c r="H89" s="36">
        <v>80</v>
      </c>
      <c r="I89" s="16">
        <f t="shared" si="45"/>
        <v>1800</v>
      </c>
      <c r="J89" s="426">
        <f t="shared" si="46"/>
        <v>169.14058119917271</v>
      </c>
      <c r="K89" s="832">
        <v>2000</v>
      </c>
      <c r="L89" s="42">
        <f t="shared" ref="L89:L110" si="49">IF(C89="","",YEAR(C89))</f>
        <v>2013</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9</v>
      </c>
      <c r="B90" s="148" t="s">
        <v>517</v>
      </c>
      <c r="C90" s="69">
        <v>41529</v>
      </c>
      <c r="D90" s="34">
        <v>10</v>
      </c>
      <c r="E90" s="46"/>
      <c r="F90" s="23">
        <v>1450</v>
      </c>
      <c r="G90" s="37">
        <v>10</v>
      </c>
      <c r="H90" s="36">
        <v>80</v>
      </c>
      <c r="I90" s="16">
        <f t="shared" si="45"/>
        <v>116</v>
      </c>
      <c r="J90" s="426">
        <f t="shared" si="46"/>
        <v>10.900170788391131</v>
      </c>
      <c r="K90" s="832">
        <v>1200</v>
      </c>
      <c r="L90" s="42">
        <f t="shared" si="49"/>
        <v>2013</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5</v>
      </c>
      <c r="B91" s="148" t="s">
        <v>518</v>
      </c>
      <c r="C91" s="69">
        <v>41770</v>
      </c>
      <c r="D91" s="34">
        <v>10</v>
      </c>
      <c r="E91" s="46"/>
      <c r="F91" s="23">
        <v>6500</v>
      </c>
      <c r="G91" s="37">
        <v>30</v>
      </c>
      <c r="H91" s="36">
        <v>80</v>
      </c>
      <c r="I91" s="16">
        <f t="shared" si="45"/>
        <v>1560</v>
      </c>
      <c r="J91" s="426">
        <f t="shared" si="46"/>
        <v>146.58850370594968</v>
      </c>
      <c r="K91" s="832">
        <v>6000</v>
      </c>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t="s">
        <v>535</v>
      </c>
      <c r="C92" s="69"/>
      <c r="D92" s="34"/>
      <c r="E92" s="46"/>
      <c r="F92" s="23"/>
      <c r="G92" s="37"/>
      <c r="H92" s="36"/>
      <c r="I92" s="16" t="str">
        <f t="shared" si="45"/>
        <v/>
      </c>
      <c r="J92" s="426">
        <f t="shared" si="46"/>
        <v>0</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1</v>
      </c>
      <c r="B93" s="148" t="s">
        <v>536</v>
      </c>
      <c r="C93" s="69">
        <v>42380</v>
      </c>
      <c r="D93" s="34">
        <v>10</v>
      </c>
      <c r="E93" s="46"/>
      <c r="F93" s="23">
        <v>2900</v>
      </c>
      <c r="G93" s="37">
        <v>80</v>
      </c>
      <c r="H93" s="36">
        <v>20</v>
      </c>
      <c r="I93" s="16">
        <f t="shared" si="45"/>
        <v>464</v>
      </c>
      <c r="J93" s="426">
        <f t="shared" si="46"/>
        <v>280.01093045703237</v>
      </c>
      <c r="K93" s="832">
        <v>2500</v>
      </c>
      <c r="L93" s="42">
        <f t="shared" si="49"/>
        <v>2016</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289</v>
      </c>
      <c r="C112" s="195"/>
      <c r="D112" s="195" t="s">
        <v>107</v>
      </c>
      <c r="E112" s="196"/>
      <c r="F112" s="197">
        <f>SUM(F87:F111)</f>
        <v>29100</v>
      </c>
      <c r="G112" s="197" t="s">
        <v>107</v>
      </c>
      <c r="H112" s="198" t="s">
        <v>107</v>
      </c>
      <c r="I112" s="197">
        <f>SUM(I87:I111)</f>
        <v>11940</v>
      </c>
      <c r="J112" s="198">
        <f>SUM(J87:J111)</f>
        <v>1358.3761025913136</v>
      </c>
      <c r="K112" s="199">
        <f>SUM(K87:K111)</f>
        <v>25200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2"/>
      <c r="N113" s="1182"/>
      <c r="O113" s="1182"/>
      <c r="P113" s="1182"/>
      <c r="Q113" s="1182"/>
      <c r="R113" s="1182"/>
      <c r="S113" s="1182"/>
      <c r="T113" s="118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3" t="s">
        <v>169</v>
      </c>
      <c r="C114" s="1184"/>
      <c r="D114" s="1184"/>
      <c r="E114" s="1184"/>
      <c r="F114" s="1184"/>
      <c r="G114" s="1184"/>
      <c r="H114" s="1184"/>
      <c r="I114" s="1184"/>
      <c r="J114" s="1184"/>
      <c r="K114" s="97"/>
      <c r="L114" s="216"/>
      <c r="M114" s="1185" t="s">
        <v>123</v>
      </c>
      <c r="N114" s="1179"/>
      <c r="O114" s="1186" t="s">
        <v>104</v>
      </c>
      <c r="P114" s="1186"/>
      <c r="Q114" s="1179" t="s">
        <v>127</v>
      </c>
      <c r="R114" s="1179"/>
      <c r="S114" s="1180" t="s">
        <v>128</v>
      </c>
      <c r="T114" s="1181"/>
    </row>
    <row r="115" spans="1:16384" ht="61.5" customHeight="1" thickTop="1" thickBot="1" x14ac:dyDescent="0.3">
      <c r="B115" s="101" t="s">
        <v>136</v>
      </c>
      <c r="C115" s="102" t="s">
        <v>260</v>
      </c>
      <c r="D115" s="102" t="s">
        <v>138</v>
      </c>
      <c r="E115" s="212"/>
      <c r="F115" s="102" t="s">
        <v>377</v>
      </c>
      <c r="G115" s="102" t="s">
        <v>163</v>
      </c>
      <c r="H115" s="102" t="s">
        <v>164</v>
      </c>
      <c r="I115" s="102" t="s">
        <v>378</v>
      </c>
      <c r="J115" s="103" t="s">
        <v>379</v>
      </c>
      <c r="K115" s="105" t="s">
        <v>376</v>
      </c>
      <c r="L115" s="217" t="s">
        <v>162</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3</v>
      </c>
      <c r="B116" s="159" t="s">
        <v>519</v>
      </c>
      <c r="C116" s="160">
        <v>41353</v>
      </c>
      <c r="D116" s="213">
        <v>20</v>
      </c>
      <c r="E116" s="46"/>
      <c r="F116" s="164">
        <v>46000</v>
      </c>
      <c r="G116" s="215">
        <v>60</v>
      </c>
      <c r="H116" s="215">
        <v>80</v>
      </c>
      <c r="I116" s="166">
        <f>IF(OR(B116="",H116=""),"",(H116*0.01*F116)*G116*0.01)</f>
        <v>22080</v>
      </c>
      <c r="J116" s="425">
        <f>IF(OR(I$2="",B116=""),"",IF(L116&gt;$I$2,0,IF((L116+D116)-$I$2&lt;=0,0,(PMT($I$8,D116,F116*G116*0.01,-I116,0))*(-1))))</f>
        <v>1806.0587545122198</v>
      </c>
      <c r="K116" s="834">
        <v>40000</v>
      </c>
      <c r="L116" s="836">
        <f>IF(C116="","",YEAR(C116))</f>
        <v>2013</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1</v>
      </c>
      <c r="B117" s="148" t="s">
        <v>520</v>
      </c>
      <c r="C117" s="70">
        <v>32874</v>
      </c>
      <c r="D117" s="34">
        <v>20</v>
      </c>
      <c r="E117" s="46"/>
      <c r="F117" s="23">
        <v>3000</v>
      </c>
      <c r="G117" s="36">
        <v>100</v>
      </c>
      <c r="H117" s="36">
        <v>80</v>
      </c>
      <c r="I117" s="16">
        <f t="shared" ref="I117:I140" si="56">IF(OR(B117="",H117=""),"",(H117*0.01*F117)*G117*0.01)</f>
        <v>2400</v>
      </c>
      <c r="J117" s="426">
        <f t="shared" ref="J117:J140" si="57">IF(OR(I$2="",B117=""),"",IF(L117&gt;$I$2,0,IF((L117+D117)-$I$2&lt;=0,0,(PMT($I$8,D117,F117*G117*0.01,-I117,0))*(-1))))</f>
        <v>0</v>
      </c>
      <c r="K117" s="832">
        <v>1500</v>
      </c>
      <c r="L117" s="836">
        <f t="shared" ref="L117:L124" si="58">IF(C117="","",YEAR(C117))</f>
        <v>1990</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1</v>
      </c>
      <c r="B118" s="148" t="s">
        <v>521</v>
      </c>
      <c r="C118" s="70">
        <v>41275</v>
      </c>
      <c r="D118" s="34">
        <v>20</v>
      </c>
      <c r="E118" s="46"/>
      <c r="F118" s="23">
        <v>1500</v>
      </c>
      <c r="G118" s="36">
        <v>50</v>
      </c>
      <c r="H118" s="36">
        <v>80</v>
      </c>
      <c r="I118" s="16">
        <f t="shared" si="56"/>
        <v>600</v>
      </c>
      <c r="J118" s="426">
        <f t="shared" si="57"/>
        <v>49.077683546527716</v>
      </c>
      <c r="K118" s="832">
        <v>1200</v>
      </c>
      <c r="L118" s="836">
        <f t="shared" si="58"/>
        <v>2013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10</v>
      </c>
      <c r="B119" s="148" t="s">
        <v>522</v>
      </c>
      <c r="C119" s="70">
        <v>41922</v>
      </c>
      <c r="D119" s="34">
        <v>20</v>
      </c>
      <c r="E119" s="46"/>
      <c r="F119" s="23">
        <v>600</v>
      </c>
      <c r="G119" s="36">
        <v>100</v>
      </c>
      <c r="H119" s="36">
        <v>80</v>
      </c>
      <c r="I119" s="16">
        <f t="shared" si="56"/>
        <v>480</v>
      </c>
      <c r="J119" s="426">
        <f t="shared" si="57"/>
        <v>39.262146837222176</v>
      </c>
      <c r="K119" s="832">
        <v>500</v>
      </c>
      <c r="L119" s="836">
        <f t="shared" si="58"/>
        <v>2014</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290</v>
      </c>
      <c r="C141" s="197"/>
      <c r="D141" s="195" t="s">
        <v>107</v>
      </c>
      <c r="E141" s="196"/>
      <c r="F141" s="197">
        <f>SUM(F116:F140)</f>
        <v>51100</v>
      </c>
      <c r="G141" s="197" t="s">
        <v>107</v>
      </c>
      <c r="H141" s="198" t="s">
        <v>107</v>
      </c>
      <c r="I141" s="197">
        <f>SUM(I116:I140)</f>
        <v>25560</v>
      </c>
      <c r="J141" s="198">
        <f>SUM(J116:J140)</f>
        <v>1894.3985848959696</v>
      </c>
      <c r="K141" s="199">
        <f>SUM(K116:K140)</f>
        <v>43200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2"/>
      <c r="N142" s="1182"/>
      <c r="O142" s="1182"/>
      <c r="P142" s="1182"/>
      <c r="Q142" s="1182"/>
      <c r="R142" s="1182"/>
      <c r="S142" s="1182"/>
      <c r="T142" s="118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87" t="s">
        <v>119</v>
      </c>
      <c r="C143" s="1188"/>
      <c r="D143" s="1188"/>
      <c r="E143" s="1188"/>
      <c r="F143" s="1188"/>
      <c r="G143" s="1188"/>
      <c r="H143" s="1188"/>
      <c r="I143" s="1188"/>
      <c r="J143" s="1188"/>
      <c r="K143" s="143"/>
      <c r="L143" s="31"/>
      <c r="M143" s="1189" t="s">
        <v>123</v>
      </c>
      <c r="N143" s="1190"/>
      <c r="O143" s="1191" t="s">
        <v>104</v>
      </c>
      <c r="P143" s="1191"/>
      <c r="Q143" s="1190" t="s">
        <v>127</v>
      </c>
      <c r="R143" s="1190"/>
      <c r="S143" s="1192" t="s">
        <v>128</v>
      </c>
      <c r="T143" s="1193"/>
    </row>
    <row r="144" spans="1:16384" ht="60" customHeight="1" thickTop="1" thickBot="1" x14ac:dyDescent="0.3">
      <c r="B144" s="150" t="s">
        <v>136</v>
      </c>
      <c r="C144" s="151" t="s">
        <v>260</v>
      </c>
      <c r="D144" s="151" t="s">
        <v>138</v>
      </c>
      <c r="E144" s="218" t="e">
        <f>IF(L144="","",(L144+D144)-$I$2)</f>
        <v>#VALUE!</v>
      </c>
      <c r="F144" s="151" t="s">
        <v>377</v>
      </c>
      <c r="G144" s="151" t="s">
        <v>163</v>
      </c>
      <c r="H144" s="151" t="s">
        <v>164</v>
      </c>
      <c r="I144" s="151" t="s">
        <v>378</v>
      </c>
      <c r="J144" s="174" t="s">
        <v>379</v>
      </c>
      <c r="K144" s="175" t="s">
        <v>376</v>
      </c>
      <c r="L144" s="147" t="s">
        <v>162</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E066"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
  <sheetViews>
    <sheetView showGridLines="0" tabSelected="1" topLeftCell="C65" zoomScale="60" zoomScaleNormal="60" workbookViewId="0">
      <selection activeCell="P74" sqref="P74:P78"/>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Bonanza</v>
      </c>
      <c r="D2" s="766"/>
      <c r="E2" s="766"/>
      <c r="F2" s="467" t="s">
        <v>120</v>
      </c>
      <c r="H2" s="438"/>
    </row>
    <row r="3" spans="2:31" ht="16.5" thickBot="1" x14ac:dyDescent="0.3">
      <c r="B3" s="769" t="str">
        <f>REBANHO!B6</f>
        <v>Sistema de produção</v>
      </c>
      <c r="C3" s="771" t="str">
        <f>IF(REBANHO!C6="","",REBANHO!C6)</f>
        <v>Rotacionado - Adubado</v>
      </c>
      <c r="D3" s="767"/>
      <c r="E3" s="765"/>
      <c r="F3" s="773">
        <f>IF(REBANHO!I2="","",REBANHO!I2)</f>
        <v>2016</v>
      </c>
      <c r="H3" s="438"/>
    </row>
    <row r="4" spans="2:31" ht="16.5" thickTop="1" thickBot="1" x14ac:dyDescent="0.3">
      <c r="C4" s="223"/>
    </row>
    <row r="5" spans="2:31" ht="47.25" customHeight="1" thickTop="1" x14ac:dyDescent="0.25">
      <c r="B5" s="934" t="s">
        <v>228</v>
      </c>
      <c r="C5" s="327" t="s">
        <v>467</v>
      </c>
      <c r="D5" s="1211" t="s">
        <v>369</v>
      </c>
      <c r="E5" s="1212"/>
      <c r="F5" s="1212"/>
      <c r="G5" s="1212"/>
      <c r="H5" s="1212"/>
      <c r="I5" s="1212"/>
      <c r="J5" s="1212"/>
      <c r="K5" s="1212"/>
      <c r="L5" s="1212"/>
      <c r="M5" s="1212"/>
      <c r="N5" s="1212"/>
      <c r="O5" s="1212"/>
      <c r="P5" s="1212"/>
      <c r="Q5" s="1213"/>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07" t="s">
        <v>225</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08"/>
      <c r="C8" s="314"/>
      <c r="D8" s="838" t="s">
        <v>466</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09"/>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0"/>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6" t="s">
        <v>13</v>
      </c>
      <c r="C11" s="313">
        <v>137</v>
      </c>
      <c r="D11" s="336" t="s">
        <v>15</v>
      </c>
      <c r="E11" s="313"/>
      <c r="F11" s="313"/>
      <c r="G11" s="313">
        <v>100</v>
      </c>
      <c r="H11" s="313"/>
      <c r="I11" s="313"/>
      <c r="J11" s="313"/>
      <c r="K11" s="313">
        <f>25+48</f>
        <v>73</v>
      </c>
      <c r="L11" s="313">
        <v>31</v>
      </c>
      <c r="M11" s="313"/>
      <c r="N11" s="313"/>
      <c r="O11" s="313"/>
      <c r="P11" s="313"/>
      <c r="Q11" s="251">
        <f>SUM(C11:P11)</f>
        <v>341</v>
      </c>
      <c r="R11" s="50"/>
      <c r="S11" s="50"/>
      <c r="T11" s="50"/>
      <c r="U11" s="50"/>
      <c r="V11" s="50"/>
      <c r="W11" s="50"/>
      <c r="X11" s="50"/>
      <c r="Y11" s="228"/>
      <c r="Z11" s="228"/>
      <c r="AA11" s="228"/>
      <c r="AB11" s="224"/>
      <c r="AC11" s="228"/>
      <c r="AD11" s="224"/>
      <c r="AE11" s="224"/>
    </row>
    <row r="12" spans="2:31" x14ac:dyDescent="0.25">
      <c r="B12" s="1166"/>
      <c r="C12" s="314">
        <v>323</v>
      </c>
      <c r="D12" s="838" t="s">
        <v>466</v>
      </c>
      <c r="E12" s="313"/>
      <c r="F12" s="313"/>
      <c r="G12" s="313">
        <v>216</v>
      </c>
      <c r="H12" s="313"/>
      <c r="I12" s="313"/>
      <c r="J12" s="313"/>
      <c r="K12" s="313">
        <f>(212+255)/2</f>
        <v>233.5</v>
      </c>
      <c r="L12" s="313">
        <v>228</v>
      </c>
      <c r="M12" s="313"/>
      <c r="N12" s="313"/>
      <c r="O12" s="313"/>
      <c r="P12" s="313"/>
      <c r="Q12" s="332">
        <f>SUM(C12:P12)</f>
        <v>1000.5</v>
      </c>
      <c r="R12" s="50"/>
      <c r="S12" s="50"/>
      <c r="T12" s="50"/>
      <c r="U12" s="50"/>
      <c r="V12" s="50"/>
      <c r="W12" s="50"/>
      <c r="X12" s="50"/>
      <c r="Y12" s="228"/>
      <c r="Z12" s="228"/>
      <c r="AA12" s="228"/>
      <c r="AB12" s="224"/>
      <c r="AC12" s="228"/>
      <c r="AD12" s="224"/>
      <c r="AE12" s="224"/>
    </row>
    <row r="13" spans="2:31" x14ac:dyDescent="0.25">
      <c r="B13" s="1167"/>
      <c r="C13" s="314">
        <v>2000</v>
      </c>
      <c r="D13" s="331" t="s">
        <v>113</v>
      </c>
      <c r="E13" s="314"/>
      <c r="F13" s="314"/>
      <c r="G13" s="314">
        <v>1800</v>
      </c>
      <c r="H13" s="314"/>
      <c r="I13" s="314"/>
      <c r="J13" s="314"/>
      <c r="K13" s="314">
        <f>(1540+1550)/2</f>
        <v>1545</v>
      </c>
      <c r="L13" s="314">
        <v>1350</v>
      </c>
      <c r="M13" s="314"/>
      <c r="N13" s="314"/>
      <c r="O13" s="314"/>
      <c r="P13" s="314"/>
      <c r="Q13" s="253">
        <f>IF(Q11=0,0,Q14/Q11)</f>
        <v>1784.8533724340175</v>
      </c>
      <c r="R13" s="50"/>
      <c r="S13" s="50"/>
      <c r="T13" s="50"/>
      <c r="U13" s="50"/>
      <c r="V13" s="50"/>
      <c r="W13" s="50"/>
      <c r="X13" s="50"/>
      <c r="Y13" s="228"/>
      <c r="Z13" s="228"/>
      <c r="AA13" s="300"/>
      <c r="AB13" s="224"/>
      <c r="AC13" s="300"/>
      <c r="AD13" s="224"/>
      <c r="AE13" s="224"/>
    </row>
    <row r="14" spans="2:31" ht="15.75" thickBot="1" x14ac:dyDescent="0.3">
      <c r="B14" s="1168"/>
      <c r="C14" s="338">
        <f>C11*C13</f>
        <v>274000</v>
      </c>
      <c r="D14" s="337" t="s">
        <v>16</v>
      </c>
      <c r="E14" s="258">
        <f t="shared" ref="E14:P14" si="1">E11*E13</f>
        <v>0</v>
      </c>
      <c r="F14" s="258">
        <f t="shared" si="1"/>
        <v>0</v>
      </c>
      <c r="G14" s="258">
        <f t="shared" si="1"/>
        <v>180000</v>
      </c>
      <c r="H14" s="258">
        <f t="shared" si="1"/>
        <v>0</v>
      </c>
      <c r="I14" s="258">
        <f t="shared" si="1"/>
        <v>0</v>
      </c>
      <c r="J14" s="258">
        <f t="shared" si="1"/>
        <v>0</v>
      </c>
      <c r="K14" s="258">
        <f t="shared" si="1"/>
        <v>112785</v>
      </c>
      <c r="L14" s="258">
        <f t="shared" si="1"/>
        <v>41850</v>
      </c>
      <c r="M14" s="258">
        <f t="shared" si="1"/>
        <v>0</v>
      </c>
      <c r="N14" s="258">
        <f t="shared" si="1"/>
        <v>0</v>
      </c>
      <c r="O14" s="258">
        <f t="shared" si="1"/>
        <v>0</v>
      </c>
      <c r="P14" s="258">
        <f t="shared" si="1"/>
        <v>0</v>
      </c>
      <c r="Q14" s="259">
        <f>SUM(C14:P14)</f>
        <v>608635</v>
      </c>
      <c r="R14" s="50"/>
      <c r="S14" s="50"/>
      <c r="T14" s="50"/>
      <c r="U14" s="50"/>
      <c r="V14" s="50"/>
      <c r="W14" s="50"/>
      <c r="X14" s="50"/>
      <c r="Y14" s="228"/>
      <c r="Z14" s="228"/>
      <c r="AA14" s="228"/>
      <c r="AB14" s="228"/>
      <c r="AC14" s="228"/>
      <c r="AD14" s="224"/>
      <c r="AE14" s="224"/>
    </row>
    <row r="15" spans="2:31" ht="15.75" thickTop="1" x14ac:dyDescent="0.25">
      <c r="B15" s="1207"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x14ac:dyDescent="0.25">
      <c r="B16" s="1208"/>
      <c r="C16" s="314"/>
      <c r="D16" s="838" t="s">
        <v>466</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x14ac:dyDescent="0.25">
      <c r="B17" s="1209"/>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x14ac:dyDescent="0.3">
      <c r="B18" s="1210"/>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x14ac:dyDescent="0.25">
      <c r="B19" s="1166"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6"/>
      <c r="C20" s="314"/>
      <c r="D20" s="838" t="s">
        <v>466</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7"/>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8"/>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07" t="s">
        <v>106</v>
      </c>
      <c r="C23" s="315">
        <v>1</v>
      </c>
      <c r="D23" s="339" t="s">
        <v>15</v>
      </c>
      <c r="E23" s="315"/>
      <c r="F23" s="315"/>
      <c r="G23" s="315"/>
      <c r="H23" s="315"/>
      <c r="I23" s="315"/>
      <c r="J23" s="315"/>
      <c r="K23" s="315"/>
      <c r="L23" s="315"/>
      <c r="M23" s="315"/>
      <c r="N23" s="315"/>
      <c r="O23" s="315"/>
      <c r="P23" s="315"/>
      <c r="Q23" s="330">
        <f>SUM(C23:P23)</f>
        <v>1</v>
      </c>
      <c r="R23" s="50"/>
      <c r="S23" s="50"/>
      <c r="T23" s="50"/>
      <c r="U23" s="50"/>
      <c r="V23" s="50"/>
      <c r="W23" s="50"/>
      <c r="X23" s="50"/>
      <c r="Y23" s="50"/>
      <c r="Z23" s="50"/>
    </row>
    <row r="24" spans="2:30" x14ac:dyDescent="0.25">
      <c r="B24" s="1208"/>
      <c r="C24" s="314">
        <v>600</v>
      </c>
      <c r="D24" s="838" t="s">
        <v>466</v>
      </c>
      <c r="E24" s="313"/>
      <c r="F24" s="313"/>
      <c r="G24" s="313"/>
      <c r="H24" s="313"/>
      <c r="I24" s="313"/>
      <c r="J24" s="313"/>
      <c r="K24" s="313"/>
      <c r="L24" s="313"/>
      <c r="M24" s="313"/>
      <c r="N24" s="313"/>
      <c r="O24" s="313"/>
      <c r="P24" s="313"/>
      <c r="Q24" s="332">
        <f>SUM(C24:P24)</f>
        <v>600</v>
      </c>
      <c r="R24" s="50"/>
      <c r="S24" s="50"/>
      <c r="T24" s="50"/>
      <c r="U24" s="50"/>
      <c r="V24" s="50"/>
      <c r="W24" s="50"/>
      <c r="X24" s="50"/>
      <c r="Y24" s="50"/>
      <c r="Z24" s="50"/>
    </row>
    <row r="25" spans="2:30" x14ac:dyDescent="0.25">
      <c r="B25" s="1209"/>
      <c r="C25" s="314">
        <v>4500</v>
      </c>
      <c r="D25" s="331" t="s">
        <v>113</v>
      </c>
      <c r="E25" s="314"/>
      <c r="F25" s="314"/>
      <c r="G25" s="314"/>
      <c r="H25" s="314"/>
      <c r="I25" s="314"/>
      <c r="J25" s="314"/>
      <c r="K25" s="314"/>
      <c r="L25" s="314"/>
      <c r="M25" s="314"/>
      <c r="N25" s="314"/>
      <c r="O25" s="314"/>
      <c r="P25" s="314"/>
      <c r="Q25" s="332">
        <f>IF(Q23=0,0,Q26/Q23)</f>
        <v>4500</v>
      </c>
      <c r="R25" s="50"/>
      <c r="S25" s="50"/>
      <c r="T25" s="50"/>
      <c r="U25" s="50"/>
      <c r="V25" s="50"/>
      <c r="W25" s="50"/>
      <c r="X25" s="50"/>
      <c r="Y25" s="50"/>
      <c r="Z25" s="50"/>
    </row>
    <row r="26" spans="2:30" ht="15.75" thickBot="1" x14ac:dyDescent="0.3">
      <c r="B26" s="1210"/>
      <c r="C26" s="334">
        <f>C23*C25</f>
        <v>4500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4500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278500</v>
      </c>
      <c r="D27" s="342" t="s">
        <v>47</v>
      </c>
      <c r="E27" s="343">
        <f t="shared" ref="E27:Q27" si="5">SUM(E10,E14,E18,E22,E26)</f>
        <v>0</v>
      </c>
      <c r="F27" s="343">
        <f t="shared" si="5"/>
        <v>0</v>
      </c>
      <c r="G27" s="343">
        <f t="shared" si="5"/>
        <v>180000</v>
      </c>
      <c r="H27" s="343">
        <f t="shared" si="5"/>
        <v>0</v>
      </c>
      <c r="I27" s="343">
        <f t="shared" si="5"/>
        <v>0</v>
      </c>
      <c r="J27" s="343">
        <f t="shared" si="5"/>
        <v>0</v>
      </c>
      <c r="K27" s="343">
        <f t="shared" si="5"/>
        <v>112785</v>
      </c>
      <c r="L27" s="343">
        <f t="shared" si="5"/>
        <v>41850</v>
      </c>
      <c r="M27" s="343">
        <f t="shared" si="5"/>
        <v>0</v>
      </c>
      <c r="N27" s="343">
        <f t="shared" si="5"/>
        <v>0</v>
      </c>
      <c r="O27" s="343">
        <f t="shared" si="5"/>
        <v>0</v>
      </c>
      <c r="P27" s="343">
        <f t="shared" si="5"/>
        <v>0</v>
      </c>
      <c r="Q27" s="344">
        <f t="shared" si="5"/>
        <v>613135</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18" t="s">
        <v>42</v>
      </c>
      <c r="T29" s="1219"/>
      <c r="U29" s="1219"/>
      <c r="V29" s="1219"/>
      <c r="W29" s="839" t="s">
        <v>447</v>
      </c>
      <c r="X29" s="839" t="str">
        <f>IF(INVESTIMENTOS!R24="","",INVESTIMENTOS!R24)</f>
        <v/>
      </c>
      <c r="Y29" s="839" t="s">
        <v>448</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6" t="s">
        <v>123</v>
      </c>
      <c r="T30" s="1216"/>
      <c r="U30" s="1216" t="s">
        <v>104</v>
      </c>
      <c r="V30" s="1216"/>
      <c r="W30" s="1216" t="s">
        <v>103</v>
      </c>
      <c r="X30" s="1216"/>
      <c r="Y30" s="1216" t="s">
        <v>102</v>
      </c>
      <c r="Z30" s="1217"/>
    </row>
    <row r="31" spans="2:30" ht="15.75" thickTop="1" x14ac:dyDescent="0.25">
      <c r="B31" s="356" t="s">
        <v>45</v>
      </c>
      <c r="C31" s="357" t="s">
        <v>46</v>
      </c>
      <c r="D31" s="358" t="s">
        <v>47</v>
      </c>
      <c r="E31" s="1081">
        <f>1500+1215</f>
        <v>2715</v>
      </c>
      <c r="F31" s="1081">
        <v>2715</v>
      </c>
      <c r="G31" s="1081">
        <v>2715</v>
      </c>
      <c r="H31" s="414">
        <v>1500</v>
      </c>
      <c r="I31" s="414">
        <v>1500</v>
      </c>
      <c r="J31" s="414">
        <v>1500</v>
      </c>
      <c r="K31" s="414">
        <v>1500</v>
      </c>
      <c r="L31" s="414">
        <v>1500</v>
      </c>
      <c r="M31" s="414">
        <v>1500</v>
      </c>
      <c r="N31" s="414"/>
      <c r="O31" s="414">
        <v>2000</v>
      </c>
      <c r="P31" s="414"/>
      <c r="Q31" s="359">
        <f t="shared" ref="Q31:Q65" si="6">IF(OR(R31=0,R31=""),0,(R31/$R$70)*100)</f>
        <v>3.5035340218133011</v>
      </c>
      <c r="R31" s="359">
        <f t="shared" ref="R31:R69" si="7">SUM(E31:P31)</f>
        <v>19145</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v>500</v>
      </c>
      <c r="F32" s="415"/>
      <c r="G32" s="415">
        <f>1200</f>
        <v>1200</v>
      </c>
      <c r="H32" s="415">
        <v>1320</v>
      </c>
      <c r="I32" s="415">
        <v>840</v>
      </c>
      <c r="J32" s="415">
        <v>480</v>
      </c>
      <c r="K32" s="415">
        <v>500</v>
      </c>
      <c r="L32" s="415"/>
      <c r="M32" s="415"/>
      <c r="N32" s="415">
        <v>480</v>
      </c>
      <c r="O32" s="415"/>
      <c r="P32" s="415"/>
      <c r="Q32" s="359">
        <f t="shared" si="6"/>
        <v>0.97355972818212388</v>
      </c>
      <c r="R32" s="364">
        <f t="shared" si="7"/>
        <v>5320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240</v>
      </c>
      <c r="F33" s="415">
        <v>240</v>
      </c>
      <c r="G33" s="415">
        <v>240</v>
      </c>
      <c r="H33" s="415">
        <v>240</v>
      </c>
      <c r="I33" s="415">
        <v>240</v>
      </c>
      <c r="J33" s="415">
        <v>240</v>
      </c>
      <c r="K33" s="415">
        <v>240</v>
      </c>
      <c r="L33" s="415">
        <v>240</v>
      </c>
      <c r="M33" s="415">
        <v>240</v>
      </c>
      <c r="N33" s="415"/>
      <c r="O33" s="415">
        <v>240</v>
      </c>
      <c r="P33" s="415"/>
      <c r="Q33" s="359">
        <f t="shared" si="6"/>
        <v>0.43919987737539423</v>
      </c>
      <c r="R33" s="364">
        <f t="shared" si="7"/>
        <v>2400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c r="F34" s="415"/>
      <c r="G34" s="415">
        <f>600+100</f>
        <v>700</v>
      </c>
      <c r="H34" s="415">
        <v>750</v>
      </c>
      <c r="I34" s="415"/>
      <c r="J34" s="415">
        <v>880</v>
      </c>
      <c r="K34" s="415"/>
      <c r="L34" s="415"/>
      <c r="M34" s="415"/>
      <c r="N34" s="415"/>
      <c r="O34" s="415"/>
      <c r="P34" s="415"/>
      <c r="Q34" s="359">
        <f t="shared" si="6"/>
        <v>0.42638988095194524</v>
      </c>
      <c r="R34" s="364">
        <f t="shared" si="7"/>
        <v>2330</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v>310</v>
      </c>
      <c r="H35" s="415"/>
      <c r="I35" s="415"/>
      <c r="J35" s="415"/>
      <c r="K35" s="415"/>
      <c r="L35" s="415"/>
      <c r="M35" s="415"/>
      <c r="N35" s="415"/>
      <c r="O35" s="415"/>
      <c r="P35" s="415"/>
      <c r="Q35" s="359">
        <f t="shared" si="6"/>
        <v>5.6729984160988428E-2</v>
      </c>
      <c r="R35" s="364">
        <f t="shared" si="7"/>
        <v>310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v>1159.8800000000001</v>
      </c>
      <c r="H45" s="415">
        <v>1159.8800000000001</v>
      </c>
      <c r="I45" s="415">
        <v>1159.8800000000001</v>
      </c>
      <c r="J45" s="415">
        <v>1175</v>
      </c>
      <c r="K45" s="415">
        <v>1175</v>
      </c>
      <c r="L45" s="415">
        <v>1175</v>
      </c>
      <c r="M45" s="415"/>
      <c r="N45" s="415">
        <v>940</v>
      </c>
      <c r="O45" s="415">
        <v>940</v>
      </c>
      <c r="P45" s="415"/>
      <c r="Q45" s="359">
        <f t="shared" si="6"/>
        <v>1.6258886660518845</v>
      </c>
      <c r="R45" s="364">
        <f t="shared" si="7"/>
        <v>8884.64</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f>1066.63+258.98+620+300</f>
        <v>2245.61</v>
      </c>
      <c r="F48" s="415"/>
      <c r="G48" s="415">
        <v>310</v>
      </c>
      <c r="H48" s="415"/>
      <c r="I48" s="415"/>
      <c r="J48" s="415"/>
      <c r="K48" s="415"/>
      <c r="L48" s="415"/>
      <c r="M48" s="415"/>
      <c r="N48" s="415"/>
      <c r="O48" s="415"/>
      <c r="P48" s="415"/>
      <c r="Q48" s="359">
        <f t="shared" si="6"/>
        <v>0.46767649942472139</v>
      </c>
      <c r="R48" s="364">
        <f t="shared" si="7"/>
        <v>2555.61</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443</v>
      </c>
      <c r="F52" s="415">
        <v>1001.1</v>
      </c>
      <c r="G52" s="415">
        <v>333.2</v>
      </c>
      <c r="H52" s="415">
        <v>1898</v>
      </c>
      <c r="I52" s="415">
        <v>498.8</v>
      </c>
      <c r="J52" s="415">
        <v>1378.9</v>
      </c>
      <c r="K52" s="415">
        <v>167.8</v>
      </c>
      <c r="L52" s="415">
        <v>379</v>
      </c>
      <c r="M52" s="415"/>
      <c r="N52" s="415">
        <v>816</v>
      </c>
      <c r="O52" s="415">
        <v>1373.65</v>
      </c>
      <c r="P52" s="415"/>
      <c r="Q52" s="359">
        <f t="shared" si="6"/>
        <v>1.5169689264622759</v>
      </c>
      <c r="R52" s="364">
        <f t="shared" si="7"/>
        <v>8289.4500000000007</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f>321.5+31.1</f>
        <v>352.6</v>
      </c>
      <c r="F55" s="415"/>
      <c r="G55" s="415"/>
      <c r="H55" s="415">
        <f>1050+650</f>
        <v>1700</v>
      </c>
      <c r="I55" s="415"/>
      <c r="J55" s="415"/>
      <c r="K55" s="415"/>
      <c r="L55" s="415"/>
      <c r="M55" s="415">
        <f>749.48+410</f>
        <v>1159.48</v>
      </c>
      <c r="N55" s="415"/>
      <c r="O55" s="415">
        <v>214.08</v>
      </c>
      <c r="P55" s="415"/>
      <c r="Q55" s="359">
        <f t="shared" si="6"/>
        <v>0.62698710494520027</v>
      </c>
      <c r="R55" s="364">
        <f t="shared" si="7"/>
        <v>3426.16</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1092.25</v>
      </c>
      <c r="F56" s="415">
        <f>997+166</f>
        <v>1163</v>
      </c>
      <c r="G56" s="415">
        <f>1026</f>
        <v>1026</v>
      </c>
      <c r="H56" s="415">
        <v>1870.5</v>
      </c>
      <c r="I56" s="415">
        <v>710</v>
      </c>
      <c r="J56" s="415">
        <v>1086.33</v>
      </c>
      <c r="K56" s="415">
        <v>201.23</v>
      </c>
      <c r="L56" s="415"/>
      <c r="M56" s="415"/>
      <c r="N56" s="415"/>
      <c r="O56" s="415"/>
      <c r="P56" s="415"/>
      <c r="Q56" s="359">
        <f t="shared" si="6"/>
        <v>1.3083233647161165</v>
      </c>
      <c r="R56" s="364">
        <f t="shared" si="7"/>
        <v>7149.3099999999995</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280</v>
      </c>
      <c r="F58" s="415">
        <v>75</v>
      </c>
      <c r="G58" s="415">
        <f>220+242.2</f>
        <v>462.2</v>
      </c>
      <c r="H58" s="415">
        <f>200+48</f>
        <v>248</v>
      </c>
      <c r="I58" s="415">
        <v>150</v>
      </c>
      <c r="J58" s="415">
        <v>514.65</v>
      </c>
      <c r="K58" s="415">
        <v>220</v>
      </c>
      <c r="L58" s="415">
        <v>379</v>
      </c>
      <c r="M58" s="415"/>
      <c r="N58" s="415">
        <v>54</v>
      </c>
      <c r="O58" s="415"/>
      <c r="P58" s="415"/>
      <c r="Q58" s="359">
        <f t="shared" si="6"/>
        <v>0.43606142825164923</v>
      </c>
      <c r="R58" s="364">
        <f t="shared" si="7"/>
        <v>2382.85</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v>583.9</v>
      </c>
      <c r="H59" s="415">
        <v>723.3</v>
      </c>
      <c r="I59" s="415">
        <f>308.18+195.77</f>
        <v>503.95000000000005</v>
      </c>
      <c r="J59" s="415">
        <v>396.2</v>
      </c>
      <c r="K59" s="415">
        <f>320.75+381.39</f>
        <v>702.14</v>
      </c>
      <c r="L59" s="415"/>
      <c r="M59" s="415"/>
      <c r="N59" s="415">
        <f>3600+600</f>
        <v>4200</v>
      </c>
      <c r="O59" s="415">
        <v>1747.55</v>
      </c>
      <c r="P59" s="415"/>
      <c r="Q59" s="359">
        <f t="shared" si="6"/>
        <v>1.6208378674620674</v>
      </c>
      <c r="R59" s="364">
        <f t="shared" si="7"/>
        <v>8857.0399999999991</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54.01</v>
      </c>
      <c r="F60" s="415">
        <v>37.04</v>
      </c>
      <c r="G60" s="415">
        <v>34.42</v>
      </c>
      <c r="H60" s="415">
        <v>34.86</v>
      </c>
      <c r="I60" s="415">
        <v>33.590000000000003</v>
      </c>
      <c r="J60" s="415">
        <v>39.24</v>
      </c>
      <c r="K60" s="415">
        <v>35.08</v>
      </c>
      <c r="L60" s="415">
        <v>41.71</v>
      </c>
      <c r="M60" s="415">
        <v>32.630000000000003</v>
      </c>
      <c r="N60" s="415">
        <f>40.25+269</f>
        <v>309.25</v>
      </c>
      <c r="O60" s="415">
        <v>34.64</v>
      </c>
      <c r="P60" s="415"/>
      <c r="Q60" s="359">
        <f t="shared" si="6"/>
        <v>0.1256239749257862</v>
      </c>
      <c r="R60" s="364">
        <f t="shared" si="7"/>
        <v>686.46999999999991</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v>56.52</v>
      </c>
      <c r="I62" s="415">
        <v>14.13</v>
      </c>
      <c r="J62" s="415"/>
      <c r="K62" s="415">
        <v>313.68</v>
      </c>
      <c r="L62" s="415"/>
      <c r="M62" s="415">
        <v>65</v>
      </c>
      <c r="N62" s="415"/>
      <c r="O62" s="415"/>
      <c r="P62" s="415"/>
      <c r="Q62" s="359">
        <f t="shared" si="6"/>
        <v>8.2227367042119137E-2</v>
      </c>
      <c r="R62" s="364">
        <f t="shared" si="7"/>
        <v>449.33000000000004</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371</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v>150</v>
      </c>
      <c r="F65" s="415"/>
      <c r="G65" s="415"/>
      <c r="H65" s="415"/>
      <c r="I65" s="415"/>
      <c r="J65" s="415"/>
      <c r="K65" s="415"/>
      <c r="L65" s="415"/>
      <c r="M65" s="415"/>
      <c r="N65" s="415"/>
      <c r="O65" s="415"/>
      <c r="P65" s="415"/>
      <c r="Q65" s="359">
        <f t="shared" si="6"/>
        <v>2.744999233596214E-2</v>
      </c>
      <c r="R65" s="364">
        <f t="shared" si="7"/>
        <v>150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538</v>
      </c>
      <c r="D66" s="363" t="s">
        <v>47</v>
      </c>
      <c r="E66" s="415"/>
      <c r="F66" s="415"/>
      <c r="G66" s="415"/>
      <c r="H66" s="415"/>
      <c r="I66" s="415"/>
      <c r="J66" s="415"/>
      <c r="K66" s="415">
        <v>115605.35</v>
      </c>
      <c r="L66" s="415"/>
      <c r="M66" s="415">
        <v>23872.03</v>
      </c>
      <c r="N66" s="415"/>
      <c r="O66" s="415"/>
      <c r="P66" s="415"/>
      <c r="Q66" s="359">
        <f t="shared" ref="Q66:Q67" si="12">IF(OR(R66=0,R66=""),0,(R66/$R$70)*100)</f>
        <v>25.524353413600526</v>
      </c>
      <c r="R66" s="364">
        <f t="shared" si="7"/>
        <v>139477.38</v>
      </c>
      <c r="S66" s="365">
        <f t="shared" si="8"/>
        <v>0</v>
      </c>
      <c r="T66" s="414"/>
      <c r="U66" s="365">
        <f t="shared" si="9"/>
        <v>0</v>
      </c>
      <c r="V66" s="414"/>
      <c r="W66" s="365">
        <f t="shared" si="10"/>
        <v>0</v>
      </c>
      <c r="X66" s="1081"/>
      <c r="Y66" s="365">
        <f t="shared" si="11"/>
        <v>0</v>
      </c>
      <c r="Z66" s="416"/>
      <c r="AA66" s="340"/>
      <c r="AB66" s="340"/>
    </row>
    <row r="67" spans="2:28" x14ac:dyDescent="0.25">
      <c r="B67" s="417" t="s">
        <v>460</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461</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245</v>
      </c>
      <c r="C69" s="367" t="s">
        <v>246</v>
      </c>
      <c r="D69" s="368" t="s">
        <v>47</v>
      </c>
      <c r="E69" s="369">
        <f t="shared" ref="E69:P69" si="13">E27-E26</f>
        <v>0</v>
      </c>
      <c r="F69" s="369">
        <f t="shared" si="13"/>
        <v>0</v>
      </c>
      <c r="G69" s="369">
        <f t="shared" si="13"/>
        <v>180000</v>
      </c>
      <c r="H69" s="369">
        <f t="shared" si="13"/>
        <v>0</v>
      </c>
      <c r="I69" s="369">
        <f t="shared" si="13"/>
        <v>0</v>
      </c>
      <c r="J69" s="369">
        <f t="shared" si="13"/>
        <v>0</v>
      </c>
      <c r="K69" s="369">
        <f t="shared" si="13"/>
        <v>112785</v>
      </c>
      <c r="L69" s="369">
        <f t="shared" si="13"/>
        <v>41850</v>
      </c>
      <c r="M69" s="369">
        <f t="shared" si="13"/>
        <v>0</v>
      </c>
      <c r="N69" s="369">
        <f t="shared" si="13"/>
        <v>0</v>
      </c>
      <c r="O69" s="369">
        <f t="shared" si="13"/>
        <v>0</v>
      </c>
      <c r="P69" s="369">
        <f t="shared" si="13"/>
        <v>0</v>
      </c>
      <c r="Q69" s="359">
        <f>IF(OR(R69=0,R69=""),0,(R69/$R$70)*100)</f>
        <v>61.238187902297938</v>
      </c>
      <c r="R69" s="364">
        <f t="shared" si="7"/>
        <v>334635</v>
      </c>
      <c r="S69" s="370">
        <f t="shared" si="8"/>
        <v>0</v>
      </c>
      <c r="T69" s="359">
        <f>SUM(E26:P26)+SUM(E22:P22)</f>
        <v>0</v>
      </c>
      <c r="U69" s="370">
        <f t="shared" si="9"/>
        <v>0</v>
      </c>
      <c r="V69" s="359">
        <f>SUM(E10:P10)</f>
        <v>0</v>
      </c>
      <c r="W69" s="370">
        <f t="shared" si="10"/>
        <v>100</v>
      </c>
      <c r="X69" s="359">
        <f>SUM(E14:P14)</f>
        <v>334635</v>
      </c>
      <c r="Y69" s="370">
        <f t="shared" si="11"/>
        <v>0</v>
      </c>
      <c r="Z69" s="1108">
        <f>SUM(E18:P18)</f>
        <v>0</v>
      </c>
      <c r="AA69" s="340"/>
      <c r="AB69" s="340"/>
    </row>
    <row r="70" spans="2:28" ht="16.5" thickTop="1" thickBot="1" x14ac:dyDescent="0.3">
      <c r="B70" s="372" t="s">
        <v>89</v>
      </c>
      <c r="C70" s="373"/>
      <c r="D70" s="374" t="s">
        <v>47</v>
      </c>
      <c r="E70" s="375">
        <f t="shared" ref="E70:P70" si="14">SUM(E31:E69)</f>
        <v>8072.4700000000012</v>
      </c>
      <c r="F70" s="375">
        <f t="shared" si="14"/>
        <v>5231.1400000000003</v>
      </c>
      <c r="G70" s="375">
        <f t="shared" si="14"/>
        <v>189074.6</v>
      </c>
      <c r="H70" s="375">
        <f t="shared" si="14"/>
        <v>11501.060000000001</v>
      </c>
      <c r="I70" s="375">
        <f t="shared" si="14"/>
        <v>5650.35</v>
      </c>
      <c r="J70" s="375">
        <f t="shared" si="14"/>
        <v>7690.3199999999988</v>
      </c>
      <c r="K70" s="375">
        <f t="shared" si="14"/>
        <v>233445.28</v>
      </c>
      <c r="L70" s="375">
        <f t="shared" si="14"/>
        <v>45564.71</v>
      </c>
      <c r="M70" s="375">
        <f t="shared" si="14"/>
        <v>26869.14</v>
      </c>
      <c r="N70" s="375">
        <f t="shared" si="14"/>
        <v>6799.25</v>
      </c>
      <c r="O70" s="375">
        <f t="shared" si="14"/>
        <v>6549.92</v>
      </c>
      <c r="P70" s="375">
        <f t="shared" si="14"/>
        <v>0</v>
      </c>
      <c r="Q70" s="376" t="s">
        <v>107</v>
      </c>
      <c r="R70" s="377">
        <f>SUM(R31:R69)</f>
        <v>546448.24</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214"/>
      <c r="Y72" s="1214"/>
      <c r="Z72" s="1215"/>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v>131.56</v>
      </c>
      <c r="F74" s="422"/>
      <c r="G74" s="422"/>
      <c r="H74" s="422"/>
      <c r="I74" s="422"/>
      <c r="J74" s="422"/>
      <c r="K74" s="422"/>
      <c r="L74" s="422"/>
      <c r="M74" s="422"/>
      <c r="N74" s="422"/>
      <c r="O74" s="422"/>
      <c r="P74" s="422"/>
      <c r="Q74" s="386">
        <f t="shared" ref="Q74:Q90" si="20">IF(OR(R74=0,R74=""),0,(R74/$R$91)*100)</f>
        <v>0.2998598481144682</v>
      </c>
      <c r="R74" s="386">
        <f t="shared" si="15"/>
        <v>131.56</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45</v>
      </c>
      <c r="F76" s="422">
        <v>45</v>
      </c>
      <c r="G76" s="422">
        <v>45</v>
      </c>
      <c r="H76" s="422">
        <v>45</v>
      </c>
      <c r="I76" s="422">
        <v>45</v>
      </c>
      <c r="J76" s="422">
        <v>45</v>
      </c>
      <c r="K76" s="422">
        <f>45/2</f>
        <v>22.5</v>
      </c>
      <c r="L76" s="422">
        <v>22.5</v>
      </c>
      <c r="M76" s="422">
        <v>22.5</v>
      </c>
      <c r="N76" s="422">
        <v>22.5</v>
      </c>
      <c r="O76" s="422">
        <v>22.5</v>
      </c>
      <c r="P76" s="422"/>
      <c r="Q76" s="386">
        <f t="shared" si="20"/>
        <v>0.87181812027807926</v>
      </c>
      <c r="R76" s="386">
        <f t="shared" si="15"/>
        <v>382.5</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v>200</v>
      </c>
      <c r="F80" s="422">
        <v>200</v>
      </c>
      <c r="G80" s="422">
        <v>200</v>
      </c>
      <c r="H80" s="422">
        <v>200</v>
      </c>
      <c r="I80" s="422">
        <v>200</v>
      </c>
      <c r="J80" s="422">
        <v>200</v>
      </c>
      <c r="K80" s="422">
        <v>200</v>
      </c>
      <c r="L80" s="422">
        <v>200</v>
      </c>
      <c r="M80" s="422">
        <v>200</v>
      </c>
      <c r="N80" s="422"/>
      <c r="O80" s="422">
        <v>200</v>
      </c>
      <c r="P80" s="422"/>
      <c r="Q80" s="386">
        <f t="shared" si="20"/>
        <v>4.5585261191010673</v>
      </c>
      <c r="R80" s="386">
        <f t="shared" si="15"/>
        <v>2000</v>
      </c>
      <c r="S80" s="387">
        <f t="shared" si="16"/>
        <v>0</v>
      </c>
      <c r="T80" s="422"/>
      <c r="U80" s="387">
        <f t="shared" si="17"/>
        <v>0</v>
      </c>
      <c r="V80" s="422"/>
      <c r="W80" s="387">
        <f t="shared" si="18"/>
        <v>0</v>
      </c>
      <c r="X80" s="422"/>
      <c r="Y80" s="387">
        <f t="shared" si="19"/>
        <v>0</v>
      </c>
      <c r="Z80" s="424"/>
      <c r="AA80" s="340"/>
      <c r="AB80" s="340"/>
    </row>
    <row r="81" spans="2:28" x14ac:dyDescent="0.25">
      <c r="B81" s="384" t="s">
        <v>370</v>
      </c>
      <c r="C81" s="385" t="s">
        <v>46</v>
      </c>
      <c r="D81" s="331" t="s">
        <v>47</v>
      </c>
      <c r="E81" s="422"/>
      <c r="F81" s="422"/>
      <c r="G81" s="422"/>
      <c r="H81" s="422"/>
      <c r="I81" s="422"/>
      <c r="J81" s="422"/>
      <c r="K81" s="422"/>
      <c r="L81" s="422"/>
      <c r="M81" s="422"/>
      <c r="N81" s="422">
        <v>1500</v>
      </c>
      <c r="O81" s="422"/>
      <c r="P81" s="422"/>
      <c r="Q81" s="386">
        <f t="shared" si="20"/>
        <v>3.4188945893258009</v>
      </c>
      <c r="R81" s="386">
        <f t="shared" si="15"/>
        <v>1500</v>
      </c>
      <c r="S81" s="387">
        <f t="shared" si="16"/>
        <v>0</v>
      </c>
      <c r="T81" s="422"/>
      <c r="U81" s="387">
        <f t="shared" si="17"/>
        <v>0</v>
      </c>
      <c r="V81" s="422"/>
      <c r="W81" s="387">
        <f t="shared" si="18"/>
        <v>0</v>
      </c>
      <c r="X81" s="422"/>
      <c r="Y81" s="387">
        <f t="shared" si="19"/>
        <v>0</v>
      </c>
      <c r="Z81" s="424"/>
      <c r="AA81" s="340"/>
      <c r="AB81" s="340"/>
    </row>
    <row r="82" spans="2:28" x14ac:dyDescent="0.25">
      <c r="B82" s="419" t="s">
        <v>88</v>
      </c>
      <c r="C82" s="420" t="s">
        <v>528</v>
      </c>
      <c r="D82" s="331" t="s">
        <v>47</v>
      </c>
      <c r="E82" s="422">
        <v>974.66</v>
      </c>
      <c r="F82" s="422">
        <v>359.23</v>
      </c>
      <c r="G82" s="422">
        <v>1441.94</v>
      </c>
      <c r="H82" s="422">
        <v>785.3</v>
      </c>
      <c r="I82" s="422">
        <v>1064.45</v>
      </c>
      <c r="J82" s="422">
        <v>525.85</v>
      </c>
      <c r="K82" s="422">
        <v>421.17</v>
      </c>
      <c r="L82" s="422">
        <v>943.88</v>
      </c>
      <c r="M82" s="422">
        <v>609.05999999999995</v>
      </c>
      <c r="N82" s="422">
        <v>929.87</v>
      </c>
      <c r="O82" s="422">
        <v>333.85</v>
      </c>
      <c r="P82" s="422"/>
      <c r="Q82" s="386">
        <f t="shared" si="20"/>
        <v>19.121330414964913</v>
      </c>
      <c r="R82" s="386">
        <f t="shared" si="15"/>
        <v>8389.26</v>
      </c>
      <c r="S82" s="387">
        <f t="shared" si="16"/>
        <v>0</v>
      </c>
      <c r="T82" s="422"/>
      <c r="U82" s="387">
        <f t="shared" si="17"/>
        <v>0</v>
      </c>
      <c r="V82" s="422"/>
      <c r="W82" s="387">
        <f t="shared" si="18"/>
        <v>0</v>
      </c>
      <c r="X82" s="422"/>
      <c r="Y82" s="387">
        <f t="shared" si="19"/>
        <v>0</v>
      </c>
      <c r="Z82" s="424"/>
      <c r="AA82" s="340"/>
      <c r="AB82" s="340"/>
    </row>
    <row r="83" spans="2:28" x14ac:dyDescent="0.25">
      <c r="B83" s="419" t="s">
        <v>524</v>
      </c>
      <c r="C83" s="420" t="s">
        <v>525</v>
      </c>
      <c r="D83" s="331" t="s">
        <v>47</v>
      </c>
      <c r="E83" s="422">
        <v>2000</v>
      </c>
      <c r="F83" s="422">
        <v>2000</v>
      </c>
      <c r="G83" s="422">
        <v>2000</v>
      </c>
      <c r="H83" s="422">
        <v>2000</v>
      </c>
      <c r="I83" s="422">
        <v>2000</v>
      </c>
      <c r="J83" s="422">
        <v>2000</v>
      </c>
      <c r="K83" s="422">
        <v>2000</v>
      </c>
      <c r="L83" s="422">
        <v>2000</v>
      </c>
      <c r="M83" s="422">
        <v>2000</v>
      </c>
      <c r="N83" s="422">
        <v>2000</v>
      </c>
      <c r="O83" s="422">
        <v>2000</v>
      </c>
      <c r="P83" s="422"/>
      <c r="Q83" s="386">
        <f t="shared" si="20"/>
        <v>50.14378731011174</v>
      </c>
      <c r="R83" s="386">
        <f t="shared" si="15"/>
        <v>22000</v>
      </c>
      <c r="S83" s="387">
        <f t="shared" si="16"/>
        <v>0</v>
      </c>
      <c r="T83" s="422"/>
      <c r="U83" s="387">
        <f t="shared" si="17"/>
        <v>0</v>
      </c>
      <c r="V83" s="422"/>
      <c r="W83" s="387">
        <f t="shared" si="18"/>
        <v>0</v>
      </c>
      <c r="X83" s="422"/>
      <c r="Y83" s="387">
        <f t="shared" si="19"/>
        <v>0</v>
      </c>
      <c r="Z83" s="424"/>
      <c r="AA83" s="340"/>
      <c r="AB83" s="340"/>
    </row>
    <row r="84" spans="2:28" x14ac:dyDescent="0.25">
      <c r="B84" s="419" t="s">
        <v>526</v>
      </c>
      <c r="C84" s="420" t="s">
        <v>527</v>
      </c>
      <c r="D84" s="331" t="s">
        <v>47</v>
      </c>
      <c r="E84" s="422">
        <v>600</v>
      </c>
      <c r="F84" s="422">
        <v>300</v>
      </c>
      <c r="G84" s="422">
        <v>800</v>
      </c>
      <c r="H84" s="422">
        <v>500</v>
      </c>
      <c r="I84" s="422">
        <v>600</v>
      </c>
      <c r="J84" s="422">
        <v>300</v>
      </c>
      <c r="K84" s="422">
        <v>350</v>
      </c>
      <c r="L84" s="422">
        <v>550</v>
      </c>
      <c r="M84" s="422">
        <v>350</v>
      </c>
      <c r="N84" s="422">
        <v>500</v>
      </c>
      <c r="O84" s="422">
        <v>350</v>
      </c>
      <c r="P84" s="422"/>
      <c r="Q84" s="386">
        <f t="shared" si="20"/>
        <v>11.852167909662775</v>
      </c>
      <c r="R84" s="386">
        <f t="shared" si="15"/>
        <v>5200</v>
      </c>
      <c r="S84" s="387">
        <f t="shared" si="16"/>
        <v>0</v>
      </c>
      <c r="T84" s="422"/>
      <c r="U84" s="387">
        <f t="shared" si="17"/>
        <v>0</v>
      </c>
      <c r="V84" s="422"/>
      <c r="W84" s="387">
        <f t="shared" si="18"/>
        <v>0</v>
      </c>
      <c r="X84" s="422"/>
      <c r="Y84" s="387">
        <f t="shared" si="19"/>
        <v>0</v>
      </c>
      <c r="Z84" s="424"/>
      <c r="AA84" s="340"/>
      <c r="AB84" s="340"/>
    </row>
    <row r="85" spans="2:28" x14ac:dyDescent="0.25">
      <c r="B85" s="419" t="s">
        <v>529</v>
      </c>
      <c r="C85" s="420" t="s">
        <v>530</v>
      </c>
      <c r="D85" s="331" t="s">
        <v>47</v>
      </c>
      <c r="E85" s="422"/>
      <c r="F85" s="422"/>
      <c r="G85" s="422"/>
      <c r="H85" s="422"/>
      <c r="I85" s="422"/>
      <c r="J85" s="422"/>
      <c r="K85" s="422">
        <v>440</v>
      </c>
      <c r="L85" s="422">
        <v>350</v>
      </c>
      <c r="M85" s="422"/>
      <c r="N85" s="422"/>
      <c r="O85" s="422"/>
      <c r="P85" s="422"/>
      <c r="Q85" s="386">
        <f t="shared" si="20"/>
        <v>1.8006178170449219</v>
      </c>
      <c r="R85" s="386">
        <f t="shared" si="15"/>
        <v>790</v>
      </c>
      <c r="S85" s="387">
        <f t="shared" si="16"/>
        <v>0</v>
      </c>
      <c r="T85" s="422"/>
      <c r="U85" s="387">
        <f t="shared" si="17"/>
        <v>0</v>
      </c>
      <c r="V85" s="422"/>
      <c r="W85" s="387">
        <f t="shared" si="18"/>
        <v>0</v>
      </c>
      <c r="X85" s="422"/>
      <c r="Y85" s="387">
        <f t="shared" si="19"/>
        <v>0</v>
      </c>
      <c r="Z85" s="424"/>
      <c r="AA85" s="340"/>
      <c r="AB85" s="340"/>
    </row>
    <row r="86" spans="2:28" x14ac:dyDescent="0.25">
      <c r="B86" s="419" t="s">
        <v>531</v>
      </c>
      <c r="C86" s="420" t="s">
        <v>532</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533</v>
      </c>
      <c r="C87" s="420" t="s">
        <v>534</v>
      </c>
      <c r="D87" s="331" t="s">
        <v>47</v>
      </c>
      <c r="E87" s="422"/>
      <c r="F87" s="422"/>
      <c r="G87" s="422"/>
      <c r="H87" s="422"/>
      <c r="I87" s="422"/>
      <c r="J87" s="422">
        <v>116</v>
      </c>
      <c r="K87" s="422"/>
      <c r="L87" s="422"/>
      <c r="M87" s="422"/>
      <c r="N87" s="422"/>
      <c r="O87" s="422"/>
      <c r="P87" s="422"/>
      <c r="Q87" s="386">
        <f t="shared" si="20"/>
        <v>0.26439451490786192</v>
      </c>
      <c r="R87" s="386">
        <f t="shared" si="15"/>
        <v>116</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v>210.51</v>
      </c>
      <c r="F88" s="422"/>
      <c r="G88" s="422">
        <v>530</v>
      </c>
      <c r="H88" s="422"/>
      <c r="I88" s="422">
        <v>820</v>
      </c>
      <c r="J88" s="422"/>
      <c r="K88" s="422"/>
      <c r="L88" s="422"/>
      <c r="M88" s="422"/>
      <c r="N88" s="422"/>
      <c r="O88" s="422"/>
      <c r="P88" s="422"/>
      <c r="Q88" s="386">
        <f t="shared" si="20"/>
        <v>3.5568127970592034</v>
      </c>
      <c r="R88" s="386">
        <f t="shared" si="15"/>
        <v>1560.51</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537</v>
      </c>
      <c r="D89" s="331" t="s">
        <v>47</v>
      </c>
      <c r="E89" s="422"/>
      <c r="F89" s="422"/>
      <c r="G89" s="422"/>
      <c r="H89" s="422"/>
      <c r="I89" s="422"/>
      <c r="J89" s="422"/>
      <c r="K89" s="422">
        <v>1154</v>
      </c>
      <c r="L89" s="422">
        <v>650</v>
      </c>
      <c r="M89" s="422"/>
      <c r="N89" s="422"/>
      <c r="O89" s="422"/>
      <c r="P89" s="422"/>
      <c r="Q89" s="386">
        <f t="shared" si="20"/>
        <v>4.1117905594291635</v>
      </c>
      <c r="R89" s="386">
        <f t="shared" si="15"/>
        <v>1804</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247</v>
      </c>
      <c r="C90" s="385" t="s">
        <v>247</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4161.7300000000005</v>
      </c>
      <c r="F91" s="393">
        <f t="shared" si="22"/>
        <v>2904.23</v>
      </c>
      <c r="G91" s="393">
        <f t="shared" si="22"/>
        <v>5016.9400000000005</v>
      </c>
      <c r="H91" s="393">
        <f t="shared" si="22"/>
        <v>3530.3</v>
      </c>
      <c r="I91" s="393">
        <f t="shared" si="22"/>
        <v>4729.45</v>
      </c>
      <c r="J91" s="393">
        <f t="shared" si="22"/>
        <v>3186.85</v>
      </c>
      <c r="K91" s="393">
        <f t="shared" si="22"/>
        <v>4587.67</v>
      </c>
      <c r="L91" s="393">
        <f t="shared" si="22"/>
        <v>4716.38</v>
      </c>
      <c r="M91" s="393">
        <f t="shared" si="22"/>
        <v>3181.56</v>
      </c>
      <c r="N91" s="393">
        <f t="shared" si="22"/>
        <v>4952.37</v>
      </c>
      <c r="O91" s="393">
        <f t="shared" si="22"/>
        <v>2906.35</v>
      </c>
      <c r="P91" s="393">
        <f t="shared" si="22"/>
        <v>0</v>
      </c>
      <c r="Q91" s="428" t="s">
        <v>107</v>
      </c>
      <c r="R91" s="429">
        <f t="shared" si="22"/>
        <v>43873.83</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223</v>
      </c>
      <c r="C93" s="396"/>
      <c r="D93" s="397" t="s">
        <v>47</v>
      </c>
      <c r="E93" s="398">
        <f t="shared" ref="E93:P93" si="23">E70+E91</f>
        <v>12234.2</v>
      </c>
      <c r="F93" s="398">
        <f t="shared" si="23"/>
        <v>8135.3700000000008</v>
      </c>
      <c r="G93" s="398">
        <f t="shared" si="23"/>
        <v>194091.54</v>
      </c>
      <c r="H93" s="398">
        <f t="shared" si="23"/>
        <v>15031.36</v>
      </c>
      <c r="I93" s="398">
        <f t="shared" si="23"/>
        <v>10379.799999999999</v>
      </c>
      <c r="J93" s="398">
        <f t="shared" si="23"/>
        <v>10877.169999999998</v>
      </c>
      <c r="K93" s="398">
        <f t="shared" si="23"/>
        <v>238032.95</v>
      </c>
      <c r="L93" s="398">
        <f t="shared" si="23"/>
        <v>50281.09</v>
      </c>
      <c r="M93" s="398">
        <f t="shared" si="23"/>
        <v>30050.7</v>
      </c>
      <c r="N93" s="398">
        <f t="shared" si="23"/>
        <v>11751.619999999999</v>
      </c>
      <c r="O93" s="398">
        <f t="shared" si="23"/>
        <v>9456.27</v>
      </c>
      <c r="P93" s="398">
        <f t="shared" si="23"/>
        <v>0</v>
      </c>
      <c r="Q93" s="399" t="s">
        <v>107</v>
      </c>
      <c r="R93" s="400">
        <f>SUM(E93:P93)</f>
        <v>590322.06999999995</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20" t="s">
        <v>393</v>
      </c>
      <c r="C95" s="1221"/>
      <c r="D95" s="1221"/>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2" t="s">
        <v>123</v>
      </c>
      <c r="T95" s="1222"/>
      <c r="U95" s="1222" t="s">
        <v>104</v>
      </c>
      <c r="V95" s="1222"/>
      <c r="W95" s="1222" t="s">
        <v>103</v>
      </c>
      <c r="X95" s="1222"/>
      <c r="Y95" s="1222" t="s">
        <v>102</v>
      </c>
      <c r="Z95" s="1223"/>
    </row>
    <row r="96" spans="2:28" ht="15.75" thickTop="1" x14ac:dyDescent="0.25">
      <c r="B96" s="403" t="s">
        <v>395</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396</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392</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401</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12234.2</v>
      </c>
      <c r="F100" s="433">
        <f t="shared" si="32"/>
        <v>8135.3700000000008</v>
      </c>
      <c r="G100" s="433">
        <f t="shared" si="32"/>
        <v>194091.54</v>
      </c>
      <c r="H100" s="433">
        <f t="shared" si="32"/>
        <v>15031.36</v>
      </c>
      <c r="I100" s="433">
        <f t="shared" si="32"/>
        <v>10379.799999999999</v>
      </c>
      <c r="J100" s="433">
        <f t="shared" si="32"/>
        <v>10877.169999999998</v>
      </c>
      <c r="K100" s="433">
        <f t="shared" si="32"/>
        <v>238032.95</v>
      </c>
      <c r="L100" s="433">
        <f t="shared" si="32"/>
        <v>50281.09</v>
      </c>
      <c r="M100" s="433">
        <f t="shared" si="32"/>
        <v>30050.7</v>
      </c>
      <c r="N100" s="433">
        <f t="shared" si="32"/>
        <v>11751.619999999999</v>
      </c>
      <c r="O100" s="433">
        <f t="shared" si="32"/>
        <v>9456.27</v>
      </c>
      <c r="P100" s="433">
        <f t="shared" si="32"/>
        <v>0</v>
      </c>
    </row>
  </sheetData>
  <sheetProtection password="E066"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9"/>
  <sheetViews>
    <sheetView showGridLines="0" topLeftCell="A20" zoomScale="80" zoomScaleNormal="8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Bonanza</v>
      </c>
      <c r="D2" s="514"/>
      <c r="E2" s="515"/>
      <c r="H2" s="86"/>
      <c r="I2" s="224"/>
      <c r="J2" s="224"/>
      <c r="K2" s="516"/>
      <c r="L2" s="516"/>
      <c r="M2" s="437"/>
      <c r="N2" s="224"/>
      <c r="O2" s="224"/>
    </row>
    <row r="3" spans="2:16" x14ac:dyDescent="0.25">
      <c r="B3" s="517" t="str">
        <f>REBANHO!B3</f>
        <v>Município</v>
      </c>
      <c r="C3" s="518" t="str">
        <f>IF(REBANHO!C3="","",REBANHO!C3)</f>
        <v>Quatá</v>
      </c>
      <c r="D3" s="518"/>
      <c r="E3" s="519"/>
      <c r="H3" s="86"/>
      <c r="I3" s="224"/>
      <c r="J3" s="224"/>
      <c r="K3" s="516"/>
      <c r="L3" s="516"/>
      <c r="M3" s="437"/>
      <c r="N3" s="224"/>
      <c r="O3" s="224"/>
    </row>
    <row r="4" spans="2:16" x14ac:dyDescent="0.25">
      <c r="B4" s="517" t="str">
        <f>REBANHO!B4</f>
        <v>Estado</v>
      </c>
      <c r="C4" s="518" t="str">
        <f>IF(REBANHO!C4="","",REBANHO!C4)</f>
        <v>SP</v>
      </c>
      <c r="D4" s="518"/>
      <c r="E4" s="519"/>
      <c r="H4" s="86"/>
      <c r="I4" s="224"/>
      <c r="J4" s="224"/>
      <c r="K4" s="516"/>
      <c r="L4" s="516"/>
      <c r="M4" s="437"/>
      <c r="N4" s="224"/>
      <c r="O4" s="224"/>
    </row>
    <row r="5" spans="2:16" x14ac:dyDescent="0.25">
      <c r="B5" s="517" t="str">
        <f>REBANHO!B5</f>
        <v>Proprietário</v>
      </c>
      <c r="C5" s="518" t="str">
        <f>IF(REBANHO!C5="","",REBANHO!C5)</f>
        <v>Marcelo Delchiaro</v>
      </c>
      <c r="D5" s="518"/>
      <c r="E5" s="519"/>
      <c r="H5" s="86"/>
      <c r="I5" s="224"/>
      <c r="J5" s="224"/>
      <c r="K5" s="516"/>
      <c r="L5" s="516"/>
      <c r="M5" s="437"/>
      <c r="N5" s="224"/>
      <c r="O5" s="224"/>
    </row>
    <row r="6" spans="2:16" x14ac:dyDescent="0.25">
      <c r="B6" s="517" t="str">
        <f>REBANHO!B6</f>
        <v>Sistema de produção</v>
      </c>
      <c r="C6" s="518" t="str">
        <f>IF(REBANHO!C6="","",REBANHO!C6)</f>
        <v>Rotacionado - Adubado</v>
      </c>
      <c r="D6" s="518"/>
      <c r="E6" s="519"/>
      <c r="H6" s="86"/>
      <c r="I6" s="224"/>
      <c r="J6" s="224"/>
      <c r="K6" s="516"/>
      <c r="L6" s="516"/>
      <c r="M6" s="437"/>
      <c r="N6" s="224"/>
      <c r="O6" s="224"/>
    </row>
    <row r="7" spans="2:16" x14ac:dyDescent="0.25">
      <c r="B7" s="517" t="str">
        <f>REBANHO!B7</f>
        <v>Valor da terra (R$/ha)</v>
      </c>
      <c r="C7" s="518">
        <f>IF(REBANHO!C7="","",REBANHO!C7)</f>
        <v>30000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1100</v>
      </c>
      <c r="D9" s="524"/>
      <c r="E9" s="525"/>
      <c r="H9" s="86"/>
      <c r="I9" s="224"/>
      <c r="J9" s="224"/>
      <c r="K9" s="521"/>
      <c r="L9" s="224"/>
      <c r="M9" s="224"/>
      <c r="N9" s="224"/>
      <c r="O9" s="224"/>
    </row>
    <row r="10" spans="2:16" x14ac:dyDescent="0.25">
      <c r="B10" s="517" t="str">
        <f>REBANHO!F4</f>
        <v>Área de pasto (ha)</v>
      </c>
      <c r="C10" s="520">
        <f>IF(REBANHO!I4="","",REBANHO!I4)</f>
        <v>100.9</v>
      </c>
      <c r="D10" s="524"/>
      <c r="E10" s="525"/>
      <c r="H10" s="86"/>
      <c r="I10" s="224"/>
      <c r="J10" s="224"/>
      <c r="K10" s="521"/>
      <c r="L10" s="224"/>
      <c r="M10" s="224"/>
      <c r="N10" s="224"/>
      <c r="O10" s="224"/>
    </row>
    <row r="11" spans="2:16" x14ac:dyDescent="0.25">
      <c r="B11" s="517" t="s">
        <v>117</v>
      </c>
      <c r="C11" s="520">
        <f>IF(REBANHO!I5="","",REBANHO!I5)</f>
        <v>11</v>
      </c>
      <c r="D11" s="524"/>
      <c r="E11" s="525"/>
      <c r="H11" s="86"/>
      <c r="I11" s="224"/>
      <c r="J11" s="224"/>
      <c r="K11" s="521"/>
      <c r="L11" s="224"/>
      <c r="M11" s="224"/>
      <c r="N11" s="224"/>
      <c r="O11" s="224"/>
    </row>
    <row r="12" spans="2:16" x14ac:dyDescent="0.25">
      <c r="B12" s="517" t="s">
        <v>118</v>
      </c>
      <c r="C12" s="520" t="str">
        <f>IF(REBANHO!I6="","",REBANHO!I6)</f>
        <v/>
      </c>
      <c r="D12" s="524"/>
      <c r="E12" s="525"/>
      <c r="H12" s="86"/>
      <c r="I12" s="224"/>
      <c r="J12" s="224"/>
      <c r="K12" s="521"/>
      <c r="L12" s="224"/>
      <c r="M12" s="224"/>
      <c r="N12" s="224"/>
      <c r="O12" s="224"/>
    </row>
    <row r="13" spans="2:16" ht="15.75" thickBot="1" x14ac:dyDescent="0.3">
      <c r="B13" s="528" t="s">
        <v>286</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0" t="s">
        <v>18</v>
      </c>
      <c r="C15" s="1231"/>
      <c r="D15" s="271"/>
      <c r="G15" s="938" t="s">
        <v>501</v>
      </c>
      <c r="H15" s="939"/>
      <c r="I15" s="939"/>
      <c r="J15" s="532">
        <f>IF(C8=0,"",C8+1)</f>
        <v>2017</v>
      </c>
      <c r="L15" s="1249" t="s">
        <v>255</v>
      </c>
      <c r="M15" s="1250"/>
      <c r="N15" s="83" t="s">
        <v>47</v>
      </c>
    </row>
    <row r="16" spans="2:16" ht="15.75" thickTop="1" x14ac:dyDescent="0.25">
      <c r="B16" s="533" t="s">
        <v>19</v>
      </c>
      <c r="C16" s="534">
        <f>IF(AND(INVESTIMENTOS!$R$24="",INVESTIMENTOS!$T$24=""),"-",D55)</f>
        <v>425542.27</v>
      </c>
      <c r="D16" s="535"/>
      <c r="G16" s="536" t="s">
        <v>12</v>
      </c>
      <c r="H16" s="537"/>
      <c r="I16" s="537"/>
      <c r="J16" s="538">
        <f>IF(AND(INVESTIMENTOS!$R$24="",INVESTIMENTOS!$T$24=""),"-",P480)</f>
        <v>0</v>
      </c>
      <c r="L16" s="1253" t="s">
        <v>246</v>
      </c>
      <c r="M16" s="1254"/>
      <c r="N16" s="431">
        <f>IF(AND(INVESTIMENTOS!$R$24="",INVESTIMENTOS!$T$24=""),"-",REBANHO!Q58)</f>
        <v>0</v>
      </c>
      <c r="P16" s="539"/>
    </row>
    <row r="17" spans="1:37" x14ac:dyDescent="0.25">
      <c r="B17" s="533" t="s">
        <v>398</v>
      </c>
      <c r="C17" s="534">
        <f>IF(AND(INVESTIMENTOS!$R$24="",INVESTIMENTOS!$T$24=""),"-",IF(OR(C50=0,C50="",C50="-"),0,(D79/C50)*C55))</f>
        <v>224299.7706403544</v>
      </c>
      <c r="D17" s="231"/>
      <c r="G17" s="536" t="s">
        <v>13</v>
      </c>
      <c r="H17" s="537"/>
      <c r="I17" s="537"/>
      <c r="J17" s="538">
        <f>IF(AND(INVESTIMENTOS!$R$24="",INVESTIMENTOS!$T$24=""),"-",P555)</f>
        <v>0</v>
      </c>
      <c r="L17" s="1253" t="s">
        <v>256</v>
      </c>
      <c r="M17" s="1254"/>
      <c r="N17" s="431">
        <f>IF(AND(INVESTIMENTOS!$R$24="",INVESTIMENTOS!$T$24=""),"-",IF(AND(C7="",C9=""),0,C9*C7))</f>
        <v>33000000</v>
      </c>
    </row>
    <row r="18" spans="1:37" x14ac:dyDescent="0.25">
      <c r="A18" s="540"/>
      <c r="B18" s="533" t="s">
        <v>383</v>
      </c>
      <c r="C18" s="534">
        <f>IF(AND(INVESTIMENTOS!$R$24="",INVESTIMENTOS!$T$24=""),"-",IF(C50=0,0,IF(SUM(J59,M59,P59,S59)=0,(D83/C50)*C55,((K55*K83)+(N55*N83)+(Q55*Q83)+(T55*T83)))))</f>
        <v>4305.7372592588072</v>
      </c>
      <c r="D18" s="231"/>
      <c r="G18" s="536" t="s">
        <v>14</v>
      </c>
      <c r="H18" s="537"/>
      <c r="I18" s="537"/>
      <c r="J18" s="538">
        <f>IF(AND(INVESTIMENTOS!$R$24="",INVESTIMENTOS!$T$24=""),"-",P630)</f>
        <v>0</v>
      </c>
      <c r="L18" s="1253" t="s">
        <v>410</v>
      </c>
      <c r="M18" s="1254"/>
      <c r="N18" s="431">
        <f>IF(AND(INVESTIMENTOS!$R$24="",INVESTIMENTOS!$T$24=""),"-",SUM(INVESTIMENTOS!K52,INVESTIMENTOS!K83,INVESTIMENTOS!K112,INVESTIMENTOS!K141,INVESTIMENTOS!K169))</f>
        <v>335440</v>
      </c>
    </row>
    <row r="19" spans="1:37" ht="15.75" thickBot="1" x14ac:dyDescent="0.3">
      <c r="B19" s="533" t="s">
        <v>384</v>
      </c>
      <c r="C19" s="534">
        <f>IF(AND(INVESTIMENTOS!$R$24="",INVESTIMENTOS!$T$24=""),"-",C16-C17-C18)</f>
        <v>196936.76210038681</v>
      </c>
      <c r="D19" s="231"/>
      <c r="G19" s="536" t="s">
        <v>237</v>
      </c>
      <c r="H19" s="537"/>
      <c r="I19" s="537"/>
      <c r="J19" s="538">
        <f>IF(AND(INVESTIMENTOS!$R$24="",INVESTIMENTOS!$T$24=""),"-",P705)</f>
        <v>0</v>
      </c>
      <c r="L19" s="1258" t="s">
        <v>134</v>
      </c>
      <c r="M19" s="1259"/>
      <c r="N19" s="432">
        <f>IF(AND(INVESTIMENTOS!$R$24="",INVESTIMENTOS!$T$24=""),"-",SUM(N16:N18))</f>
        <v>33335440</v>
      </c>
      <c r="O19" s="434"/>
      <c r="P19" s="434"/>
      <c r="Q19" s="434"/>
    </row>
    <row r="20" spans="1:37" ht="15.75" thickTop="1" x14ac:dyDescent="0.25">
      <c r="B20" s="533" t="s">
        <v>456</v>
      </c>
      <c r="C20" s="534">
        <f>IF(AND(INVESTIMENTOS!$R$24="",INVESTIMENTOS!$T$24=""),"-",SAÍDAS!R98)</f>
        <v>0</v>
      </c>
      <c r="D20" s="231"/>
      <c r="G20" s="541"/>
      <c r="H20" s="542"/>
      <c r="I20" s="542"/>
      <c r="J20" s="538"/>
    </row>
    <row r="21" spans="1:37" ht="15.75" thickBot="1" x14ac:dyDescent="0.3">
      <c r="B21" s="546" t="s">
        <v>385</v>
      </c>
      <c r="C21" s="547">
        <f>IF(AND(INVESTIMENTOS!$R$24="",INVESTIMENTOS!$T$24=""),"-",C19-C20)</f>
        <v>196936.76210038681</v>
      </c>
      <c r="D21" s="231"/>
      <c r="G21" s="543" t="s">
        <v>17</v>
      </c>
      <c r="H21" s="544"/>
      <c r="I21" s="544"/>
      <c r="J21" s="545">
        <f>IF(AND(INVESTIMENTOS!$R$24="",INVESTIMENTOS!$T$24=""),"-",SUM(J16:J19))</f>
        <v>0</v>
      </c>
      <c r="W21" s="1084"/>
      <c r="X21" s="1085" t="s">
        <v>292</v>
      </c>
      <c r="Y21" s="1086"/>
      <c r="Z21" s="1084"/>
      <c r="AA21" s="1087"/>
      <c r="AB21" s="1085"/>
    </row>
    <row r="22" spans="1:37" ht="15.75" thickTop="1" x14ac:dyDescent="0.25">
      <c r="B22" s="823" t="s">
        <v>457</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25" t="s">
        <v>468</v>
      </c>
      <c r="F24" s="1226"/>
      <c r="G24" s="1224" t="s">
        <v>469</v>
      </c>
      <c r="H24" s="1224"/>
      <c r="I24" s="1224"/>
      <c r="J24" s="1224" t="s">
        <v>470</v>
      </c>
      <c r="K24" s="1224"/>
      <c r="L24" s="1224"/>
      <c r="M24" s="1260" t="s">
        <v>254</v>
      </c>
      <c r="N24" s="1251" t="s">
        <v>483</v>
      </c>
      <c r="W24" s="1088"/>
      <c r="X24" s="786"/>
      <c r="Y24" s="786"/>
      <c r="Z24" s="786"/>
      <c r="AA24" s="86"/>
      <c r="AB24" s="86"/>
      <c r="AC24" s="86"/>
    </row>
    <row r="25" spans="1:37" ht="15.75" thickBot="1" x14ac:dyDescent="0.3">
      <c r="B25" s="456"/>
      <c r="C25" s="548"/>
      <c r="D25" s="231"/>
      <c r="E25" s="937"/>
      <c r="F25" s="935"/>
      <c r="G25" s="936" t="s">
        <v>294</v>
      </c>
      <c r="H25" s="936" t="s">
        <v>280</v>
      </c>
      <c r="I25" s="936" t="s">
        <v>296</v>
      </c>
      <c r="J25" s="936" t="s">
        <v>294</v>
      </c>
      <c r="K25" s="936" t="s">
        <v>280</v>
      </c>
      <c r="L25" s="936" t="s">
        <v>296</v>
      </c>
      <c r="M25" s="1261"/>
      <c r="N25" s="1252"/>
      <c r="T25" s="782"/>
      <c r="W25" s="786"/>
      <c r="X25" s="548"/>
      <c r="Y25" s="548"/>
      <c r="Z25" s="782"/>
      <c r="AA25" s="782"/>
      <c r="AB25" s="782"/>
      <c r="AC25" s="86"/>
    </row>
    <row r="26" spans="1:37" ht="16.5" thickTop="1" thickBot="1" x14ac:dyDescent="0.3">
      <c r="B26" s="549" t="s">
        <v>397</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485</v>
      </c>
      <c r="C27" s="555">
        <f>IF(AND(INVESTIMENTOS!$R$24="",INVESTIMENTOS!$T$24=""),"-",Z57)</f>
        <v>146537.08847846233</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162.30000000000001</v>
      </c>
      <c r="N27" s="1050">
        <f>IF(AND(INVESTIMENTOS!$R$24="",INVESTIMENTOS!$T$24=""),"-",IF(INVESTIMENTOS!R24="",P402,T367))</f>
        <v>1937.1298250391446</v>
      </c>
      <c r="W27" s="86"/>
      <c r="X27" s="86"/>
      <c r="Y27" s="86"/>
      <c r="Z27" s="86"/>
      <c r="AA27" s="86"/>
      <c r="AB27" s="86"/>
      <c r="AC27" s="86"/>
    </row>
    <row r="28" spans="1:37" ht="15.75" thickBot="1" x14ac:dyDescent="0.3">
      <c r="B28" s="82" t="s">
        <v>486</v>
      </c>
      <c r="C28" s="91">
        <f>IF(AND(INVESTIMENTOS!$R$24="",INVESTIMENTOS!$T$24=""),"-",Z58)</f>
        <v>354711.1719780399</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85</v>
      </c>
      <c r="N28" s="1050">
        <f>IF(AND(INVESTIMENTOS!$R$24="",INVESTIMENTOS!$T$24=""),"-",IF(INVESTIMENTOS!R24="",P403,T375))</f>
        <v>2609.77602287426</v>
      </c>
      <c r="W28" s="86"/>
      <c r="X28" s="786"/>
      <c r="Y28" s="786"/>
      <c r="Z28" s="782"/>
      <c r="AA28" s="782"/>
      <c r="AB28" s="782"/>
      <c r="AC28" s="86"/>
    </row>
    <row r="29" spans="1:37" ht="16.5" thickTop="1" thickBot="1" x14ac:dyDescent="0.3">
      <c r="B29" s="1105" t="s">
        <v>499</v>
      </c>
      <c r="C29" s="1106">
        <f>IF(AND(INVESTIMENTOS!$R$24="",INVESTIMENTOS!$T$24=""),"-",IF(N16+N18=0,0,((C16-C17)/(N16+N18))*100))</f>
        <v>59.993590317089676</v>
      </c>
      <c r="D29" s="231"/>
      <c r="E29" s="1227" t="s">
        <v>237</v>
      </c>
      <c r="F29" s="1228"/>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1</v>
      </c>
      <c r="N29" s="1051">
        <f>IF(AND(INVESTIMENTOS!$R$24="",INVESTIMENTOS!$T$24=""),"-",IF(INVESTIMENTOS!R24="",P404,T384))</f>
        <v>40.247804479542516</v>
      </c>
      <c r="W29" s="86"/>
      <c r="X29" s="786"/>
      <c r="Y29" s="786"/>
      <c r="Z29" s="782"/>
      <c r="AA29" s="782"/>
      <c r="AB29" s="782"/>
      <c r="AC29" s="86"/>
    </row>
    <row r="30" spans="1:37" ht="16.5" thickTop="1" thickBot="1" x14ac:dyDescent="0.3">
      <c r="B30" s="558" t="s">
        <v>394</v>
      </c>
      <c r="C30" s="559">
        <f>IF(AND(INVESTIMENTOS!$R$24="",INVESTIMENTOS!$T$24=""),"-",IF(N16+N18=0,0,((C16-C17)/(N16+N17+N18))*100))</f>
        <v>0.60368934491233839</v>
      </c>
      <c r="D30" s="231"/>
      <c r="E30" s="1238" t="s">
        <v>445</v>
      </c>
      <c r="F30" s="1239"/>
      <c r="G30" s="797">
        <f>IF(AND(INVESTIMENTOS!$R$24="",INVESTIMENTOS!$T$24=""),"-",IF(INVESTIMENTOS!$R$24&lt;&gt;"","-",IF(OR($C$50=0,$C$50="-",$C$50=""),0,D79/$C$50)))</f>
        <v>1661.4797825211438</v>
      </c>
      <c r="H30" s="797">
        <f>IF(AND(INVESTIMENTOS!$R$24="",INVESTIMENTOS!$T$24=""),"-",IF(INVESTIMENTOS!$R$24&lt;&gt;"","-",IF(OR($C$50=0,$C$50="-",$C$50=""),0,D84/$C$50)))</f>
        <v>1693.3741325897274</v>
      </c>
      <c r="I30" s="797">
        <f>IF(AND(INVESTIMENTOS!$R$24="",INVESTIMENTOS!$T$24=""),"-",IF(INVESTIMENTOS!$R$24&lt;&gt;"","-",IF(OR($C$50=0,$C$50="-",$C$50=""),0,D92/$C$50)))</f>
        <v>2509.944410479377</v>
      </c>
      <c r="J30" s="797">
        <f>IF(AND(INVESTIMENTOS!$R$24="",INVESTIMENTOS!$T$24=""),"-",IF(INVESTIMENTOS!$R$24&lt;&gt;"","-",IF(OR($C$50=0,$C$50="-",$C$50=""),0,D79/$F$50)))</f>
        <v>89.934949047279119</v>
      </c>
      <c r="K30" s="797">
        <f>IF(AND(INVESTIMENTOS!$R$24="",INVESTIMENTOS!$T$24=""),"-",IF(INVESTIMENTOS!$R$24&lt;&gt;"","-",IF(OR($C$50=0,$C$50="-",$C$50=""),0,D84/$F$50)))</f>
        <v>91.661371949615969</v>
      </c>
      <c r="L30" s="797">
        <f>IF(AND(INVESTIMENTOS!$R$24="",INVESTIMENTOS!$T$24=""),"-",IF(INVESTIMENTOS!$R$24&lt;&gt;"","-",IF(OR($C$50=0,$C$50="-",$C$50=""),0,D92/$F$50)))</f>
        <v>135.86185341686104</v>
      </c>
      <c r="M30" s="1048">
        <f>IF(AND(INVESTIMENTOS!$R$24="",INVESTIMENTOS!$T$24=""),"-",SUM(M26:M29))</f>
        <v>248.3</v>
      </c>
      <c r="N30" s="1052">
        <f>IF(AND(INVESTIMENTOS!$R$24="",INVESTIMENTOS!$T$24=""),"-",SUM(N26:N29))</f>
        <v>4587.1536523929472</v>
      </c>
      <c r="W30" s="86"/>
      <c r="X30" s="548"/>
      <c r="Y30" s="785"/>
      <c r="Z30" s="782"/>
      <c r="AA30" s="786"/>
      <c r="AB30" s="782"/>
      <c r="AC30" s="86"/>
    </row>
    <row r="31" spans="1:37" ht="12" customHeight="1" thickTop="1" x14ac:dyDescent="0.25">
      <c r="B31" s="50" t="s">
        <v>500</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238</v>
      </c>
      <c r="C34" s="565">
        <f>IF(AND(INVESTIMENTOS!$R$24="",INVESTIMENTOS!$T$24=""),"-",IF($C50=0,0,ENTRADAS!D70-((SAÍDAS!E70+SAÍDAS!E91-SAÍDAS!E90)/$C50)*$C55-($C18/12)-SAÍDAS!E98))</f>
        <v>-7010.5109952590828</v>
      </c>
      <c r="D34" s="565">
        <f>IF(AND(INVESTIMENTOS!$R$24="",INVESTIMENTOS!$T$24=""),"-",IF($C50=0,0,ENTRADAS!E70-((SAÍDAS!F70+SAÍDAS!F91-SAÍDAS!F90)/$C50)*$C55-($C18/12)-SAÍDAS!F98))</f>
        <v>-4781.9888446348386</v>
      </c>
      <c r="E34" s="565">
        <f>IF(AND(INVESTIMENTOS!$R$24="",INVESTIMENTOS!$T$24=""),"-",IF($C50=0,0,ENTRADAS!F70-((SAÍDAS!G70+SAÍDAS!G91-SAÍDAS!G90)/$C50)*$C55-($C18/12)-SAÍDAS!G98))</f>
        <v>-105885.82674233922</v>
      </c>
      <c r="F34" s="565">
        <f>IF(AND(INVESTIMENTOS!$R$24="",INVESTIMENTOS!$T$24=""),"-",IF($C50=0,0,ENTRADAS!G70-((SAÍDAS!H70+SAÍDAS!H91-SAÍDAS!H90)/$C50)*$C55-($C18/12)-SAÍDAS!H98))</f>
        <v>-5531.3188889360863</v>
      </c>
      <c r="G34" s="565">
        <f>IF(AND(INVESTIMENTOS!$R$24="",INVESTIMENTOS!$T$24=""),"-",IF($C50=0,0,ENTRADAS!H70-((SAÍDAS!I70+SAÍDAS!I91-SAÍDAS!I90)/$C50)*$C55-($C18/12)-SAÍDAS!I98))</f>
        <v>-6002.2790178124451</v>
      </c>
      <c r="H34" s="565">
        <f>IF(AND(INVESTIMENTOS!$R$24="",INVESTIMENTOS!$T$24=""),"-",IF($C50=0,0,ENTRADAS!I70-((SAÍDAS!J70+SAÍDAS!J91-SAÍDAS!J90)/$C50)*$C55-($C18/12)-SAÍDAS!J98))</f>
        <v>-6272.6976646106723</v>
      </c>
      <c r="I34" s="565">
        <f>IF(AND(INVESTIMENTOS!$R$24="",INVESTIMENTOS!$T$24=""),"-",IF($C50=0,0,ENTRADAS!J70-((SAÍDAS!K70+SAÍDAS!K91-SAÍDAS!K90)/$C50)*$C55-($C18/12)-SAÍDAS!K98))</f>
        <v>229954.15428867165</v>
      </c>
      <c r="J34" s="565">
        <f>IF(AND(INVESTIMENTOS!$R$24="",INVESTIMENTOS!$T$24=""),"-",IF($C50=0,0,ENTRADAS!K70-((SAÍDAS!L70+SAÍDAS!L91-SAÍDAS!L90)/$C50)*$C55-($C18/12)-SAÍDAS!L98))</f>
        <v>-27696.496295299352</v>
      </c>
      <c r="K34" s="565">
        <f>IF(AND(INVESTIMENTOS!$R$24="",INVESTIMENTOS!$T$24=""),"-",IF($C50=0,0,ENTRADAS!L70-((SAÍDAS!M70+SAÍDAS!M91-SAÍDAS!M90)/$C50)*$C55-($C18/12)-SAÍDAS!M98))</f>
        <v>46114.178900028877</v>
      </c>
      <c r="L34" s="565">
        <f>IF(AND(INVESTIMENTOS!$R$24="",INVESTIMENTOS!$T$24=""),"-",IF($C50=0,0,ENTRADAS!M70-((SAÍDAS!N70+SAÍDAS!N91-SAÍDAS!N90)/$C50)*$C55-($C18/12)-SAÍDAS!N98))</f>
        <v>-6748.1336291696734</v>
      </c>
      <c r="M34" s="565">
        <f>IF(AND(INVESTIMENTOS!$R$24="",INVESTIMENTOS!$T$24=""),"-",IF($C50=0,0,ENTRADAS!N70-((SAÍDAS!O70+SAÍDAS!O91-SAÍDAS!O90)/$C50)*$C55-($C18/12)-SAÍDAS!O98))</f>
        <v>-5500.158397594967</v>
      </c>
      <c r="N34" s="565">
        <f>IF(AND(INVESTIMENTOS!$R$24="",INVESTIMENTOS!$T$24=""),"-",IF($C50=0,0,ENTRADAS!O70-((SAÍDAS!P70+SAÍDAS!P91-SAÍDAS!P90)/$C50)*$C55-($C18/12)-SAÍDAS!P98))</f>
        <v>-358.81143827156728</v>
      </c>
      <c r="O34" s="822">
        <f>IF(AND(INVESTIMENTOS!$R$24="",INVESTIMENTOS!$T$24=""),"-",SUM(C34:N34))</f>
        <v>100280.1112747726</v>
      </c>
      <c r="P34" s="566"/>
      <c r="W34" s="86"/>
      <c r="X34" s="86"/>
      <c r="Y34" s="86"/>
      <c r="Z34" s="86"/>
      <c r="AA34" s="1089"/>
      <c r="AB34" s="86"/>
      <c r="AC34" s="86"/>
    </row>
    <row r="35" spans="2:29" x14ac:dyDescent="0.25">
      <c r="B35" s="567" t="s">
        <v>458</v>
      </c>
      <c r="C35" s="568">
        <f>IF(AND(INVESTIMENTOS!$R$24="",INVESTIMENTOS!$T$24=""),"-",$C18/12)</f>
        <v>358.81143827156728</v>
      </c>
      <c r="D35" s="568">
        <f>IF(AND(INVESTIMENTOS!$R$24="",INVESTIMENTOS!$T$24=""),"-",$C18/12)</f>
        <v>358.81143827156728</v>
      </c>
      <c r="E35" s="568">
        <f>IF(AND(INVESTIMENTOS!$R$24="",INVESTIMENTOS!$T$24=""),"-",$C18/12)</f>
        <v>358.81143827156728</v>
      </c>
      <c r="F35" s="568">
        <f>IF(AND(INVESTIMENTOS!$R$24="",INVESTIMENTOS!$T$24=""),"-",$C18/12)</f>
        <v>358.81143827156728</v>
      </c>
      <c r="G35" s="568">
        <f>IF(AND(INVESTIMENTOS!$R$24="",INVESTIMENTOS!$T$24=""),"-",$C18/12)</f>
        <v>358.81143827156728</v>
      </c>
      <c r="H35" s="568">
        <f>IF(AND(INVESTIMENTOS!$R$24="",INVESTIMENTOS!$T$24=""),"-",$C18/12)</f>
        <v>358.81143827156728</v>
      </c>
      <c r="I35" s="568">
        <f>IF(AND(INVESTIMENTOS!$R$24="",INVESTIMENTOS!$T$24=""),"-",$C18/12)</f>
        <v>358.81143827156728</v>
      </c>
      <c r="J35" s="568">
        <f>IF(AND(INVESTIMENTOS!$R$24="",INVESTIMENTOS!$T$24=""),"-",$C18/12)</f>
        <v>358.81143827156728</v>
      </c>
      <c r="K35" s="568">
        <f>IF(AND(INVESTIMENTOS!$R$24="",INVESTIMENTOS!$T$24=""),"-",$C18/12)</f>
        <v>358.81143827156728</v>
      </c>
      <c r="L35" s="568">
        <f>IF(AND(INVESTIMENTOS!$R$24="",INVESTIMENTOS!$T$24=""),"-",$C18/12)</f>
        <v>358.81143827156728</v>
      </c>
      <c r="M35" s="568">
        <f>IF(AND(INVESTIMENTOS!$R$24="",INVESTIMENTOS!$T$24=""),"-",$C18/12)</f>
        <v>358.81143827156728</v>
      </c>
      <c r="N35" s="568">
        <f>IF(AND(INVESTIMENTOS!$R$24="",INVESTIMENTOS!$T$24=""),"-",$C18/12)</f>
        <v>358.81143827156728</v>
      </c>
      <c r="O35" s="569">
        <f>IF(AND(INVESTIMENTOS!$R$24="",INVESTIMENTOS!$T$24=""),"-",SUM(C35:N35))</f>
        <v>4305.7372592588063</v>
      </c>
      <c r="W35" s="86"/>
      <c r="X35" s="86"/>
      <c r="Y35" s="782"/>
      <c r="Z35" s="86"/>
      <c r="AA35" s="86"/>
      <c r="AB35" s="86"/>
      <c r="AC35" s="86"/>
    </row>
    <row r="36" spans="2:29" x14ac:dyDescent="0.25">
      <c r="B36" s="567" t="s">
        <v>389</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387</v>
      </c>
      <c r="C37" s="568">
        <f>IF(AND(INVESTIMENTOS!$R$24="",INVESTIMENTOS!$T$24=""),"-",ENTRADAS!D74)</f>
        <v>0</v>
      </c>
      <c r="D37" s="568">
        <f>IF(AND(INVESTIMENTOS!$R$24="",INVESTIMENTOS!$T$24=""),"-",ENTRADAS!E74)</f>
        <v>0</v>
      </c>
      <c r="E37" s="568">
        <f>IF(AND(INVESTIMENTOS!$R$24="",INVESTIMENTOS!$T$24=""),"-",ENTRADAS!F74)</f>
        <v>180000</v>
      </c>
      <c r="F37" s="568">
        <f>IF(AND(INVESTIMENTOS!$R$24="",INVESTIMENTOS!$T$24=""),"-",ENTRADAS!G74)</f>
        <v>0</v>
      </c>
      <c r="G37" s="568">
        <f>IF(AND(INVESTIMENTOS!$R$24="",INVESTIMENTOS!$T$24=""),"-",ENTRADAS!H74)</f>
        <v>0</v>
      </c>
      <c r="H37" s="568">
        <f>IF(AND(INVESTIMENTOS!$R$24="",INVESTIMENTOS!$T$24=""),"-",ENTRADAS!I74)</f>
        <v>0</v>
      </c>
      <c r="I37" s="568">
        <f>IF(AND(INVESTIMENTOS!$R$24="",INVESTIMENTOS!$T$24=""),"-",ENTRADAS!J74)</f>
        <v>112900</v>
      </c>
      <c r="J37" s="568">
        <f>IF(AND(INVESTIMENTOS!$R$24="",INVESTIMENTOS!$T$24=""),"-",ENTRADAS!K74)</f>
        <v>41850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334750</v>
      </c>
      <c r="W37" s="1088"/>
      <c r="X37" s="786"/>
      <c r="Y37" s="786"/>
      <c r="Z37" s="786"/>
      <c r="AA37" s="86"/>
      <c r="AB37" s="86"/>
      <c r="AC37" s="86"/>
    </row>
    <row r="38" spans="2:29" x14ac:dyDescent="0.25">
      <c r="B38" s="567" t="s">
        <v>380</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452</v>
      </c>
      <c r="C39" s="568">
        <f>IF(AND(INVESTIMENTOS!$R$24="",INVESTIMENTOS!$T$24=""),"-",IF($C50=0,0,(SAÍDAS!E70+SAÍDAS!E91-SAÍDAS!E90)-((SAÍDAS!E70+SAÍDAS!E91-SAÍDAS!E90)/$C50)*$C55))</f>
        <v>5582.5004430124854</v>
      </c>
      <c r="D39" s="568">
        <f>IF(AND(INVESTIMENTOS!$R$24="",INVESTIMENTOS!$T$24=""),"-",IF($C50=0,0,(SAÍDAS!F70+SAÍDAS!F91-SAÍDAS!F90)-((SAÍDAS!F70+SAÍDAS!F91-SAÍDAS!F90)/$C50)*$C55))</f>
        <v>3712.1925936367297</v>
      </c>
      <c r="E39" s="568">
        <f>IF(AND(INVESTIMENTOS!$R$24="",INVESTIMENTOS!$T$24=""),"-",IF($C50=0,0,(SAÍDAS!G70+SAÍDAS!G91-SAÍDAS!G90)-((SAÍDAS!G70+SAÍDAS!G91-SAÍDAS!G90)/$C50)*$C55))</f>
        <v>88564.524695932356</v>
      </c>
      <c r="F39" s="568">
        <f>IF(AND(INVESTIMENTOS!$R$24="",INVESTIMENTOS!$T$24=""),"-",IF($C50=0,0,(SAÍDAS!H70+SAÍDAS!H91-SAÍDAS!H90)-((SAÍDAS!H70+SAÍDAS!H91-SAÍDAS!H90)/$C50)*$C55))</f>
        <v>6858.8525493354819</v>
      </c>
      <c r="G39" s="568">
        <f>IF(AND(INVESTIMENTOS!$R$24="",INVESTIMENTOS!$T$24=""),"-",IF($C50=0,0,(SAÍDAS!I70+SAÍDAS!I91-SAÍDAS!I90)-((SAÍDAS!I70+SAÍDAS!I91-SAÍDAS!I90)/$C50)*$C55))</f>
        <v>4736.3324204591217</v>
      </c>
      <c r="H39" s="568">
        <f>IF(AND(INVESTIMENTOS!$R$24="",INVESTIMENTOS!$T$24=""),"-",IF($C50=0,0,(SAÍDAS!J70+SAÍDAS!J91-SAÍDAS!J90)-((SAÍDAS!J70+SAÍDAS!J91-SAÍDAS!J90)/$C50)*$C55))</f>
        <v>4963.2837736608935</v>
      </c>
      <c r="I39" s="568">
        <f>IF(AND(INVESTIMENTOS!$R$24="",INVESTIMENTOS!$T$24=""),"-",IF($C50=0,0,(SAÍDAS!K70+SAÍDAS!K91-SAÍDAS!K90)-((SAÍDAS!K70+SAÍDAS!K91-SAÍDAS!K90)/$C50)*$C55))</f>
        <v>108615.11572694323</v>
      </c>
      <c r="J39" s="568">
        <f>IF(AND(INVESTIMENTOS!$R$24="",INVESTIMENTOS!$T$24=""),"-",IF($C50=0,0,(SAÍDAS!L70+SAÍDAS!L91-SAÍDAS!L90)-((SAÍDAS!L70+SAÍDAS!L91-SAÍDAS!L90)/$C50)*$C55))</f>
        <v>22943.405142972213</v>
      </c>
      <c r="K39" s="568">
        <f>IF(AND(INVESTIMENTOS!$R$24="",INVESTIMENTOS!$T$24=""),"-",IF($C50=0,0,(SAÍDAS!M70+SAÍDAS!M91-SAÍDAS!M90)-((SAÍDAS!M70+SAÍDAS!M91-SAÍDAS!M90)/$C50)*$C55))</f>
        <v>13712.220338300443</v>
      </c>
      <c r="L39" s="568">
        <f>IF(AND(INVESTIMENTOS!$R$24="",INVESTIMENTOS!$T$24=""),"-",IF($C50=0,0,(SAÍDAS!N70+SAÍDAS!N91-SAÍDAS!N90)-((SAÍDAS!N70+SAÍDAS!N91-SAÍDAS!N90)/$C50)*$C55))</f>
        <v>5362.2978091018931</v>
      </c>
      <c r="M39" s="568">
        <f>IF(AND(INVESTIMENTOS!$R$24="",INVESTIMENTOS!$T$24=""),"-",IF($C50=0,0,(SAÍDAS!O70+SAÍDAS!O91-SAÍDAS!O90)-((SAÍDAS!O70+SAÍDAS!O91-SAÍDAS!O90)/$C50)*$C55))</f>
        <v>4314.923040676601</v>
      </c>
      <c r="N39" s="568">
        <f>IF(AND(INVESTIMENTOS!$R$24="",INVESTIMENTOS!$T$24=""),"-",IF($C50=0,0,(SAÍDAS!P70+SAÍDAS!P91-SAÍDAS!P90)-((SAÍDAS!P70+SAÍDAS!P91-SAÍDAS!P90)/$C50)*$C55))</f>
        <v>0</v>
      </c>
      <c r="O39" s="569">
        <f>IF(AND(INVESTIMENTOS!$R$24="",INVESTIMENTOS!$T$24=""),"-",SUM(C39:N39))</f>
        <v>269365.64853403147</v>
      </c>
      <c r="W39" s="786"/>
      <c r="X39" s="548"/>
      <c r="Y39" s="548"/>
      <c r="Z39" s="782"/>
      <c r="AA39" s="786"/>
      <c r="AB39" s="782"/>
      <c r="AC39" s="86"/>
    </row>
    <row r="40" spans="2:29" x14ac:dyDescent="0.25">
      <c r="B40" s="567" t="s">
        <v>386</v>
      </c>
      <c r="C40" s="568">
        <f>IF(AND(INVESTIMENTOS!$R$24="",INVESTIMENTOS!$T$24=""),"-",C139)</f>
        <v>2900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2900</v>
      </c>
      <c r="W40" s="86"/>
      <c r="X40" s="86"/>
      <c r="Y40" s="86"/>
      <c r="Z40" s="86"/>
      <c r="AA40" s="86"/>
      <c r="AB40" s="86"/>
      <c r="AC40" s="86"/>
    </row>
    <row r="41" spans="2:29" x14ac:dyDescent="0.25">
      <c r="B41" s="567" t="s">
        <v>381</v>
      </c>
      <c r="C41" s="568">
        <f>IF(AND(INVESTIMENTOS!$R$24="",INVESTIMENTOS!$T$24=""),"-",C34+C35+C36+C37+C38-C39)</f>
        <v>-12234.2</v>
      </c>
      <c r="D41" s="568">
        <f>IF(AND(INVESTIMENTOS!$R$24="",INVESTIMENTOS!$T$24=""),"-",D34+D35+D36+D37+D38-D39)</f>
        <v>-8135.3700000000008</v>
      </c>
      <c r="E41" s="568">
        <f>IF(AND(INVESTIMENTOS!$R$24="",INVESTIMENTOS!$T$24=""),"-",E34+E35+E36+E37+E38-E39)</f>
        <v>-14091.540000000008</v>
      </c>
      <c r="F41" s="568">
        <f>IF(AND(INVESTIMENTOS!$R$24="",INVESTIMENTOS!$T$24=""),"-",F34+F35+F36+F37+F38-F39)</f>
        <v>-12031.36</v>
      </c>
      <c r="G41" s="568">
        <f>IF(AND(INVESTIMENTOS!$R$24="",INVESTIMENTOS!$T$24=""),"-",G34+G35+G36+G37+G38-G39)</f>
        <v>-10379.799999999999</v>
      </c>
      <c r="H41" s="568">
        <f>IF(AND(INVESTIMENTOS!$R$24="",INVESTIMENTOS!$T$24=""),"-",H34+H35+H36+H37+H38-H39)</f>
        <v>-10877.169999999998</v>
      </c>
      <c r="I41" s="568">
        <f>IF(AND(INVESTIMENTOS!$R$24="",INVESTIMENTOS!$T$24=""),"-",I34+I35+I36+I37+I38-I39)</f>
        <v>234597.84999999998</v>
      </c>
      <c r="J41" s="568">
        <f>IF(AND(INVESTIMENTOS!$R$24="",INVESTIMENTOS!$T$24=""),"-",J34+J35+J36+J37+J38-J39)</f>
        <v>-8431.0899999999965</v>
      </c>
      <c r="K41" s="568">
        <f>IF(AND(INVESTIMENTOS!$R$24="",INVESTIMENTOS!$T$24=""),"-",K34+K35+K36+K37+K38-K39)</f>
        <v>32760.769999999997</v>
      </c>
      <c r="L41" s="568">
        <f>IF(AND(INVESTIMENTOS!$R$24="",INVESTIMENTOS!$T$24=""),"-",L34+L35+L36+L37+L38-L39)</f>
        <v>-11751.619999999999</v>
      </c>
      <c r="M41" s="568">
        <f>IF(AND(INVESTIMENTOS!$R$24="",INVESTIMENTOS!$T$24=""),"-",M34+M35+M36+M37+M38-M39)</f>
        <v>-9456.27</v>
      </c>
      <c r="N41" s="568">
        <f>IF(AND(INVESTIMENTOS!$R$24="",INVESTIMENTOS!$T$24=""),"-",N34+N35+N36+N37+N38-N39)</f>
        <v>0</v>
      </c>
      <c r="O41" s="569">
        <f>IF(AND(INVESTIMENTOS!$R$24="",INVESTIMENTOS!$T$24=""),"-",SUM(C41:N41))</f>
        <v>169970.19999999998</v>
      </c>
      <c r="W41" s="86"/>
      <c r="X41" s="786"/>
      <c r="Y41" s="786"/>
      <c r="Z41" s="782"/>
      <c r="AA41" s="782"/>
      <c r="AB41" s="782"/>
      <c r="AC41" s="86"/>
    </row>
    <row r="42" spans="2:29" x14ac:dyDescent="0.25">
      <c r="B42" s="567" t="s">
        <v>390</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388</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382</v>
      </c>
      <c r="C44" s="574">
        <f>IF(AND(INVESTIMENTOS!$R$24="",INVESTIMENTOS!$T$24=""),"-",C41-C42-C43)</f>
        <v>-12234.2</v>
      </c>
      <c r="D44" s="574">
        <f>IF(AND(INVESTIMENTOS!$R$24="",INVESTIMENTOS!$T$24=""),"-",D41-D42-D43+C44)</f>
        <v>-20369.57</v>
      </c>
      <c r="E44" s="574">
        <f>IF(AND(INVESTIMENTOS!$R$24="",INVESTIMENTOS!$T$24=""),"-",E41-E42-E43+D44)</f>
        <v>-34461.110000000008</v>
      </c>
      <c r="F44" s="574">
        <f>IF(AND(INVESTIMENTOS!$R$24="",INVESTIMENTOS!$T$24=""),"-",F41-F42-F43+E44)</f>
        <v>-46492.470000000008</v>
      </c>
      <c r="G44" s="574">
        <f>IF(AND(INVESTIMENTOS!$R$24="",INVESTIMENTOS!$T$24=""),"-",G41-G42-G43+F44)</f>
        <v>-56872.270000000004</v>
      </c>
      <c r="H44" s="574">
        <f>IF(AND(INVESTIMENTOS!$R$24="",INVESTIMENTOS!$T$24=""),"-",H41-H42-H43+G44)</f>
        <v>-67749.440000000002</v>
      </c>
      <c r="I44" s="574">
        <f>IF(AND(INVESTIMENTOS!$R$24="",INVESTIMENTOS!$T$24=""),"-",I41-I42-I43+H44)</f>
        <v>166848.40999999997</v>
      </c>
      <c r="J44" s="574">
        <f>IF(AND(INVESTIMENTOS!$R$24="",INVESTIMENTOS!$T$24=""),"-",J41-J42-J43+I44)</f>
        <v>158417.31999999998</v>
      </c>
      <c r="K44" s="574">
        <f>IF(AND(INVESTIMENTOS!$R$24="",INVESTIMENTOS!$T$24=""),"-",K41-K42-K43+J44)</f>
        <v>191178.08999999997</v>
      </c>
      <c r="L44" s="574">
        <f>IF(AND(INVESTIMENTOS!$R$24="",INVESTIMENTOS!$T$24=""),"-",L41-L42-L43+K44)</f>
        <v>179426.46999999997</v>
      </c>
      <c r="M44" s="574">
        <f>IF(AND(INVESTIMENTOS!$R$24="",INVESTIMENTOS!$T$24=""),"-",M41-M42-M43+L44)</f>
        <v>169970.19999999998</v>
      </c>
      <c r="N44" s="574">
        <f>IF(AND(INVESTIMENTOS!$R$24="",INVESTIMENTOS!$T$24=""),"-",N41-N42-N43+M44)</f>
        <v>169970.19999999998</v>
      </c>
      <c r="O44" s="575">
        <f>N44</f>
        <v>169970.19999999998</v>
      </c>
      <c r="W44" s="86"/>
      <c r="X44" s="86"/>
      <c r="Y44" s="86"/>
      <c r="Z44" s="86"/>
      <c r="AA44" s="86"/>
      <c r="AB44" s="86"/>
      <c r="AC44" s="86"/>
    </row>
    <row r="45" spans="2:29" ht="11.25" customHeight="1" thickTop="1" x14ac:dyDescent="0.25">
      <c r="B45" s="827" t="s">
        <v>459</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400</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464</v>
      </c>
      <c r="Y49" s="949"/>
      <c r="Z49" s="949"/>
      <c r="AA49" s="949"/>
      <c r="AB49" s="949"/>
    </row>
    <row r="50" spans="2:28" ht="16.5" thickTop="1" thickBot="1" x14ac:dyDescent="0.3">
      <c r="B50" s="549" t="s">
        <v>263</v>
      </c>
      <c r="C50" s="1097">
        <f>M30</f>
        <v>248.3</v>
      </c>
      <c r="D50" s="840">
        <f>C50</f>
        <v>248.3</v>
      </c>
      <c r="E50" s="840" t="s">
        <v>497</v>
      </c>
      <c r="F50" s="1098">
        <f>N30</f>
        <v>4587.1536523929472</v>
      </c>
      <c r="G50" s="1234" t="s">
        <v>484</v>
      </c>
      <c r="H50" s="1235"/>
      <c r="J50" s="1245" t="s">
        <v>293</v>
      </c>
      <c r="K50" s="1246"/>
      <c r="L50" s="1247"/>
      <c r="M50" s="1248" t="s">
        <v>13</v>
      </c>
      <c r="N50" s="1246"/>
      <c r="O50" s="1247"/>
      <c r="P50" s="1248" t="s">
        <v>14</v>
      </c>
      <c r="Q50" s="1246"/>
      <c r="R50" s="1247"/>
      <c r="S50" s="1255" t="s">
        <v>237</v>
      </c>
      <c r="T50" s="1256"/>
      <c r="U50" s="1257"/>
      <c r="X50" s="949" t="s">
        <v>491</v>
      </c>
      <c r="Y50" s="1091">
        <f>G71*C56</f>
        <v>6395.1352008809636</v>
      </c>
      <c r="Z50" s="949"/>
      <c r="AA50" s="949"/>
      <c r="AB50" s="949"/>
    </row>
    <row r="51" spans="2:28" ht="35.25" customHeight="1" thickTop="1" x14ac:dyDescent="0.25">
      <c r="B51" s="1082"/>
      <c r="C51" s="1092"/>
      <c r="D51" s="579" t="s">
        <v>41</v>
      </c>
      <c r="E51" s="917" t="s">
        <v>264</v>
      </c>
      <c r="F51" s="581" t="s">
        <v>462</v>
      </c>
      <c r="G51" s="579" t="s">
        <v>463</v>
      </c>
      <c r="H51" s="580" t="s">
        <v>265</v>
      </c>
      <c r="J51" s="1059" t="s">
        <v>41</v>
      </c>
      <c r="K51" s="579" t="s">
        <v>297</v>
      </c>
      <c r="L51" s="917" t="s">
        <v>464</v>
      </c>
      <c r="M51" s="917" t="s">
        <v>41</v>
      </c>
      <c r="N51" s="579" t="s">
        <v>297</v>
      </c>
      <c r="O51" s="917" t="s">
        <v>464</v>
      </c>
      <c r="P51" s="917" t="s">
        <v>41</v>
      </c>
      <c r="Q51" s="579" t="s">
        <v>297</v>
      </c>
      <c r="R51" s="917" t="s">
        <v>464</v>
      </c>
      <c r="S51" s="917" t="s">
        <v>41</v>
      </c>
      <c r="T51" s="917" t="s">
        <v>297</v>
      </c>
      <c r="U51" s="582" t="s">
        <v>464</v>
      </c>
      <c r="V51" s="1062"/>
      <c r="X51" s="949" t="s">
        <v>492</v>
      </c>
      <c r="Y51" s="1091">
        <f>(G59+G77)*C56</f>
        <v>466876.13080808008</v>
      </c>
      <c r="Z51" s="949"/>
      <c r="AA51" s="949" t="s">
        <v>408</v>
      </c>
      <c r="AB51" s="949">
        <f>IF(Y54=0,0,Y51/Y54)</f>
        <v>0.95635824850020201</v>
      </c>
    </row>
    <row r="52" spans="2:28" x14ac:dyDescent="0.25">
      <c r="B52" s="1093" t="s">
        <v>266</v>
      </c>
      <c r="C52" s="1095">
        <f>SUM(P189:P193)</f>
        <v>1</v>
      </c>
      <c r="D52" s="584">
        <f>ENTRADAS!P28</f>
        <v>3000</v>
      </c>
      <c r="E52" s="918">
        <f>IF(D52=0,0,(D52/$D$55)*100)</f>
        <v>0.70498284459496818</v>
      </c>
      <c r="F52" s="590">
        <f>IF(OR(C$50=0,C$50="",C$50="-"),0,D52/C$50)</f>
        <v>12.082158679017317</v>
      </c>
      <c r="G52" s="584">
        <f>IF(OR(F$50=0,F$50="",F$50="-"),0,D52/F$50)</f>
        <v>0.65400032947119868</v>
      </c>
      <c r="H52" s="585">
        <f>IF(D52=0,0,D52/$C$10)</f>
        <v>29.732408325074328</v>
      </c>
      <c r="J52" s="1060">
        <f>'RESULTADOS FINANCEIROS'!P230</f>
        <v>0</v>
      </c>
      <c r="K52" s="587">
        <f>P189</f>
        <v>0</v>
      </c>
      <c r="L52" s="918">
        <f>P209</f>
        <v>0</v>
      </c>
      <c r="M52" s="918">
        <f>'RESULTADOS FINANCEIROS'!$P231</f>
        <v>3000</v>
      </c>
      <c r="N52" s="587">
        <f>P190</f>
        <v>1</v>
      </c>
      <c r="O52" s="918">
        <f>P210</f>
        <v>31.179794403975762</v>
      </c>
      <c r="P52" s="918">
        <f>'RESULTADOS FINANCEIROS'!$P232</f>
        <v>0</v>
      </c>
      <c r="Q52" s="587">
        <f>P191</f>
        <v>0</v>
      </c>
      <c r="R52" s="918">
        <f>P211</f>
        <v>0</v>
      </c>
      <c r="S52" s="918">
        <f>SUM('RESULTADOS FINANCEIROS'!$P233,'RESULTADOS FINANCEIROS'!$P234)</f>
        <v>0</v>
      </c>
      <c r="T52" s="928">
        <f>P192+P193</f>
        <v>0</v>
      </c>
      <c r="U52" s="585">
        <f>P212+P213</f>
        <v>0</v>
      </c>
      <c r="V52" s="1062"/>
      <c r="X52" s="949" t="s">
        <v>493</v>
      </c>
      <c r="Y52" s="1083">
        <f>G83*C56</f>
        <v>9085.0816207867611</v>
      </c>
      <c r="Z52" s="949"/>
      <c r="AA52" s="949" t="s">
        <v>409</v>
      </c>
      <c r="AB52" s="949">
        <f>1-AB51</f>
        <v>4.3641751499797987E-2</v>
      </c>
    </row>
    <row r="53" spans="2:28" x14ac:dyDescent="0.25">
      <c r="B53" s="1093" t="s">
        <v>267</v>
      </c>
      <c r="C53" s="1095">
        <f>SUM(P197:P199)</f>
        <v>134</v>
      </c>
      <c r="D53" s="584">
        <f>ENTRADAS!P43</f>
        <v>422542.27</v>
      </c>
      <c r="E53" s="918">
        <f>IF(D53=0,0,(D53/$D$55)*100)</f>
        <v>99.295017155405034</v>
      </c>
      <c r="F53" s="590">
        <f>IF(OR(C$50=0,C$50="",C$50="-"),0,D53/C$50)</f>
        <v>1701.7409182440597</v>
      </c>
      <c r="G53" s="584">
        <f>IF(OR(F$50=0,F$50="",F$50="-"),0,D53/F$50)</f>
        <v>92.114261265169404</v>
      </c>
      <c r="H53" s="585">
        <f>IF(D53=0,0,D53/$C$10)</f>
        <v>4187.733102081269</v>
      </c>
      <c r="J53" s="1060" t="s">
        <v>107</v>
      </c>
      <c r="K53" s="583" t="s">
        <v>107</v>
      </c>
      <c r="L53" s="918" t="s">
        <v>107</v>
      </c>
      <c r="M53" s="918" t="s">
        <v>107</v>
      </c>
      <c r="N53" s="583" t="s">
        <v>107</v>
      </c>
      <c r="O53" s="918" t="s">
        <v>107</v>
      </c>
      <c r="P53" s="918">
        <f>P238</f>
        <v>422542.27</v>
      </c>
      <c r="Q53" s="583">
        <f>P197</f>
        <v>134</v>
      </c>
      <c r="R53" s="918">
        <f>P217</f>
        <v>5231.1934100347198</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494</v>
      </c>
      <c r="Y54" s="1083">
        <f>G55*C56</f>
        <v>488181.21403799602</v>
      </c>
      <c r="Z54" s="949"/>
      <c r="AA54" s="949"/>
      <c r="AB54" s="949"/>
    </row>
    <row r="55" spans="2:28" ht="15.75" thickBot="1" x14ac:dyDescent="0.3">
      <c r="B55" s="1094" t="s">
        <v>134</v>
      </c>
      <c r="C55" s="1096">
        <f>SUM(C52:C54)</f>
        <v>135</v>
      </c>
      <c r="D55" s="592">
        <f>SUM(D52:D54)</f>
        <v>425542.27</v>
      </c>
      <c r="E55" s="919" t="s">
        <v>107</v>
      </c>
      <c r="F55" s="594">
        <f>IF(OR(C$50=0,C$50="",C$50="-"),0,D55/C$50)</f>
        <v>1713.823076923077</v>
      </c>
      <c r="G55" s="592">
        <f>IF(OR(F$50=0,F$50="",F$50="-"),0,D55/F$50)</f>
        <v>92.768261594640606</v>
      </c>
      <c r="H55" s="593">
        <f>IF(D55=0,0,D55/$C$10)</f>
        <v>4217.4655104063431</v>
      </c>
      <c r="J55" s="1061">
        <f t="shared" ref="J55" si="0">SUM(J52:J54)</f>
        <v>0</v>
      </c>
      <c r="K55" s="591">
        <f t="shared" ref="K55:U55" si="1">SUM(K52:K54)</f>
        <v>0</v>
      </c>
      <c r="L55" s="919">
        <f t="shared" si="1"/>
        <v>0</v>
      </c>
      <c r="M55" s="919">
        <f t="shared" si="1"/>
        <v>3000</v>
      </c>
      <c r="N55" s="591">
        <f t="shared" si="1"/>
        <v>1</v>
      </c>
      <c r="O55" s="919">
        <f t="shared" si="1"/>
        <v>31.179794403975762</v>
      </c>
      <c r="P55" s="919">
        <f t="shared" si="1"/>
        <v>422542.27</v>
      </c>
      <c r="Q55" s="591">
        <f t="shared" si="1"/>
        <v>134</v>
      </c>
      <c r="R55" s="919">
        <f t="shared" si="1"/>
        <v>5231.1934100347198</v>
      </c>
      <c r="S55" s="919">
        <f t="shared" si="1"/>
        <v>0</v>
      </c>
      <c r="T55" s="930">
        <f t="shared" si="1"/>
        <v>0</v>
      </c>
      <c r="U55" s="593">
        <f t="shared" si="1"/>
        <v>0</v>
      </c>
      <c r="X55" s="949"/>
      <c r="Y55" s="949"/>
      <c r="Z55" s="949"/>
      <c r="AA55" s="949"/>
      <c r="AB55" s="949"/>
    </row>
    <row r="56" spans="2:28" ht="16.5" thickTop="1" thickBot="1" x14ac:dyDescent="0.3">
      <c r="B56" s="228"/>
      <c r="C56" s="647">
        <f>SUM(L55,O55,R55,U55)</f>
        <v>5262.3732044386952</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268</v>
      </c>
      <c r="C57" s="926"/>
      <c r="D57" s="927"/>
      <c r="E57" s="927"/>
      <c r="F57" s="927"/>
      <c r="G57" s="927"/>
      <c r="H57" s="931"/>
      <c r="I57" s="576"/>
      <c r="J57" s="1245" t="s">
        <v>293</v>
      </c>
      <c r="K57" s="1246"/>
      <c r="L57" s="1247"/>
      <c r="M57" s="1248" t="s">
        <v>13</v>
      </c>
      <c r="N57" s="1246"/>
      <c r="O57" s="1247"/>
      <c r="P57" s="1248" t="s">
        <v>14</v>
      </c>
      <c r="Q57" s="1246"/>
      <c r="R57" s="1247"/>
      <c r="S57" s="1255" t="s">
        <v>237</v>
      </c>
      <c r="T57" s="1256"/>
      <c r="U57" s="1257"/>
      <c r="X57" s="949" t="s">
        <v>495</v>
      </c>
      <c r="Y57" s="949"/>
      <c r="Z57" s="1091">
        <f>Y50/AB52</f>
        <v>146537.08847846233</v>
      </c>
      <c r="AA57" s="949"/>
      <c r="AB57" s="949"/>
    </row>
    <row r="58" spans="2:28" ht="15.75" thickTop="1" x14ac:dyDescent="0.25">
      <c r="B58" s="932" t="s">
        <v>269</v>
      </c>
      <c r="C58" s="595"/>
      <c r="D58" s="579" t="s">
        <v>41</v>
      </c>
      <c r="E58" s="917" t="s">
        <v>264</v>
      </c>
      <c r="F58" s="581" t="s">
        <v>462</v>
      </c>
      <c r="G58" s="579" t="s">
        <v>463</v>
      </c>
      <c r="H58" s="582" t="s">
        <v>270</v>
      </c>
      <c r="I58" s="576"/>
      <c r="J58" s="581" t="s">
        <v>41</v>
      </c>
      <c r="K58" s="579" t="s">
        <v>295</v>
      </c>
      <c r="L58" s="579" t="s">
        <v>465</v>
      </c>
      <c r="M58" s="579" t="s">
        <v>41</v>
      </c>
      <c r="N58" s="579" t="s">
        <v>295</v>
      </c>
      <c r="O58" s="579" t="s">
        <v>465</v>
      </c>
      <c r="P58" s="579" t="s">
        <v>41</v>
      </c>
      <c r="Q58" s="579" t="s">
        <v>295</v>
      </c>
      <c r="R58" s="579" t="s">
        <v>465</v>
      </c>
      <c r="S58" s="579" t="s">
        <v>41</v>
      </c>
      <c r="T58" s="917" t="s">
        <v>295</v>
      </c>
      <c r="U58" s="582" t="s">
        <v>465</v>
      </c>
      <c r="X58" s="949" t="s">
        <v>496</v>
      </c>
      <c r="Y58" s="949"/>
      <c r="Z58" s="1091">
        <f>(Y50+Y52)/AB52</f>
        <v>354711.1719780399</v>
      </c>
      <c r="AA58" s="949"/>
      <c r="AB58" s="949"/>
    </row>
    <row r="59" spans="2:28" x14ac:dyDescent="0.25">
      <c r="B59" s="596" t="s">
        <v>271</v>
      </c>
      <c r="C59" s="597"/>
      <c r="D59" s="598">
        <f>SUM(D60:D69)</f>
        <v>72335.86</v>
      </c>
      <c r="E59" s="920">
        <f t="shared" ref="E59:E69" si="2">IF(D$79=0,0,(D59/$D$79)*100)</f>
        <v>17.534034978887053</v>
      </c>
      <c r="F59" s="600">
        <f>IF(OR(C$50=0,C$50="",C$50="-"),0,D59/C$50)</f>
        <v>291.32444623439386</v>
      </c>
      <c r="G59" s="598">
        <f>IF(OR(F$50=0,F$50="",F$50="-"),0,D59/F$50)</f>
        <v>15.769225424194168</v>
      </c>
      <c r="H59" s="599">
        <f t="shared" ref="H59:H69" si="3">IF(D59=0,0,D59/$C$10)</f>
        <v>716.90644202180374</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9194.64</v>
      </c>
      <c r="E60" s="918">
        <f t="shared" si="2"/>
        <v>2.2287581757965422</v>
      </c>
      <c r="F60" s="590">
        <f>IF(OR(C$50=0,C$50="",C$50="-"),0,D60/C$50)</f>
        <v>37.030366492146591</v>
      </c>
      <c r="G60" s="584">
        <f>IF(OR(F$50=0,F$50="",F$50="-"),0,D60/F$50)</f>
        <v>2.0044325297896872</v>
      </c>
      <c r="H60" s="585">
        <f t="shared" si="3"/>
        <v>91.126263627353808</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7835.78</v>
      </c>
      <c r="E61" s="918">
        <f t="shared" si="2"/>
        <v>1.8993738459301319</v>
      </c>
      <c r="F61" s="590">
        <f t="shared" ref="F61:F69" si="10">IF(OR(C$50=0,C$50="",C$50="-"),0,D61/C$50)</f>
        <v>31.557712444623437</v>
      </c>
      <c r="G61" s="584">
        <f t="shared" ref="G61:G69" si="11">IF(OR(F$50=0,F$50="",F$50="-"),0,D61/F$50)</f>
        <v>1.7082009005546097</v>
      </c>
      <c r="H61" s="585">
        <f t="shared" si="3"/>
        <v>77.658870168483645</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2555.61</v>
      </c>
      <c r="E62" s="918">
        <f t="shared" si="2"/>
        <v>0.61947359349005515</v>
      </c>
      <c r="F62" s="590">
        <f t="shared" si="10"/>
        <v>10.292428513894482</v>
      </c>
      <c r="G62" s="584">
        <f t="shared" si="11"/>
        <v>0.55712326066663009</v>
      </c>
      <c r="H62" s="585">
        <f t="shared" si="3"/>
        <v>25.328146679881069</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14666.05</v>
      </c>
      <c r="E63" s="918">
        <f t="shared" si="2"/>
        <v>3.555014535005272</v>
      </c>
      <c r="F63" s="590">
        <f t="shared" si="10"/>
        <v>59.065847764800637</v>
      </c>
      <c r="G63" s="584">
        <f t="shared" si="11"/>
        <v>3.197200510680358</v>
      </c>
      <c r="H63" s="585">
        <f t="shared" si="3"/>
        <v>145.35232903865213</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26865</v>
      </c>
      <c r="E64" s="918">
        <f t="shared" si="2"/>
        <v>6.5120100833500931</v>
      </c>
      <c r="F64" s="590">
        <f t="shared" si="10"/>
        <v>108.19573097060008</v>
      </c>
      <c r="G64" s="584">
        <f t="shared" si="11"/>
        <v>5.8565729504145843</v>
      </c>
      <c r="H64" s="585">
        <f t="shared" si="3"/>
        <v>266.25371655104061</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8289.4500000000007</v>
      </c>
      <c r="E66" s="918">
        <f t="shared" si="2"/>
        <v>2.0093423407938369</v>
      </c>
      <c r="F66" s="590">
        <f t="shared" si="10"/>
        <v>33.3848167539267</v>
      </c>
      <c r="G66" s="584">
        <f t="shared" si="11"/>
        <v>1.8071010103783429</v>
      </c>
      <c r="H66" s="585">
        <f t="shared" si="3"/>
        <v>82.155104063429135</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2330</v>
      </c>
      <c r="E67" s="918">
        <f t="shared" si="2"/>
        <v>0.56478628305251133</v>
      </c>
      <c r="F67" s="590">
        <f t="shared" si="10"/>
        <v>9.3838099073701162</v>
      </c>
      <c r="G67" s="584">
        <f t="shared" si="11"/>
        <v>0.5079402558892977</v>
      </c>
      <c r="H67" s="585">
        <f t="shared" si="3"/>
        <v>23.09217046580773</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449.33000000000004</v>
      </c>
      <c r="E68" s="918">
        <f t="shared" si="2"/>
        <v>0.1089164895124399</v>
      </c>
      <c r="F68" s="590">
        <f t="shared" si="10"/>
        <v>1.8096254530809506</v>
      </c>
      <c r="G68" s="584">
        <f t="shared" si="11"/>
        <v>9.7953989347097911E-2</v>
      </c>
      <c r="H68" s="585">
        <f t="shared" si="3"/>
        <v>4.453221010901883</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150</v>
      </c>
      <c r="E69" s="918">
        <f t="shared" si="2"/>
        <v>3.6359631956170257E-2</v>
      </c>
      <c r="F69" s="590">
        <f t="shared" si="10"/>
        <v>0.60410793395086582</v>
      </c>
      <c r="G69" s="584">
        <f t="shared" si="11"/>
        <v>3.2700016473559933E-2</v>
      </c>
      <c r="H69" s="585">
        <f t="shared" si="3"/>
        <v>1.4866204162537164</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272</v>
      </c>
      <c r="C71" s="597"/>
      <c r="D71" s="598">
        <f>SUM(D72:D75)</f>
        <v>5574.57</v>
      </c>
      <c r="E71" s="920">
        <f>IF(D$79=0,0,(D71/$D$79)*100)</f>
        <v>1.3512620900927201</v>
      </c>
      <c r="F71" s="600">
        <f>IF(OR(C$50=0,C$50="",C$50="-"),0,D71/C$50)</f>
        <v>22.450946435763189</v>
      </c>
      <c r="G71" s="598">
        <f>IF(OR(F$50=0,F$50="",F$50="-"),0,D71/F$50)</f>
        <v>1.2152568722200867</v>
      </c>
      <c r="H71" s="599">
        <f>IF(D71=0,0,D71/$C$10)</f>
        <v>55.248463825569864</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514.05999999999995</v>
      </c>
      <c r="E72" s="918">
        <f>IF(D$79=0,0,(D72/$D$79)*100)</f>
        <v>0.12460688268925921</v>
      </c>
      <c r="F72" s="590">
        <f>IF(OR(C$50=0,C$50="",C$50="-"),0,D72/C$50)</f>
        <v>2.0703181635118804</v>
      </c>
      <c r="G72" s="584">
        <f>IF(OR(F$50=0,F$50="",F$50="-"),0,D72/F$50)</f>
        <v>0.11206513645598813</v>
      </c>
      <c r="H72" s="585">
        <f>IF(D72=0,0,D72/$C$10)</f>
        <v>5.0947472745292357</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3500</v>
      </c>
      <c r="E74" s="918">
        <f>IF(D$79=0,0,(D74/$D$79)*100)</f>
        <v>0.8483914123106393</v>
      </c>
      <c r="F74" s="590">
        <f t="shared" si="14"/>
        <v>14.09585179218687</v>
      </c>
      <c r="G74" s="584">
        <f t="shared" si="15"/>
        <v>0.76300038438306517</v>
      </c>
      <c r="H74" s="585">
        <f>IF(D74=0,0,D74/$C$10)</f>
        <v>34.68780971258672</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1560.51</v>
      </c>
      <c r="E75" s="918">
        <f>IF(D$79=0,0,(D75/$D$79)*100)</f>
        <v>0.37826379509282165</v>
      </c>
      <c r="F75" s="590">
        <f t="shared" si="14"/>
        <v>6.2847764800644379</v>
      </c>
      <c r="G75" s="584">
        <f>IF(OR(F$50=0,F$50="",F$50="-"),0,D75/F$50)</f>
        <v>0.34019135138103346</v>
      </c>
      <c r="H75" s="585">
        <f>IF(D75=0,0,D75/$C$10)</f>
        <v>15.465906838453915</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43" t="s">
        <v>273</v>
      </c>
      <c r="C77" s="1244"/>
      <c r="D77" s="584">
        <f>SUM(SAÍDAS!E27:P27)-SUM(SAÍDAS!E26:P26)+IF(SAÍDAS!C7=0,SAÍDAS!C9,0)+IF(SAÍDAS!C11=0,SAÍDAS!C13,0)+IF(SAÍDAS!C15=0,SAÍDAS!C17,0)+IF(SAÍDAS!C19=0,SAÍDAS!C21,0)</f>
        <v>334635</v>
      </c>
      <c r="E77" s="918">
        <f>IF(D$79=0,0,(D77/$D$79)*100)</f>
        <v>81.114702931020233</v>
      </c>
      <c r="F77" s="590">
        <f>IF(OR(C$50=0,C$50="",C$50="-"),0,D77/C$50)</f>
        <v>1347.7043898509867</v>
      </c>
      <c r="G77" s="584">
        <f>IF(OR(F$50=0,F$50="",F$50="-"),0,D77/F$50)</f>
        <v>72.950466750864862</v>
      </c>
      <c r="H77" s="585">
        <f>IF(D77=0,0,D77/$C$10)</f>
        <v>3316.501486620416</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274</v>
      </c>
      <c r="C78" s="602"/>
      <c r="D78" s="584">
        <f>SUM(D59,D77)</f>
        <v>406970.86</v>
      </c>
      <c r="E78" s="918">
        <f>IF(D$79=0,0,(D78/$D$79)*100)</f>
        <v>98.648737909907283</v>
      </c>
      <c r="F78" s="590">
        <f>IF(OR(C$50=0,C$50="",C$50="-"),0,D78/C$50)</f>
        <v>1639.0288360853804</v>
      </c>
      <c r="G78" s="584">
        <f>IF(OR(F$50=0,F$50="",F$50="-"),0,D78/F$50)</f>
        <v>88.719692175059023</v>
      </c>
      <c r="H78" s="585">
        <f>IF(D78=0,0,D78/$C$10)</f>
        <v>4033.4079286422198</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275</v>
      </c>
      <c r="C79" s="611"/>
      <c r="D79" s="612">
        <f>SUM(D78,D71)</f>
        <v>412545.43</v>
      </c>
      <c r="E79" s="921" t="s">
        <v>107</v>
      </c>
      <c r="F79" s="615">
        <f>IF(OR(C$50=0,C$50="",C$50="-"),0,D79/C$50)</f>
        <v>1661.4797825211438</v>
      </c>
      <c r="G79" s="598">
        <f>IF(OR(F$50=0,F$50="",F$50="-"),0,D79/F$50)</f>
        <v>89.934949047279119</v>
      </c>
      <c r="H79" s="613">
        <f>IF(D79=0,0,D79/$C$10)</f>
        <v>4088.6563924677894</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276</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294</v>
      </c>
      <c r="C82" s="602"/>
      <c r="D82" s="584">
        <f>D79</f>
        <v>412545.43</v>
      </c>
      <c r="E82" s="918">
        <f>IF(D$84=0,0,(D82/$D$84)*100)</f>
        <v>98.116520770291515</v>
      </c>
      <c r="F82" s="590">
        <f>IF(OR(C$50=0,C$50="",C$50="-"),0,D82/C$50)</f>
        <v>1661.4797825211438</v>
      </c>
      <c r="G82" s="584">
        <f>IF(OR(F$50=0,F$50="",F$50="-"),0,D82/F$50)</f>
        <v>89.934949047279119</v>
      </c>
      <c r="H82" s="585">
        <f>IF(D82=0,0,D82/$C$10)</f>
        <v>4088.6563924677894</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277</v>
      </c>
      <c r="C83" s="602"/>
      <c r="D83" s="584">
        <f>C149</f>
        <v>7919.3671220293472</v>
      </c>
      <c r="E83" s="918">
        <f>IF(D$84=0,0,(D83/$D$84)*100)</f>
        <v>1.8834792297084859</v>
      </c>
      <c r="F83" s="590">
        <f>IF(OR(C$50=0,C$50="",C$50="-"),0,D83/C$50)</f>
        <v>31.894350068583758</v>
      </c>
      <c r="G83" s="584">
        <f>IF(OR(F$50=0,F$50="",F$50="-"),0,D83/F$50)</f>
        <v>1.7264229023368574</v>
      </c>
      <c r="H83" s="585">
        <f>IF(D83=0,0,D83/$C$10)</f>
        <v>78.487285649448438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278</v>
      </c>
      <c r="C84" s="611"/>
      <c r="D84" s="612">
        <f>SUM(D82:D83)</f>
        <v>420464.79712202935</v>
      </c>
      <c r="E84" s="921" t="s">
        <v>107</v>
      </c>
      <c r="F84" s="615">
        <f>IF(OR(C$50=0,C$50="",C$50="-"),0,D84/C$50)</f>
        <v>1693.3741325897274</v>
      </c>
      <c r="G84" s="598">
        <f>IF(OR(F$50=0,F$50="",F$50="-"),0,D84/F$50)</f>
        <v>91.661371949615969</v>
      </c>
      <c r="H84" s="613">
        <f>IF(D84=0,0,D84/$C$10)</f>
        <v>4167.1436781172379</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279</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280</v>
      </c>
      <c r="C87" s="602"/>
      <c r="D87" s="625">
        <f>D84</f>
        <v>420464.79712202935</v>
      </c>
      <c r="E87" s="918">
        <f>IF(D$92=0,0,(D87/$D$92)*100)</f>
        <v>67.466599081623016</v>
      </c>
      <c r="F87" s="590">
        <f>IF(OR(C$50=0,C$50="",C$50="-"),0,D87/C$50)</f>
        <v>1693.3741325897274</v>
      </c>
      <c r="G87" s="584">
        <f>IF(OR(F$50=0,F$50="",F$50="-"),0,D87/F$50)</f>
        <v>91.661371949615969</v>
      </c>
      <c r="H87" s="585">
        <f t="shared" ref="H87:H92" si="16">IF(D87=0,0,D87/$C$10)</f>
        <v>4167.1436781172379</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455</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453</v>
      </c>
      <c r="C89" s="602"/>
      <c r="D89" s="625">
        <f>IF(OR(C$50=0,C$50="",C$50="-"),0,C10*C7*(C13/100))</f>
        <v>181620</v>
      </c>
      <c r="E89" s="918">
        <f>IF(D$92=0,0,(D89/$D$92)*100)</f>
        <v>29.142234520166411</v>
      </c>
      <c r="F89" s="590">
        <f t="shared" si="20"/>
        <v>731.45388642770843</v>
      </c>
      <c r="G89" s="584">
        <f t="shared" si="21"/>
        <v>39.593179946186368</v>
      </c>
      <c r="H89" s="585">
        <f t="shared" si="16"/>
        <v>1800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454</v>
      </c>
      <c r="C90" s="602"/>
      <c r="D90" s="625">
        <f>IF(OR(C$50=0,C$50="",C$50="-"),0,SUM(INVESTIMENTOS!H52,INVESTIMENTOS!F83,INVESTIMENTOS!F112,INVESTIMENTOS!F141,INVESTIMENTOS!F169)*($C$13/100))</f>
        <v>18134.399999999998</v>
      </c>
      <c r="E90" s="918">
        <f>IF(D$92=0,0,(D90/$D$92)*100)</f>
        <v>2.9097948336224295</v>
      </c>
      <c r="F90" s="590">
        <f t="shared" si="20"/>
        <v>73.034232782923866</v>
      </c>
      <c r="G90" s="584">
        <f t="shared" si="21"/>
        <v>3.9533011915875016</v>
      </c>
      <c r="H90" s="585">
        <f t="shared" si="16"/>
        <v>179.72646184340928</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281</v>
      </c>
      <c r="C91" s="602"/>
      <c r="D91" s="761">
        <v>3000</v>
      </c>
      <c r="E91" s="918">
        <f>IF(D$92=0,0,(D91/$D$92)*100)</f>
        <v>0.48137156458814684</v>
      </c>
      <c r="F91" s="590">
        <f t="shared" si="20"/>
        <v>12.082158679017317</v>
      </c>
      <c r="G91" s="584">
        <f t="shared" si="21"/>
        <v>0.65400032947119868</v>
      </c>
      <c r="H91" s="585">
        <f t="shared" si="16"/>
        <v>29.732408325074328</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399</v>
      </c>
      <c r="C92" s="628"/>
      <c r="D92" s="629">
        <f>SUM(D87:D91)</f>
        <v>623219.19712202938</v>
      </c>
      <c r="E92" s="922" t="s">
        <v>107</v>
      </c>
      <c r="F92" s="646">
        <f>IF(OR(C$50=0,C$50="",C$50="-"),0,D92/C$50)</f>
        <v>2509.944410479377</v>
      </c>
      <c r="G92" s="598">
        <f>IF(OR(F$50=0,F$50="",F$50="-"),0,D92/F$50)</f>
        <v>135.86185341686104</v>
      </c>
      <c r="H92" s="630">
        <f t="shared" si="16"/>
        <v>6176.6025482857222</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282</v>
      </c>
      <c r="C94" s="637"/>
      <c r="D94" s="638" t="s">
        <v>41</v>
      </c>
      <c r="E94" s="923" t="s">
        <v>264</v>
      </c>
      <c r="F94" s="640" t="s">
        <v>462</v>
      </c>
      <c r="G94" s="638" t="s">
        <v>463</v>
      </c>
      <c r="H94" s="639" t="s">
        <v>270</v>
      </c>
      <c r="I94" s="576"/>
      <c r="J94" s="640" t="s">
        <v>41</v>
      </c>
      <c r="K94" s="638" t="s">
        <v>295</v>
      </c>
      <c r="L94" s="579" t="s">
        <v>465</v>
      </c>
      <c r="M94" s="638" t="s">
        <v>41</v>
      </c>
      <c r="N94" s="638" t="s">
        <v>295</v>
      </c>
      <c r="O94" s="579" t="s">
        <v>465</v>
      </c>
      <c r="P94" s="638" t="s">
        <v>41</v>
      </c>
      <c r="Q94" s="638" t="s">
        <v>295</v>
      </c>
      <c r="R94" s="579" t="s">
        <v>465</v>
      </c>
      <c r="S94" s="638" t="s">
        <v>41</v>
      </c>
      <c r="T94" s="923" t="s">
        <v>295</v>
      </c>
      <c r="U94" s="1056" t="s">
        <v>465</v>
      </c>
    </row>
    <row r="95" spans="2:21" ht="15.75" thickTop="1" x14ac:dyDescent="0.25">
      <c r="B95" s="641" t="s">
        <v>245</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283</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284</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291</v>
      </c>
      <c r="C98" s="602"/>
      <c r="D98" s="584">
        <f>SUMIFS(INVESTIMENTOS!$F$87:$F$111,INVESTIMENTOS!$L$87:$L$111,'RESULTADOS FINANCEIROS'!$C$8)+SUMIFS(INVESTIMENTOS!$F$116:$F$140,INVESTIMENTOS!$L$116:$L$140,'RESULTADOS FINANCEIROS'!$C$8)</f>
        <v>2900</v>
      </c>
      <c r="E98" s="924">
        <f>IF(D$100=0,0,(D98/$D$100)*100)</f>
        <v>100</v>
      </c>
      <c r="F98" s="586">
        <f t="shared" si="25"/>
        <v>11.679420056383407</v>
      </c>
      <c r="G98" s="584">
        <f t="shared" si="26"/>
        <v>0.63220031848882541</v>
      </c>
      <c r="H98" s="585">
        <f t="shared" si="23"/>
        <v>28.741328047571852</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285</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2900</v>
      </c>
      <c r="E100" s="925" t="s">
        <v>107</v>
      </c>
      <c r="F100" s="646">
        <f>IF(OR(C$50=0,C$50="",C$50="-"),0,D100/C$50)</f>
        <v>11.679420056383407</v>
      </c>
      <c r="G100" s="632">
        <f>IF(OR(F$50=0,F$50="",F$50="-"),0,D100/F$50)</f>
        <v>0.63220031848882541</v>
      </c>
      <c r="H100" s="630">
        <f t="shared" si="23"/>
        <v>28.741328047571852</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9194.64</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7835.78</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2555.61</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14666.05</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30365</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8289.4500000000007</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2330</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963.39</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1710.51</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x14ac:dyDescent="0.25">
      <c r="B113" s="273" t="s">
        <v>411</v>
      </c>
      <c r="C113" s="650">
        <f>D77</f>
        <v>334635</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412</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hidden="1" x14ac:dyDescent="0.25">
      <c r="A125" s="561"/>
      <c r="B125" s="229"/>
      <c r="D125" s="578"/>
      <c r="E125" s="576"/>
      <c r="F125" s="589"/>
      <c r="G125" s="576"/>
      <c r="H125" s="1229"/>
      <c r="I125" s="1229"/>
      <c r="J125" s="1229"/>
      <c r="K125" s="1229"/>
      <c r="L125" s="1229"/>
      <c r="M125" s="1229"/>
      <c r="N125" s="1229"/>
      <c r="O125" s="1229"/>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hidden="1" x14ac:dyDescent="0.25">
      <c r="H126" s="227"/>
      <c r="I126" s="227"/>
      <c r="J126" s="227"/>
      <c r="K126" s="227"/>
      <c r="L126" s="227"/>
      <c r="M126" s="227"/>
      <c r="N126" s="227"/>
      <c r="O126" s="227"/>
      <c r="P126" s="227"/>
    </row>
    <row r="127" spans="1:37" hidden="1" x14ac:dyDescent="0.25">
      <c r="B127" s="652" t="s">
        <v>262</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257</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258</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168</v>
      </c>
      <c r="C136" s="658">
        <f>SUMIFS(INVESTIMENTOS!$F$87:$F$111,INVESTIMENTOS!$A$87:$A$111,'RESULTADOS FINANCEIROS'!C$131,INVESTIMENTOS!$L$87:$L$111,'RESULTADOS FINANCEIROS'!$C$8)</f>
        <v>2900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2900</v>
      </c>
    </row>
    <row r="137" spans="1:16" hidden="1" x14ac:dyDescent="0.25">
      <c r="B137" s="657" t="s">
        <v>259</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2900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2900</v>
      </c>
    </row>
    <row r="140" spans="1:16" s="51" customFormat="1" ht="35.25" hidden="1" customHeight="1" thickTop="1" thickBot="1" x14ac:dyDescent="0.3">
      <c r="A140" s="52"/>
      <c r="H140" s="1242"/>
      <c r="I140" s="1242"/>
      <c r="J140" s="1242"/>
      <c r="K140" s="1242"/>
      <c r="L140" s="1242"/>
      <c r="M140" s="1242"/>
      <c r="N140" s="1242"/>
      <c r="O140" s="1242"/>
    </row>
    <row r="141" spans="1:16" s="51" customFormat="1" ht="16.5" hidden="1" thickTop="1" thickBot="1" x14ac:dyDescent="0.3">
      <c r="A141" s="52"/>
      <c r="B141" s="77" t="s">
        <v>239</v>
      </c>
      <c r="C141" s="84"/>
      <c r="E141" s="1232" t="s">
        <v>123</v>
      </c>
      <c r="F141" s="1233"/>
      <c r="G141" s="1236" t="s">
        <v>104</v>
      </c>
      <c r="H141" s="1237"/>
      <c r="I141" s="1240" t="s">
        <v>103</v>
      </c>
      <c r="J141" s="1233"/>
      <c r="K141" s="1240" t="s">
        <v>102</v>
      </c>
      <c r="L141" s="1241"/>
      <c r="M141" s="85"/>
      <c r="N141" s="86"/>
      <c r="O141" s="86"/>
    </row>
    <row r="142" spans="1:16" s="51" customFormat="1" ht="33.75" hidden="1" customHeight="1" thickTop="1" thickBot="1" x14ac:dyDescent="0.3">
      <c r="A142" s="52"/>
      <c r="B142" s="56" t="s">
        <v>129</v>
      </c>
      <c r="C142" s="6" t="s">
        <v>244</v>
      </c>
      <c r="D142" s="14"/>
      <c r="E142" s="7" t="s">
        <v>130</v>
      </c>
      <c r="F142" s="8" t="s">
        <v>131</v>
      </c>
      <c r="G142" s="8" t="s">
        <v>130</v>
      </c>
      <c r="H142" s="8" t="s">
        <v>131</v>
      </c>
      <c r="I142" s="8" t="s">
        <v>130</v>
      </c>
      <c r="J142" s="8" t="s">
        <v>131</v>
      </c>
      <c r="K142" s="8" t="s">
        <v>130</v>
      </c>
      <c r="L142" s="9" t="s">
        <v>131</v>
      </c>
      <c r="M142" s="79" t="s">
        <v>471</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2038.0193733057577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240</v>
      </c>
      <c r="C145" s="54">
        <f>INVESTIMENTOS!J83</f>
        <v>2628.5730612363059</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241</v>
      </c>
      <c r="C146" s="54">
        <f>INVESTIMENTOS!J112</f>
        <v>1358.3761025913136</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242</v>
      </c>
      <c r="C147" s="54">
        <f>INVESTIMENTOS!J141</f>
        <v>1894.3985848959696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7919.3671220293472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173</v>
      </c>
      <c r="C153" s="972" t="s">
        <v>479</v>
      </c>
      <c r="D153" s="973"/>
      <c r="E153" s="973"/>
      <c r="F153" s="973"/>
      <c r="G153" s="973"/>
      <c r="H153" s="973"/>
      <c r="I153" s="973"/>
      <c r="J153" s="973"/>
      <c r="K153" s="973"/>
      <c r="L153" s="973"/>
      <c r="M153" s="973"/>
      <c r="N153" s="973"/>
      <c r="O153" s="973"/>
      <c r="P153" s="671" t="s">
        <v>253</v>
      </c>
      <c r="Q153" s="968"/>
      <c r="R153" s="783"/>
      <c r="S153" s="783"/>
      <c r="T153" s="783"/>
      <c r="U153" s="783"/>
      <c r="V153" s="783"/>
      <c r="W153" s="783"/>
      <c r="X153" s="783"/>
      <c r="Y153" s="783"/>
    </row>
    <row r="154" spans="1:25" hidden="1" x14ac:dyDescent="0.25">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172</v>
      </c>
      <c r="D158" s="681">
        <f>IF(OR(REBANHO!E45=0,REBANHO!E45=""),"",REBANHO!E45)</f>
        <v>137</v>
      </c>
      <c r="E158" s="681">
        <f>IF(OR(REBANHO!F45=0,REBANHO!F45=""),"",REBANHO!F45)</f>
        <v>137</v>
      </c>
      <c r="F158" s="681">
        <f>IF(OR(REBANHO!G45=0,REBANHO!G45=""),"",REBANHO!G45)</f>
        <v>236</v>
      </c>
      <c r="G158" s="681">
        <f>IF(OR(REBANHO!H45=0,REBANHO!H45=""),"",REBANHO!H45)</f>
        <v>124</v>
      </c>
      <c r="H158" s="681">
        <f>IF(OR(REBANHO!I45=0,REBANHO!I45=""),"",REBANHO!I45)</f>
        <v>101</v>
      </c>
      <c r="I158" s="681">
        <f>IF(OR(REBANHO!J45=0,REBANHO!J45=""),"",REBANHO!J45)</f>
        <v>101</v>
      </c>
      <c r="J158" s="681">
        <f>IF(OR(REBANHO!K45=0,REBANHO!K45=""),"",REBANHO!K45)</f>
        <v>174</v>
      </c>
      <c r="K158" s="681">
        <f>IF(OR(REBANHO!L45=0,REBANHO!L45=""),"",REBANHO!L45)</f>
        <v>205</v>
      </c>
      <c r="L158" s="681">
        <f>IF(OR(REBANHO!M45=0,REBANHO!M45=""),"",REBANHO!M45)</f>
        <v>204</v>
      </c>
      <c r="M158" s="681">
        <f>IF(OR(REBANHO!N45=0,REBANHO!N45=""),"",REBANHO!N45)</f>
        <v>204</v>
      </c>
      <c r="N158" s="681" t="str">
        <f>IF(OR(REBANHO!O45=0,REBANHO!O45=""),"",REBANHO!O45)</f>
        <v/>
      </c>
      <c r="O158" s="682" t="str">
        <f>IF(OR(REBANHO!P45=0,REBANHO!P45=""),"",REBANHO!P45)</f>
        <v/>
      </c>
      <c r="P158" s="683">
        <f t="shared" si="32"/>
        <v>162.30000000000001</v>
      </c>
      <c r="Q158" s="970"/>
      <c r="R158" s="783"/>
      <c r="S158" s="783"/>
      <c r="T158" s="783"/>
      <c r="U158" s="783"/>
      <c r="V158" s="783"/>
      <c r="W158" s="783"/>
      <c r="X158" s="783"/>
      <c r="Y158" s="783"/>
    </row>
    <row r="159" spans="1:25" ht="15.75" hidden="1" thickBot="1" x14ac:dyDescent="0.3">
      <c r="A159" s="670"/>
      <c r="B159" s="684" t="s">
        <v>13</v>
      </c>
      <c r="C159" s="685" t="s">
        <v>175</v>
      </c>
      <c r="D159" s="686">
        <f t="shared" ref="D159:O159" si="34">IF(AND(D157="",D158=""),"",SUM(D157:D158))</f>
        <v>137</v>
      </c>
      <c r="E159" s="686">
        <f t="shared" si="34"/>
        <v>137</v>
      </c>
      <c r="F159" s="686">
        <f t="shared" si="34"/>
        <v>236</v>
      </c>
      <c r="G159" s="686">
        <f t="shared" si="34"/>
        <v>124</v>
      </c>
      <c r="H159" s="686">
        <f t="shared" si="34"/>
        <v>101</v>
      </c>
      <c r="I159" s="686">
        <f t="shared" si="34"/>
        <v>101</v>
      </c>
      <c r="J159" s="686">
        <f t="shared" si="34"/>
        <v>174</v>
      </c>
      <c r="K159" s="686">
        <f t="shared" si="34"/>
        <v>205</v>
      </c>
      <c r="L159" s="686">
        <f t="shared" si="34"/>
        <v>204</v>
      </c>
      <c r="M159" s="686">
        <f t="shared" si="34"/>
        <v>204</v>
      </c>
      <c r="N159" s="686" t="str">
        <f t="shared" si="34"/>
        <v/>
      </c>
      <c r="O159" s="687" t="str">
        <f t="shared" si="34"/>
        <v/>
      </c>
      <c r="P159" s="975">
        <f t="shared" si="32"/>
        <v>162.30000000000001</v>
      </c>
      <c r="Q159" s="970"/>
      <c r="R159" s="783"/>
      <c r="S159" s="783"/>
      <c r="T159" s="783"/>
      <c r="U159" s="783"/>
      <c r="V159" s="783"/>
      <c r="W159" s="783"/>
      <c r="X159" s="783"/>
      <c r="Y159" s="783"/>
    </row>
    <row r="160" spans="1:25" hidden="1" x14ac:dyDescent="0.25">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172</v>
      </c>
      <c r="D161" s="681" t="str">
        <f>IF(OR(REBANHO!E50=0,REBANHO!E50=""),"",REBANHO!E50)</f>
        <v/>
      </c>
      <c r="E161" s="681" t="str">
        <f>IF(OR(REBANHO!F50=0,REBANHO!F50=""),"",REBANHO!F50)</f>
        <v/>
      </c>
      <c r="F161" s="681" t="str">
        <f>IF(OR(REBANHO!G50=0,REBANHO!G50=""),"",REBANHO!G50)</f>
        <v/>
      </c>
      <c r="G161" s="681">
        <f>IF(OR(REBANHO!H50=0,REBANHO!H50=""),"",REBANHO!H50)</f>
        <v>111</v>
      </c>
      <c r="H161" s="681">
        <f>IF(OR(REBANHO!I50=0,REBANHO!I50=""),"",REBANHO!I50)</f>
        <v>134</v>
      </c>
      <c r="I161" s="681">
        <f>IF(OR(REBANHO!J50=0,REBANHO!J50=""),"",REBANHO!J50)</f>
        <v>134</v>
      </c>
      <c r="J161" s="681">
        <f>IF(OR(REBANHO!K50=0,REBANHO!K50=""),"",REBANHO!K50)</f>
        <v>23</v>
      </c>
      <c r="K161" s="681">
        <f>IF(OR(REBANHO!L50=0,REBANHO!L50=""),"",REBANHO!L50)</f>
        <v>23</v>
      </c>
      <c r="L161" s="681" t="str">
        <f>IF(OR(REBANHO!M50=0,REBANHO!M50=""),"",REBANHO!M50)</f>
        <v/>
      </c>
      <c r="M161" s="681" t="str">
        <f>IF(OR(REBANHO!N50=0,REBANHO!N50=""),"",REBANHO!N50)</f>
        <v/>
      </c>
      <c r="N161" s="681" t="str">
        <f>IF(OR(REBANHO!O50=0,REBANHO!O50=""),"",REBANHO!O50)</f>
        <v/>
      </c>
      <c r="O161" s="682" t="str">
        <f>IF(OR(REBANHO!P50=0,REBANHO!P50=""),"",REBANHO!P50)</f>
        <v/>
      </c>
      <c r="P161" s="683">
        <f t="shared" si="32"/>
        <v>85</v>
      </c>
      <c r="Q161" s="970"/>
      <c r="R161" s="783"/>
      <c r="S161" s="783"/>
      <c r="T161" s="783"/>
      <c r="U161" s="783"/>
      <c r="V161" s="783"/>
      <c r="W161" s="783"/>
      <c r="X161" s="783"/>
      <c r="Y161" s="783"/>
    </row>
    <row r="162" spans="1:25" ht="15.75" hidden="1" thickBot="1" x14ac:dyDescent="0.3">
      <c r="A162" s="670"/>
      <c r="B162" s="684" t="s">
        <v>14</v>
      </c>
      <c r="C162" s="685" t="s">
        <v>175</v>
      </c>
      <c r="D162" s="686" t="str">
        <f t="shared" ref="D162:O162" si="35">IF(AND(D160="",D161=""),"",SUM(D160:D161))</f>
        <v/>
      </c>
      <c r="E162" s="686" t="str">
        <f t="shared" si="35"/>
        <v/>
      </c>
      <c r="F162" s="686" t="str">
        <f t="shared" si="35"/>
        <v/>
      </c>
      <c r="G162" s="686">
        <f t="shared" si="35"/>
        <v>111</v>
      </c>
      <c r="H162" s="686">
        <f t="shared" si="35"/>
        <v>134</v>
      </c>
      <c r="I162" s="686">
        <f t="shared" si="35"/>
        <v>134</v>
      </c>
      <c r="J162" s="686">
        <f t="shared" si="35"/>
        <v>23</v>
      </c>
      <c r="K162" s="686">
        <f t="shared" si="35"/>
        <v>23</v>
      </c>
      <c r="L162" s="686" t="str">
        <f t="shared" si="35"/>
        <v/>
      </c>
      <c r="M162" s="686" t="str">
        <f t="shared" si="35"/>
        <v/>
      </c>
      <c r="N162" s="686" t="str">
        <f t="shared" si="35"/>
        <v/>
      </c>
      <c r="O162" s="687" t="str">
        <f t="shared" si="35"/>
        <v/>
      </c>
      <c r="P162" s="975">
        <f t="shared" si="32"/>
        <v>85</v>
      </c>
      <c r="Q162" s="970"/>
      <c r="R162" s="783"/>
      <c r="S162" s="783"/>
      <c r="T162" s="783"/>
      <c r="U162" s="783"/>
      <c r="V162" s="783"/>
      <c r="W162" s="783"/>
      <c r="X162" s="783"/>
      <c r="Y162" s="783"/>
    </row>
    <row r="163" spans="1:25" hidden="1" x14ac:dyDescent="0.25">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172</v>
      </c>
      <c r="D164" s="681">
        <f>IF(OR(REBANHO!E55=0,REBANHO!E55=""),"",REBANHO!E55)</f>
        <v>1</v>
      </c>
      <c r="E164" s="681">
        <f>IF(OR(REBANHO!F55=0,REBANHO!F55=""),"",REBANHO!F55)</f>
        <v>1</v>
      </c>
      <c r="F164" s="681">
        <f>IF(OR(REBANHO!G55=0,REBANHO!G55=""),"",REBANHO!G55)</f>
        <v>1</v>
      </c>
      <c r="G164" s="681">
        <f>IF(OR(REBANHO!H55=0,REBANHO!H55=""),"",REBANHO!H55)</f>
        <v>1</v>
      </c>
      <c r="H164" s="681">
        <f>IF(OR(REBANHO!I55=0,REBANHO!I55=""),"",REBANHO!I55)</f>
        <v>1</v>
      </c>
      <c r="I164" s="681">
        <f>IF(OR(REBANHO!J55=0,REBANHO!J55=""),"",REBANHO!J55)</f>
        <v>1</v>
      </c>
      <c r="J164" s="681">
        <f>IF(OR(REBANHO!K55=0,REBANHO!K55=""),"",REBANHO!K55)</f>
        <v>1</v>
      </c>
      <c r="K164" s="681">
        <f>IF(OR(REBANHO!L55=0,REBANHO!L55=""),"",REBANHO!L55)</f>
        <v>1</v>
      </c>
      <c r="L164" s="681">
        <f>IF(OR(REBANHO!M55=0,REBANHO!M55=""),"",REBANHO!M55)</f>
        <v>1</v>
      </c>
      <c r="M164" s="681">
        <f>IF(OR(REBANHO!N55=0,REBANHO!N55=""),"",REBANHO!N55)</f>
        <v>1</v>
      </c>
      <c r="N164" s="681" t="str">
        <f>IF(OR(REBANHO!O55=0,REBANHO!O55=""),"",REBANHO!O55)</f>
        <v/>
      </c>
      <c r="O164" s="682" t="str">
        <f>IF(OR(REBANHO!P55=0,REBANHO!P55=""),"",REBANHO!P55)</f>
        <v/>
      </c>
      <c r="P164" s="683">
        <f t="shared" si="32"/>
        <v>1</v>
      </c>
      <c r="Q164" s="970"/>
      <c r="R164" s="783"/>
      <c r="S164" s="783"/>
      <c r="T164" s="783"/>
      <c r="U164" s="783"/>
      <c r="V164" s="783"/>
      <c r="W164" s="783"/>
      <c r="X164" s="783"/>
      <c r="Y164" s="783"/>
    </row>
    <row r="165" spans="1:25" ht="15.75" hidden="1" thickBot="1" x14ac:dyDescent="0.3">
      <c r="A165" s="670"/>
      <c r="B165" s="689" t="s">
        <v>237</v>
      </c>
      <c r="C165" s="690" t="s">
        <v>175</v>
      </c>
      <c r="D165" s="691">
        <f t="shared" ref="D165:O165" si="36">IF(AND(D163="",D164=""),"",SUM(D163:D164))</f>
        <v>1</v>
      </c>
      <c r="E165" s="691">
        <f t="shared" si="36"/>
        <v>1</v>
      </c>
      <c r="F165" s="691">
        <f t="shared" si="36"/>
        <v>1</v>
      </c>
      <c r="G165" s="691">
        <f t="shared" si="36"/>
        <v>1</v>
      </c>
      <c r="H165" s="691">
        <f t="shared" si="36"/>
        <v>1</v>
      </c>
      <c r="I165" s="691">
        <f t="shared" si="36"/>
        <v>1</v>
      </c>
      <c r="J165" s="691">
        <f t="shared" si="36"/>
        <v>1</v>
      </c>
      <c r="K165" s="691">
        <f t="shared" si="36"/>
        <v>1</v>
      </c>
      <c r="L165" s="691">
        <f t="shared" si="36"/>
        <v>1</v>
      </c>
      <c r="M165" s="691">
        <f t="shared" si="36"/>
        <v>1</v>
      </c>
      <c r="N165" s="691" t="str">
        <f t="shared" si="36"/>
        <v/>
      </c>
      <c r="O165" s="692" t="str">
        <f t="shared" si="36"/>
        <v/>
      </c>
      <c r="P165" s="976">
        <f t="shared" si="32"/>
        <v>1</v>
      </c>
      <c r="Q165" s="970"/>
      <c r="R165" s="783"/>
      <c r="S165" s="783"/>
      <c r="T165" s="783"/>
      <c r="U165" s="783"/>
      <c r="V165" s="783"/>
      <c r="W165" s="783"/>
      <c r="X165" s="783"/>
      <c r="Y165" s="783"/>
    </row>
    <row r="166" spans="1:25" ht="15.75" hidden="1" thickBot="1" x14ac:dyDescent="0.3">
      <c r="A166" s="670"/>
      <c r="B166" s="694" t="s">
        <v>248</v>
      </c>
      <c r="C166" s="695"/>
      <c r="D166" s="696">
        <f t="shared" ref="D166:O166" si="37">SUM(D156,D159,D162,D165)</f>
        <v>138</v>
      </c>
      <c r="E166" s="696">
        <f t="shared" si="37"/>
        <v>138</v>
      </c>
      <c r="F166" s="696">
        <f t="shared" si="37"/>
        <v>237</v>
      </c>
      <c r="G166" s="696">
        <f t="shared" si="37"/>
        <v>236</v>
      </c>
      <c r="H166" s="696">
        <f t="shared" si="37"/>
        <v>236</v>
      </c>
      <c r="I166" s="696">
        <f t="shared" si="37"/>
        <v>236</v>
      </c>
      <c r="J166" s="696">
        <f t="shared" si="37"/>
        <v>198</v>
      </c>
      <c r="K166" s="696">
        <f t="shared" si="37"/>
        <v>229</v>
      </c>
      <c r="L166" s="696">
        <f t="shared" si="37"/>
        <v>205</v>
      </c>
      <c r="M166" s="696">
        <f t="shared" si="37"/>
        <v>205</v>
      </c>
      <c r="N166" s="696">
        <f t="shared" si="37"/>
        <v>0</v>
      </c>
      <c r="O166" s="697">
        <f t="shared" si="37"/>
        <v>0</v>
      </c>
      <c r="P166" s="698">
        <f t="shared" si="32"/>
        <v>171.5</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173</v>
      </c>
      <c r="C169" s="972" t="s">
        <v>464</v>
      </c>
      <c r="D169" s="973"/>
      <c r="E169" s="973"/>
      <c r="F169" s="973"/>
      <c r="G169" s="973"/>
      <c r="H169" s="973"/>
      <c r="I169" s="973"/>
      <c r="J169" s="973"/>
      <c r="K169" s="973"/>
      <c r="L169" s="973"/>
      <c r="M169" s="973"/>
      <c r="N169" s="973"/>
      <c r="O169" s="973"/>
      <c r="P169" s="671" t="s">
        <v>253</v>
      </c>
      <c r="Q169" s="678"/>
      <c r="R169" s="783"/>
      <c r="S169" s="783"/>
      <c r="T169" s="783"/>
      <c r="U169" s="783"/>
      <c r="V169" s="783"/>
      <c r="W169" s="783"/>
      <c r="X169" s="783"/>
      <c r="Y169" s="783"/>
    </row>
    <row r="170" spans="1:25" hidden="1" x14ac:dyDescent="0.25">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172</v>
      </c>
      <c r="D174" s="746">
        <f>IF(OR(REBANHO!E45=0,REBANHO!E45=""),"",(REBANHO!E45*REBANHO!E45)/14.689)</f>
        <v>1277.758867179522</v>
      </c>
      <c r="E174" s="746">
        <f>IF(OR(REBANHO!F45=0,REBANHO!F45=""),"",(REBANHO!F45*REBANHO!F45)/14.689)</f>
        <v>1277.758867179522</v>
      </c>
      <c r="F174" s="746">
        <f>IF(OR(REBANHO!G45=0,REBANHO!G45=""),"",(REBANHO!G45*REBANHO!G45)/14.689)</f>
        <v>3791.6808496153585</v>
      </c>
      <c r="G174" s="746">
        <f>IF(OR(REBANHO!H45=0,REBANHO!H45=""),"",(REBANHO!H45*REBANHO!H45)/14.689)</f>
        <v>1046.7696916059635</v>
      </c>
      <c r="H174" s="746">
        <f>IF(OR(REBANHO!I45=0,REBANHO!I45=""),"",(REBANHO!I45*REBANHO!I45)/14.689)</f>
        <v>694.46524610252573</v>
      </c>
      <c r="I174" s="746">
        <f>IF(OR(REBANHO!J45=0,REBANHO!J45=""),"",(REBANHO!J45*REBANHO!J45)/14.689)</f>
        <v>694.46524610252573</v>
      </c>
      <c r="J174" s="746">
        <f>IF(OR(REBANHO!K45=0,REBANHO!K45=""),"",(REBANHO!K45*REBANHO!K45)/14.689)</f>
        <v>2061.134182040983</v>
      </c>
      <c r="K174" s="746">
        <f>IF(OR(REBANHO!L45=0,REBANHO!L45=""),"",(REBANHO!L45*REBANHO!L45)/14.689)</f>
        <v>2860.9844101027979</v>
      </c>
      <c r="L174" s="746">
        <f>IF(OR(REBANHO!M45=0,REBANHO!M45=""),"",(REBANHO!M45*REBANHO!M45)/14.689)</f>
        <v>2833.1404452311253</v>
      </c>
      <c r="M174" s="746">
        <f>IF(OR(REBANHO!N45=0,REBANHO!N45=""),"",(REBANHO!N45*REBANHO!N45)/14.689)</f>
        <v>2833.1404452311253</v>
      </c>
      <c r="N174" s="746" t="str">
        <f>IF(OR(REBANHO!O45=0,REBANHO!O45=""),"",(REBANHO!O45*REBANHO!O45)/14.689)</f>
        <v/>
      </c>
      <c r="O174" s="746" t="str">
        <f>IF(OR(REBANHO!P45=0,REBANHO!P45=""),"",(REBANHO!P45*REBANHO!P45)/14.689)</f>
        <v/>
      </c>
      <c r="P174" s="997">
        <f t="shared" si="38"/>
        <v>1937.1298250391446</v>
      </c>
      <c r="Q174" s="678"/>
      <c r="R174" s="783"/>
      <c r="S174" s="783"/>
      <c r="T174" s="783"/>
      <c r="U174" s="783"/>
      <c r="V174" s="783"/>
      <c r="W174" s="783"/>
      <c r="X174" s="783"/>
      <c r="Y174" s="783"/>
    </row>
    <row r="175" spans="1:25" ht="15.75" hidden="1" thickBot="1" x14ac:dyDescent="0.3">
      <c r="A175" s="670"/>
      <c r="B175" s="989" t="s">
        <v>13</v>
      </c>
      <c r="C175" s="990" t="s">
        <v>175</v>
      </c>
      <c r="D175" s="991">
        <f t="shared" ref="D175:O175" si="40">IF(AND(D173="",D174=""),"",SUM(D173:D174))</f>
        <v>1277.758867179522</v>
      </c>
      <c r="E175" s="991">
        <f t="shared" si="40"/>
        <v>1277.758867179522</v>
      </c>
      <c r="F175" s="991">
        <f t="shared" si="40"/>
        <v>3791.6808496153585</v>
      </c>
      <c r="G175" s="991">
        <f t="shared" si="40"/>
        <v>1046.7696916059635</v>
      </c>
      <c r="H175" s="991">
        <f t="shared" si="40"/>
        <v>694.46524610252573</v>
      </c>
      <c r="I175" s="991">
        <f t="shared" si="40"/>
        <v>694.46524610252573</v>
      </c>
      <c r="J175" s="991">
        <f t="shared" si="40"/>
        <v>2061.134182040983</v>
      </c>
      <c r="K175" s="991">
        <f t="shared" si="40"/>
        <v>2860.9844101027979</v>
      </c>
      <c r="L175" s="991">
        <f t="shared" si="40"/>
        <v>2833.1404452311253</v>
      </c>
      <c r="M175" s="991">
        <f t="shared" si="40"/>
        <v>2833.1404452311253</v>
      </c>
      <c r="N175" s="991" t="str">
        <f t="shared" si="40"/>
        <v/>
      </c>
      <c r="O175" s="991" t="str">
        <f t="shared" si="40"/>
        <v/>
      </c>
      <c r="P175" s="998">
        <f t="shared" si="38"/>
        <v>1937.1298250391446</v>
      </c>
      <c r="Q175" s="678"/>
      <c r="R175" s="783"/>
      <c r="S175" s="783"/>
      <c r="T175" s="783"/>
      <c r="U175" s="783"/>
      <c r="V175" s="783"/>
      <c r="W175" s="783"/>
      <c r="X175" s="783"/>
      <c r="Y175" s="783"/>
    </row>
    <row r="176" spans="1:25" hidden="1" x14ac:dyDescent="0.25">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f>IF(OR(REBANHO!H50=0,REBANHO!H50=""),"",(REBANHO!H50*REBANHO!H51)/14.689)</f>
        <v>3408.0604534005038</v>
      </c>
      <c r="H177" s="746">
        <f>IF(OR(REBANHO!I50=0,REBANHO!I50=""),"",(REBANHO!I50*REBANHO!I51)/14.689)</f>
        <v>4114.2351419429506</v>
      </c>
      <c r="I177" s="746">
        <f>IF(OR(REBANHO!J50=0,REBANHO!J50=""),"",(REBANHO!J50*REBANHO!J51)/14.689)</f>
        <v>4114.2351419429506</v>
      </c>
      <c r="J177" s="746">
        <f>IF(OR(REBANHO!K50=0,REBANHO!K50=""),"",(REBANHO!K50*REBANHO!K51)/14.689)</f>
        <v>706.17468854244669</v>
      </c>
      <c r="K177" s="746">
        <f>IF(OR(REBANHO!L50=0,REBANHO!L50=""),"",(REBANHO!L50*REBANHO!L51)/14.689)</f>
        <v>706.17468854244669</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2609.77602287426</v>
      </c>
      <c r="Q177" s="678"/>
      <c r="R177" s="783"/>
      <c r="S177" s="783"/>
      <c r="T177" s="783"/>
      <c r="U177" s="783"/>
      <c r="V177" s="783"/>
      <c r="W177" s="783"/>
      <c r="X177" s="783"/>
      <c r="Y177" s="783"/>
    </row>
    <row r="178" spans="1:26" ht="15.75" hidden="1" thickBot="1" x14ac:dyDescent="0.3">
      <c r="A178" s="670"/>
      <c r="B178" s="989" t="s">
        <v>14</v>
      </c>
      <c r="C178" s="990" t="s">
        <v>175</v>
      </c>
      <c r="D178" s="991" t="str">
        <f t="shared" ref="D178:O178" si="41">IF(AND(D176="",D177=""),"",SUM(D176:D177))</f>
        <v/>
      </c>
      <c r="E178" s="991" t="str">
        <f t="shared" si="41"/>
        <v/>
      </c>
      <c r="F178" s="991" t="str">
        <f t="shared" si="41"/>
        <v/>
      </c>
      <c r="G178" s="991">
        <f t="shared" si="41"/>
        <v>3408.0604534005038</v>
      </c>
      <c r="H178" s="991">
        <f t="shared" si="41"/>
        <v>4114.2351419429506</v>
      </c>
      <c r="I178" s="991">
        <f t="shared" si="41"/>
        <v>4114.2351419429506</v>
      </c>
      <c r="J178" s="991">
        <f t="shared" si="41"/>
        <v>706.17468854244669</v>
      </c>
      <c r="K178" s="991">
        <f t="shared" si="41"/>
        <v>706.17468854244669</v>
      </c>
      <c r="L178" s="991" t="str">
        <f t="shared" si="41"/>
        <v/>
      </c>
      <c r="M178" s="991" t="str">
        <f t="shared" si="41"/>
        <v/>
      </c>
      <c r="N178" s="991" t="str">
        <f t="shared" si="41"/>
        <v/>
      </c>
      <c r="O178" s="991" t="str">
        <f t="shared" si="41"/>
        <v/>
      </c>
      <c r="P178" s="998">
        <f t="shared" si="38"/>
        <v>2609.77602287426</v>
      </c>
      <c r="Q178" s="678"/>
      <c r="R178" s="783"/>
      <c r="S178" s="783"/>
      <c r="T178" s="783"/>
      <c r="U178" s="783"/>
      <c r="V178" s="783"/>
      <c r="W178" s="783"/>
      <c r="X178" s="783"/>
      <c r="Y178" s="783"/>
    </row>
    <row r="179" spans="1:26" hidden="1" x14ac:dyDescent="0.25">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172</v>
      </c>
      <c r="D180" s="746">
        <f>IF(OR(REBANHO!E55=0,REBANHO!E55=""),"",(REBANHO!E55*REBANHO!E56)/14.689)</f>
        <v>40.846892232282663</v>
      </c>
      <c r="E180" s="746">
        <f>IF(OR(REBANHO!F55=0,REBANHO!F55=""),"",(REBANHO!F55*REBANHO!F56)/14.689)</f>
        <v>40.846892232282663</v>
      </c>
      <c r="F180" s="746">
        <f>IF(OR(REBANHO!G55=0,REBANHO!G55=""),"",(REBANHO!G55*REBANHO!G56)/14.689)</f>
        <v>40.846892232282663</v>
      </c>
      <c r="G180" s="746">
        <f>IF(OR(REBANHO!H55=0,REBANHO!H55=""),"",(REBANHO!H55*REBANHO!H56)/14.689)</f>
        <v>40.846892232282663</v>
      </c>
      <c r="H180" s="746">
        <f>IF(OR(REBANHO!I55=0,REBANHO!I55=""),"",(REBANHO!I55*REBANHO!I56)/14.689)</f>
        <v>40.846892232282663</v>
      </c>
      <c r="I180" s="746">
        <f>IF(OR(REBANHO!J55=0,REBANHO!J55=""),"",(REBANHO!J55*REBANHO!J56)/14.689)</f>
        <v>40.846892232282663</v>
      </c>
      <c r="J180" s="746">
        <f>IF(OR(REBANHO!K55=0,REBANHO!K55=""),"",(REBANHO!K55*REBANHO!K56)/14.689)</f>
        <v>41.255361154605488</v>
      </c>
      <c r="K180" s="746">
        <f>IF(OR(REBANHO!L55=0,REBANHO!L55=""),"",(REBANHO!L55*REBANHO!L56)/14.689)</f>
        <v>41.255361154605488</v>
      </c>
      <c r="L180" s="746">
        <f>IF(OR(REBANHO!M55=0,REBANHO!M55=""),"",(REBANHO!M55*REBANHO!M56)/14.689)</f>
        <v>37.442984546259105</v>
      </c>
      <c r="M180" s="746">
        <f>IF(OR(REBANHO!N55=0,REBANHO!N55=""),"",(REBANHO!N55*REBANHO!N56)/14.689)</f>
        <v>37.442984546259105</v>
      </c>
      <c r="N180" s="746" t="str">
        <f>IF(OR(REBANHO!O55=0,REBANHO!O55=""),"",(REBANHO!O55*REBANHO!O56)/14.689)</f>
        <v/>
      </c>
      <c r="O180" s="746" t="str">
        <f>IF(OR(REBANHO!P55=0,REBANHO!P55=""),"",(REBANHO!P55*REBANHO!P56)/14.689)</f>
        <v/>
      </c>
      <c r="P180" s="997">
        <f t="shared" si="38"/>
        <v>40.247804479542516</v>
      </c>
      <c r="Q180" s="678"/>
      <c r="R180" s="783"/>
      <c r="S180" s="783"/>
      <c r="T180" s="783"/>
      <c r="U180" s="783"/>
      <c r="V180" s="783"/>
      <c r="W180" s="783"/>
      <c r="X180" s="783"/>
      <c r="Y180" s="783"/>
    </row>
    <row r="181" spans="1:26" ht="15.75" hidden="1" thickBot="1" x14ac:dyDescent="0.3">
      <c r="A181" s="670"/>
      <c r="B181" s="992" t="s">
        <v>237</v>
      </c>
      <c r="C181" s="993" t="s">
        <v>175</v>
      </c>
      <c r="D181" s="991">
        <f>IF(AND(D179="",D180=""),"",SUM(D179:D180))</f>
        <v>40.846892232282663</v>
      </c>
      <c r="E181" s="991">
        <f t="shared" ref="E181:O181" si="42">IF(AND(E179="",E180=""),"",SUM(E179:E180))</f>
        <v>40.846892232282663</v>
      </c>
      <c r="F181" s="991">
        <f t="shared" si="42"/>
        <v>40.846892232282663</v>
      </c>
      <c r="G181" s="991">
        <f t="shared" si="42"/>
        <v>40.846892232282663</v>
      </c>
      <c r="H181" s="991">
        <f t="shared" si="42"/>
        <v>40.846892232282663</v>
      </c>
      <c r="I181" s="991">
        <f t="shared" si="42"/>
        <v>40.846892232282663</v>
      </c>
      <c r="J181" s="991">
        <f t="shared" si="42"/>
        <v>41.255361154605488</v>
      </c>
      <c r="K181" s="991">
        <f t="shared" si="42"/>
        <v>41.255361154605488</v>
      </c>
      <c r="L181" s="991">
        <f t="shared" si="42"/>
        <v>37.442984546259105</v>
      </c>
      <c r="M181" s="991">
        <f t="shared" si="42"/>
        <v>37.442984546259105</v>
      </c>
      <c r="N181" s="991" t="str">
        <f t="shared" si="42"/>
        <v/>
      </c>
      <c r="O181" s="991" t="str">
        <f t="shared" si="42"/>
        <v/>
      </c>
      <c r="P181" s="999">
        <f t="shared" si="38"/>
        <v>40.247804479542516</v>
      </c>
      <c r="Q181" s="678"/>
      <c r="R181" s="783"/>
      <c r="S181" s="783"/>
      <c r="T181" s="783"/>
      <c r="U181" s="783"/>
      <c r="V181" s="783"/>
      <c r="W181" s="783"/>
      <c r="X181" s="783"/>
      <c r="Y181" s="783"/>
    </row>
    <row r="182" spans="1:26" ht="15.75" hidden="1" thickBot="1" x14ac:dyDescent="0.3">
      <c r="A182" s="670"/>
      <c r="B182" s="994" t="s">
        <v>248</v>
      </c>
      <c r="C182" s="995"/>
      <c r="D182" s="991">
        <f>SUM(D172,D175,D178,D181)</f>
        <v>1318.6057594118047</v>
      </c>
      <c r="E182" s="991">
        <f t="shared" ref="E182:O182" si="43">SUM(E172,E175,E178,E181)</f>
        <v>1318.6057594118047</v>
      </c>
      <c r="F182" s="991">
        <f t="shared" si="43"/>
        <v>3832.5277418476412</v>
      </c>
      <c r="G182" s="991">
        <f t="shared" si="43"/>
        <v>4495.67703723875</v>
      </c>
      <c r="H182" s="991">
        <f t="shared" si="43"/>
        <v>4849.5472802777585</v>
      </c>
      <c r="I182" s="991">
        <f t="shared" si="43"/>
        <v>4849.5472802777585</v>
      </c>
      <c r="J182" s="991">
        <f t="shared" si="43"/>
        <v>2808.5642317380352</v>
      </c>
      <c r="K182" s="991">
        <f t="shared" si="43"/>
        <v>3608.4144597998502</v>
      </c>
      <c r="L182" s="991">
        <f t="shared" si="43"/>
        <v>2870.5834297773845</v>
      </c>
      <c r="M182" s="991">
        <f t="shared" si="43"/>
        <v>2870.5834297773845</v>
      </c>
      <c r="N182" s="991">
        <f t="shared" si="43"/>
        <v>0</v>
      </c>
      <c r="O182" s="991">
        <f t="shared" si="43"/>
        <v>0</v>
      </c>
      <c r="P182" s="1000">
        <f t="shared" si="38"/>
        <v>2735.2213674631807</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170</v>
      </c>
      <c r="C188" s="942" t="s">
        <v>472</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1</v>
      </c>
      <c r="D190" s="228">
        <f>ENTRADAS!D12</f>
        <v>0</v>
      </c>
      <c r="E190" s="228">
        <f>ENTRADAS!E12</f>
        <v>0</v>
      </c>
      <c r="F190" s="228">
        <f>ENTRADAS!F12</f>
        <v>0</v>
      </c>
      <c r="G190" s="228">
        <f>ENTRADAS!G12</f>
        <v>1</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1</v>
      </c>
      <c r="Q190" s="706"/>
      <c r="R190" s="783"/>
      <c r="S190" s="783"/>
      <c r="T190" s="783"/>
      <c r="U190" s="783"/>
      <c r="V190" s="783"/>
      <c r="W190" s="783"/>
      <c r="X190" s="783"/>
      <c r="Y190" s="783"/>
      <c r="Z190" s="783"/>
    </row>
    <row r="191" spans="1:26" hidden="1" x14ac:dyDescent="0.25">
      <c r="A191" s="670"/>
      <c r="B191" s="224" t="s">
        <v>14</v>
      </c>
      <c r="C191" s="653">
        <f>P191+P197+P204</f>
        <v>134</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135</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0</v>
      </c>
      <c r="E197" s="228">
        <f>ENTRADAS!E31</f>
        <v>0</v>
      </c>
      <c r="F197" s="228">
        <f>ENTRADAS!F31</f>
        <v>0</v>
      </c>
      <c r="G197" s="228">
        <f>ENTRADAS!G31</f>
        <v>0</v>
      </c>
      <c r="H197" s="228">
        <f>ENTRADAS!H31</f>
        <v>0</v>
      </c>
      <c r="I197" s="228">
        <f>ENTRADAS!I31</f>
        <v>0</v>
      </c>
      <c r="J197" s="228">
        <f>ENTRADAS!J31</f>
        <v>111</v>
      </c>
      <c r="K197" s="228">
        <f>ENTRADAS!K31</f>
        <v>0</v>
      </c>
      <c r="L197" s="228">
        <f>ENTRADAS!L31</f>
        <v>23</v>
      </c>
      <c r="M197" s="228">
        <f>ENTRADAS!M31</f>
        <v>0</v>
      </c>
      <c r="N197" s="228">
        <f>ENTRADAS!N31</f>
        <v>0</v>
      </c>
      <c r="O197" s="228">
        <f>ENTRADAS!O31</f>
        <v>0</v>
      </c>
      <c r="P197" s="228">
        <f>SUM(D197:O197)</f>
        <v>134</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170</v>
      </c>
      <c r="C208" s="977" t="s">
        <v>475</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31.179794403975762</v>
      </c>
      <c r="D210" s="300">
        <f>(ENTRADAS!D12*ENTRADAS!D13)/14.689</f>
        <v>0</v>
      </c>
      <c r="E210" s="300">
        <f>(ENTRADAS!E12*ENTRADAS!E13)/14.689</f>
        <v>0</v>
      </c>
      <c r="F210" s="300">
        <f>(ENTRADAS!F12*ENTRADAS!F13)/14.689</f>
        <v>0</v>
      </c>
      <c r="G210" s="300">
        <f>(ENTRADAS!G12*ENTRADAS!G13)/14.689</f>
        <v>31.179794403975762</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31.179794403975762</v>
      </c>
      <c r="Q210" s="706"/>
      <c r="R210" s="783"/>
      <c r="S210" s="783"/>
      <c r="T210" s="783"/>
      <c r="U210" s="783"/>
      <c r="V210" s="783"/>
      <c r="W210" s="783"/>
      <c r="X210" s="783"/>
      <c r="Y210" s="783"/>
      <c r="Z210" s="783"/>
    </row>
    <row r="211" spans="1:26" hidden="1" x14ac:dyDescent="0.25">
      <c r="A211" s="670"/>
      <c r="B211" s="224" t="s">
        <v>14</v>
      </c>
      <c r="C211" s="300">
        <f>P211+P217</f>
        <v>5231.1934100347198</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5262.3732044386952</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4435.7682619647358</v>
      </c>
      <c r="K217" s="300">
        <f>(ENTRADAS!K31*ENTRADAS!K32)/14.689</f>
        <v>0</v>
      </c>
      <c r="L217" s="300">
        <f>(ENTRADAS!L31*ENTRADAS!L32)/14.689</f>
        <v>795.42514806998429</v>
      </c>
      <c r="M217" s="300">
        <f>(ENTRADAS!M31*ENTRADAS!M32)/14.689</f>
        <v>0</v>
      </c>
      <c r="N217" s="300">
        <f>(ENTRADAS!N31*ENTRADAS!N32)/14.689</f>
        <v>0</v>
      </c>
      <c r="O217" s="300">
        <f>(ENTRADAS!O31*ENTRADAS!O32)/14.689</f>
        <v>0</v>
      </c>
      <c r="P217" s="300">
        <f>SUM(D217:O217)</f>
        <v>5231.1934100347198</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3000</v>
      </c>
      <c r="D231" s="300">
        <f>ENTRADAS!D15</f>
        <v>0</v>
      </c>
      <c r="E231" s="300">
        <f>ENTRADAS!E15</f>
        <v>0</v>
      </c>
      <c r="F231" s="300">
        <f>ENTRADAS!F15</f>
        <v>0</v>
      </c>
      <c r="G231" s="300">
        <f>ENTRADAS!G15</f>
        <v>3000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3000</v>
      </c>
      <c r="Q231" s="706"/>
      <c r="R231" s="783"/>
      <c r="S231" s="783"/>
      <c r="T231" s="783"/>
      <c r="U231" s="783"/>
      <c r="V231" s="783"/>
      <c r="W231" s="783"/>
      <c r="X231" s="783"/>
      <c r="Y231" s="783"/>
      <c r="Z231" s="783"/>
    </row>
    <row r="232" spans="1:26" hidden="1" x14ac:dyDescent="0.25">
      <c r="A232" s="670"/>
      <c r="B232" s="224" t="s">
        <v>14</v>
      </c>
      <c r="C232" s="300">
        <f>P232+P238+P245</f>
        <v>422542.27</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425542.27</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0</v>
      </c>
      <c r="E238" s="300">
        <f>ENTRADAS!E34</f>
        <v>0</v>
      </c>
      <c r="F238" s="300">
        <f>ENTRADAS!F34</f>
        <v>0</v>
      </c>
      <c r="G238" s="300">
        <f>ENTRADAS!G34</f>
        <v>0</v>
      </c>
      <c r="H238" s="300">
        <f>ENTRADAS!H34</f>
        <v>0</v>
      </c>
      <c r="I238" s="300">
        <f>ENTRADAS!I34</f>
        <v>0</v>
      </c>
      <c r="J238" s="300">
        <f>ENTRADAS!J34</f>
        <v>359730.8</v>
      </c>
      <c r="K238" s="300">
        <f>ENTRADAS!K34</f>
        <v>0</v>
      </c>
      <c r="L238" s="300">
        <f>ENTRADAS!L34</f>
        <v>62811.47</v>
      </c>
      <c r="M238" s="300">
        <f>ENTRADAS!M34</f>
        <v>0</v>
      </c>
      <c r="N238" s="300">
        <f>ENTRADAS!N34</f>
        <v>0</v>
      </c>
      <c r="O238" s="300">
        <f>ENTRADAS!O34</f>
        <v>0</v>
      </c>
      <c r="P238" s="300">
        <f>SUM(D238:O238)</f>
        <v>422542.27</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193</v>
      </c>
      <c r="C250" s="709" t="s">
        <v>474</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x14ac:dyDescent="0.25">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196</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24.193548387096776</v>
      </c>
      <c r="H255" s="713">
        <f>IF(OR(REBANHO!I47=0,REBANHO!I47=""),"",SUM(H231,H244)/REBANHO!I47)</f>
        <v>0</v>
      </c>
      <c r="I255" s="713">
        <f>IF(OR(REBANHO!J47=0,REBANHO!J47=""),"",SUM(I231,I244)/REBANHO!J47)</f>
        <v>0</v>
      </c>
      <c r="J255" s="713">
        <f>IF(OR(REBANHO!K47=0,REBANHO!K47=""),"",SUM(J231,J244)/REBANHO!K47)</f>
        <v>0</v>
      </c>
      <c r="K255" s="713">
        <f>IF(OR(REBANHO!L47=0,REBANHO!L47=""),"",SUM(K231,K244)/REBANHO!L47)</f>
        <v>0</v>
      </c>
      <c r="L255" s="713">
        <f>IF(OR(REBANHO!M47=0,REBANHO!M47=""),"",SUM(L231,L244)/REBANHO!M47)</f>
        <v>0</v>
      </c>
      <c r="M255" s="713">
        <f>IF(OR(REBANHO!N47=0,REBANHO!N47=""),"",SUM(M231,M244)/REBANHO!N47)</f>
        <v>0</v>
      </c>
      <c r="N255" s="713" t="str">
        <f>IF(OR(REBANHO!O47=0,REBANHO!O47=""),"",SUM(N231,N244)/REBANHO!O47)</f>
        <v/>
      </c>
      <c r="O255" s="713" t="str">
        <f>IF(OR(REBANHO!P47=0,REBANHO!P47=""),"",SUM(O231,O244)/REBANHO!P47)</f>
        <v/>
      </c>
      <c r="P255" s="714"/>
      <c r="Q255" s="706"/>
    </row>
    <row r="256" spans="1:26" ht="16.5" hidden="1" customHeight="1" x14ac:dyDescent="0.25">
      <c r="A256" s="670"/>
      <c r="B256" s="715" t="s">
        <v>198</v>
      </c>
      <c r="C256" s="716"/>
      <c r="D256" s="717" t="str">
        <f t="shared" ref="D256:O256" si="47">IF(OR(D190="",D190=0),"",D231/D190)</f>
        <v/>
      </c>
      <c r="E256" s="717" t="str">
        <f t="shared" si="47"/>
        <v/>
      </c>
      <c r="F256" s="717" t="str">
        <f t="shared" si="47"/>
        <v/>
      </c>
      <c r="G256" s="717">
        <f t="shared" si="47"/>
        <v>3000</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209</v>
      </c>
      <c r="C258" s="720"/>
      <c r="D258" s="721" t="str">
        <f t="shared" ref="D258:O258" si="49">IF(D190+D203=0,"",(D231+D244)/(D190+D203))</f>
        <v/>
      </c>
      <c r="E258" s="721" t="str">
        <f t="shared" si="49"/>
        <v/>
      </c>
      <c r="F258" s="721" t="str">
        <f t="shared" si="49"/>
        <v/>
      </c>
      <c r="G258" s="721">
        <f t="shared" si="49"/>
        <v>3000</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f>IF(OR(REBANHO!H52=0,REBANHO!H52=""),"",SUM(G232,G238,G245)/REBANHO!H52)</f>
        <v>0</v>
      </c>
      <c r="H259" s="713">
        <f>IF(OR(REBANHO!I52=0,REBANHO!I52=""),"",SUM(H232,H238,H245)/REBANHO!I52)</f>
        <v>0</v>
      </c>
      <c r="I259" s="713">
        <f>IF(OR(REBANHO!J52=0,REBANHO!J52=""),"",SUM(I232,I238,I245)/REBANHO!J52)</f>
        <v>0</v>
      </c>
      <c r="J259" s="713">
        <f>IF(OR(REBANHO!K52=0,REBANHO!K52=""),"",SUM(J232,J238,J245)/REBANHO!K52)</f>
        <v>15640.46956521739</v>
      </c>
      <c r="K259" s="713">
        <f>IF(OR(REBANHO!L52=0,REBANHO!L52=""),"",SUM(K232,K238,K245)/REBANHO!L52)</f>
        <v>0</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f t="shared" si="51"/>
        <v>3240.8180180180179</v>
      </c>
      <c r="K261" s="721" t="str">
        <f t="shared" si="51"/>
        <v/>
      </c>
      <c r="L261" s="721">
        <f t="shared" si="51"/>
        <v>2730.9334782608698</v>
      </c>
      <c r="M261" s="721" t="str">
        <f t="shared" si="51"/>
        <v/>
      </c>
      <c r="N261" s="721" t="str">
        <f t="shared" si="51"/>
        <v/>
      </c>
      <c r="O261" s="721" t="str">
        <f t="shared" si="51"/>
        <v/>
      </c>
      <c r="P261" s="718"/>
      <c r="Q261" s="706"/>
    </row>
    <row r="262" spans="1:17" hidden="1" x14ac:dyDescent="0.25">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f t="shared" si="53"/>
        <v>3240.8180180180179</v>
      </c>
      <c r="K263" s="721" t="str">
        <f t="shared" si="53"/>
        <v/>
      </c>
      <c r="L263" s="721">
        <f t="shared" si="53"/>
        <v>2730.9334782608698</v>
      </c>
      <c r="M263" s="721" t="str">
        <f t="shared" si="53"/>
        <v/>
      </c>
      <c r="N263" s="721" t="str">
        <f t="shared" si="53"/>
        <v/>
      </c>
      <c r="O263" s="721" t="str">
        <f t="shared" si="53"/>
        <v/>
      </c>
      <c r="P263" s="718"/>
      <c r="Q263" s="706"/>
    </row>
    <row r="264" spans="1:17" hidden="1" x14ac:dyDescent="0.25">
      <c r="A264" s="670"/>
      <c r="B264" s="711" t="s">
        <v>210</v>
      </c>
      <c r="C264" s="712"/>
      <c r="D264" s="713">
        <f>IF(OR(REBANHO!E57=0,REBANHO!E57=""),"",SUM(D233,D234,D239,D240,D246)/REBANHO!E57)</f>
        <v>0</v>
      </c>
      <c r="E264" s="713">
        <f>IF(OR(REBANHO!F57=0,REBANHO!F57=""),"",SUM(E233,E234,E239,E240,E246)/REBANHO!F57)</f>
        <v>0</v>
      </c>
      <c r="F264" s="713">
        <f>IF(OR(REBANHO!G57=0,REBANHO!G57=""),"",SUM(F233,F234,F239,F240,F246)/REBANHO!G57)</f>
        <v>0</v>
      </c>
      <c r="G264" s="713">
        <f>IF(OR(REBANHO!H57=0,REBANHO!H57=""),"",SUM(G233,G234,G239,G240,G246)/REBANHO!H57)</f>
        <v>0</v>
      </c>
      <c r="H264" s="713">
        <f>IF(OR(REBANHO!I57=0,REBANHO!I57=""),"",SUM(H233,H234,H239,H240,H246)/REBANHO!I57)</f>
        <v>0</v>
      </c>
      <c r="I264" s="713">
        <f>IF(OR(REBANHO!J57=0,REBANHO!J57=""),"",SUM(I233,I234,I239,I240,I246)/REBANHO!J57)</f>
        <v>0</v>
      </c>
      <c r="J264" s="713">
        <f>IF(OR(REBANHO!K57=0,REBANHO!K57=""),"",SUM(J233,J234,J239,J240,J246)/REBANHO!K57)</f>
        <v>0</v>
      </c>
      <c r="K264" s="713">
        <f>IF(OR(REBANHO!L57=0,REBANHO!L57=""),"",SUM(K233,K234,K239,K240,K246)/REBANHO!L57)</f>
        <v>0</v>
      </c>
      <c r="L264" s="713">
        <f>IF(OR(REBANHO!M57=0,REBANHO!M57=""),"",SUM(L233,L234,L239,L240,L246)/REBANHO!M57)</f>
        <v>0</v>
      </c>
      <c r="M264" s="713">
        <f>IF(OR(REBANHO!N57=0,REBANHO!N57=""),"",SUM(M233,M234,M239,M240,M246)/REBANHO!N57)</f>
        <v>0</v>
      </c>
      <c r="N264" s="713" t="str">
        <f>IF(OR(REBANHO!O57=0,REBANHO!O57=""),"",SUM(N233,N234,N239,N240,N246)/REBANHO!O57)</f>
        <v/>
      </c>
      <c r="O264" s="713" t="str">
        <f>IF(OR(REBANHO!P57=0,REBANHO!P57=""),"",SUM(O233,O234,O239,O240,O246)/REBANHO!P57)</f>
        <v/>
      </c>
      <c r="P264" s="714"/>
      <c r="Q264" s="706"/>
    </row>
    <row r="265" spans="1:17" hidden="1" x14ac:dyDescent="0.25">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439</v>
      </c>
      <c r="C269" s="712"/>
      <c r="D269" s="713">
        <f>IF(OR(REBANHO!E58=0,REBANHO!E58=""),"",SUM(D230:D246)/REBANHO!E58)</f>
        <v>0</v>
      </c>
      <c r="E269" s="713">
        <f>IF(OR(REBANHO!F58=0,REBANHO!F58=""),"",SUM(E230:E246)/REBANHO!F58)</f>
        <v>0</v>
      </c>
      <c r="F269" s="713">
        <f>IF(OR(REBANHO!G58=0,REBANHO!G58=""),"",SUM(F230:F246)/REBANHO!G58)</f>
        <v>0</v>
      </c>
      <c r="G269" s="713">
        <f>IF(OR(REBANHO!H58=0,REBANHO!H58=""),"",SUM(G230:G246)/REBANHO!H58)</f>
        <v>12.711864406779661</v>
      </c>
      <c r="H269" s="713">
        <f>IF(OR(REBANHO!I58=0,REBANHO!I58=""),"",SUM(H230:H246)/REBANHO!I58)</f>
        <v>0</v>
      </c>
      <c r="I269" s="713">
        <f>IF(OR(REBANHO!J58=0,REBANHO!J58=""),"",SUM(I230:I246)/REBANHO!J58)</f>
        <v>0</v>
      </c>
      <c r="J269" s="713">
        <f>IF(OR(REBANHO!K58=0,REBANHO!K58=""),"",SUM(J230:J246)/REBANHO!K58)</f>
        <v>1816.8222222222221</v>
      </c>
      <c r="K269" s="713">
        <f>IF(OR(REBANHO!L58=0,REBANHO!L58=""),"",SUM(K230:K246)/REBANHO!L58)</f>
        <v>0</v>
      </c>
      <c r="L269" s="713">
        <f>IF(OR(REBANHO!M58=0,REBANHO!M58=""),"",SUM(L230:L246)/REBANHO!M58)</f>
        <v>306.39741463414634</v>
      </c>
      <c r="M269" s="713">
        <f>IF(OR(REBANHO!N58=0,REBANHO!N58=""),"",SUM(M230:M246)/REBANHO!N58)</f>
        <v>0</v>
      </c>
      <c r="N269" s="713" t="str">
        <f>IF(OR(REBANHO!O58=0,REBANHO!O58=""),"",SUM(N230:N246)/REBANHO!O58)</f>
        <v/>
      </c>
      <c r="O269" s="713" t="str">
        <f>IF(OR(REBANHO!P58=0,REBANHO!P58=""),"",SUM(O230:O246)/REBANHO!P58)</f>
        <v/>
      </c>
      <c r="P269" s="714"/>
      <c r="Q269" s="706"/>
    </row>
    <row r="270" spans="1:17" hidden="1" x14ac:dyDescent="0.25">
      <c r="A270" s="670"/>
      <c r="B270" s="715" t="s">
        <v>440</v>
      </c>
      <c r="C270" s="716"/>
      <c r="D270" s="717" t="str">
        <f t="shared" ref="D270:O270" si="58">IF(SUM(D252,D256,D260,D265)=0,"",SUM(D252,D256,D260,D265))</f>
        <v/>
      </c>
      <c r="E270" s="717" t="str">
        <f t="shared" si="58"/>
        <v/>
      </c>
      <c r="F270" s="717" t="str">
        <f t="shared" si="58"/>
        <v/>
      </c>
      <c r="G270" s="717">
        <f t="shared" si="58"/>
        <v>3000</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441</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f t="shared" si="59"/>
        <v>3240.8180180180179</v>
      </c>
      <c r="K271" s="717" t="str">
        <f t="shared" si="59"/>
        <v/>
      </c>
      <c r="L271" s="717">
        <f t="shared" si="59"/>
        <v>2730.9334782608698</v>
      </c>
      <c r="M271" s="717" t="str">
        <f t="shared" si="59"/>
        <v/>
      </c>
      <c r="N271" s="717" t="str">
        <f t="shared" si="59"/>
        <v/>
      </c>
      <c r="O271" s="717" t="str">
        <f t="shared" si="59"/>
        <v/>
      </c>
      <c r="P271" s="718"/>
      <c r="Q271" s="706"/>
    </row>
    <row r="272" spans="1:17" hidden="1" x14ac:dyDescent="0.25">
      <c r="A272" s="670"/>
      <c r="B272" s="719" t="s">
        <v>442</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443</v>
      </c>
      <c r="C273" s="1006"/>
      <c r="D273" s="1024" t="str">
        <f>IF(SUM(D254,D258,D263,D268)=0,"",SUM(D254,D258,D263,D268))</f>
        <v/>
      </c>
      <c r="E273" s="1024" t="str">
        <f t="shared" ref="E273:O273" si="61">IF(SUM(E254,E258,E263,E268)=0,"",SUM(E254,E258,E263,E268))</f>
        <v/>
      </c>
      <c r="F273" s="1024" t="str">
        <f t="shared" si="61"/>
        <v/>
      </c>
      <c r="G273" s="1024">
        <f t="shared" si="61"/>
        <v>3000</v>
      </c>
      <c r="H273" s="1024" t="str">
        <f t="shared" si="61"/>
        <v/>
      </c>
      <c r="I273" s="1024" t="str">
        <f t="shared" si="61"/>
        <v/>
      </c>
      <c r="J273" s="1024">
        <f t="shared" si="61"/>
        <v>3240.8180180180179</v>
      </c>
      <c r="K273" s="1024" t="str">
        <f t="shared" si="61"/>
        <v/>
      </c>
      <c r="L273" s="1024">
        <f t="shared" si="61"/>
        <v>2730.9334782608698</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480</v>
      </c>
      <c r="C275" s="1012" t="s">
        <v>474</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x14ac:dyDescent="0.25">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196</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1.3668424317617867</v>
      </c>
      <c r="H280" s="713">
        <f>IF(OR(REBANHO!I102=0,REBANHO!I102=""),"",SUM(H231,H244)/REBANHO!I102)</f>
        <v>0</v>
      </c>
      <c r="I280" s="713">
        <f>IF(OR(REBANHO!J102=0,REBANHO!J102=""),"",SUM(I231,I244)/REBANHO!J102)</f>
        <v>0</v>
      </c>
      <c r="J280" s="713">
        <f>IF(OR(REBANHO!K102=0,REBANHO!K102=""),"",SUM(J231,J244)/REBANHO!K102)</f>
        <v>0</v>
      </c>
      <c r="K280" s="713">
        <f>IF(OR(REBANHO!L102=0,REBANHO!L102=""),"",SUM(K231,K244)/REBANHO!L102)</f>
        <v>0</v>
      </c>
      <c r="L280" s="713">
        <f>IF(OR(REBANHO!M102=0,REBANHO!M102=""),"",SUM(L231,L244)/REBANHO!M102)</f>
        <v>0</v>
      </c>
      <c r="M280" s="713">
        <f>IF(OR(REBANHO!N102=0,REBANHO!N102=""),"",SUM(M231,M244)/REBANHO!N102)</f>
        <v>0</v>
      </c>
      <c r="N280" s="713" t="str">
        <f>IF(OR(REBANHO!O102=0,REBANHO!O102=""),"",SUM(N231,N244)/REBANHO!O102)</f>
        <v/>
      </c>
      <c r="O280" s="713" t="str">
        <f>IF(OR(REBANHO!P102=0,REBANHO!P102=""),"",SUM(O231,O244)/REBANHO!P102)</f>
        <v/>
      </c>
      <c r="P280" s="714"/>
      <c r="Q280" s="706"/>
    </row>
    <row r="281" spans="1:17" hidden="1" x14ac:dyDescent="0.25">
      <c r="A281" s="670"/>
      <c r="B281" s="1010" t="s">
        <v>198</v>
      </c>
      <c r="C281" s="1014"/>
      <c r="D281" s="1015" t="str">
        <f>IF(OR(D190="",D190=0),"",D231/D210)</f>
        <v/>
      </c>
      <c r="E281" s="1015" t="str">
        <f t="shared" ref="E281:O281" si="65">IF(OR(E190="",E190=0),"",E231/E210)</f>
        <v/>
      </c>
      <c r="F281" s="1015" t="str">
        <f t="shared" si="65"/>
        <v/>
      </c>
      <c r="G281" s="1015">
        <f t="shared" si="65"/>
        <v>96.216157205240179</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209</v>
      </c>
      <c r="C283" s="1016"/>
      <c r="D283" s="1017" t="str">
        <f>IF(SUM(D281:D282)=0,"",SUM(D281:D282))</f>
        <v/>
      </c>
      <c r="E283" s="1017" t="str">
        <f t="shared" ref="E283:O283" si="67">IF(SUM(E281:E282)=0,"",SUM(E281:E282))</f>
        <v/>
      </c>
      <c r="F283" s="1017" t="str">
        <f t="shared" si="67"/>
        <v/>
      </c>
      <c r="G283" s="1017">
        <f t="shared" si="67"/>
        <v>96.216157205240179</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f>IF(OR(REBANHO!H103=0,REBANHO!H103=""),"",SUM(G232,G238,G245)/REBANHO!H103)</f>
        <v>0</v>
      </c>
      <c r="H284" s="713">
        <f>IF(OR(REBANHO!I103=0,REBANHO!I103=""),"",SUM(H232,H238,H245)/REBANHO!I103)</f>
        <v>0</v>
      </c>
      <c r="I284" s="713">
        <f>IF(OR(REBANHO!J103=0,REBANHO!J103=""),"",SUM(I232,I238,I245)/REBANHO!J103)</f>
        <v>0</v>
      </c>
      <c r="J284" s="713">
        <f>IF(OR(REBANHO!K103=0,REBANHO!K103=""),"",SUM(J232,J238,J245)/REBANHO!K103)</f>
        <v>509.40766617179219</v>
      </c>
      <c r="K284" s="713">
        <f>IF(OR(REBANHO!L103=0,REBANHO!L103=""),"",SUM(K232,K238,K245)/REBANHO!L103)</f>
        <v>0</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f t="shared" si="69"/>
        <v>81.097744236229403</v>
      </c>
      <c r="K286" s="1017" t="str">
        <f t="shared" si="69"/>
        <v/>
      </c>
      <c r="L286" s="1017">
        <f t="shared" si="69"/>
        <v>78.965909177507712</v>
      </c>
      <c r="M286" s="1017" t="str">
        <f t="shared" si="69"/>
        <v/>
      </c>
      <c r="N286" s="1017" t="str">
        <f t="shared" si="69"/>
        <v/>
      </c>
      <c r="O286" s="1017" t="str">
        <f t="shared" si="69"/>
        <v/>
      </c>
      <c r="P286" s="1032"/>
      <c r="Q286" s="706"/>
    </row>
    <row r="287" spans="1:17" hidden="1" x14ac:dyDescent="0.25">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f t="shared" si="71"/>
        <v>81.097744236229403</v>
      </c>
      <c r="K288" s="1017" t="str">
        <f t="shared" si="71"/>
        <v/>
      </c>
      <c r="L288" s="1017">
        <f t="shared" si="71"/>
        <v>78.965909177507712</v>
      </c>
      <c r="M288" s="1017" t="str">
        <f t="shared" si="71"/>
        <v/>
      </c>
      <c r="N288" s="1017" t="str">
        <f t="shared" si="71"/>
        <v/>
      </c>
      <c r="O288" s="1017" t="str">
        <f t="shared" si="71"/>
        <v/>
      </c>
      <c r="P288" s="1032"/>
      <c r="Q288" s="706"/>
    </row>
    <row r="289" spans="1:17" hidden="1" x14ac:dyDescent="0.25">
      <c r="A289" s="670"/>
      <c r="B289" s="711" t="s">
        <v>210</v>
      </c>
      <c r="C289" s="712"/>
      <c r="D289" s="713">
        <f>IF(OR(REBANHO!E104=0,REBANHO!E104=""),"",SUM(D233,D234,D239,D240,D246)/REBANHO!E104)</f>
        <v>0</v>
      </c>
      <c r="E289" s="713">
        <f>IF(OR(REBANHO!F104=0,REBANHO!F104=""),"",SUM(E233,E234,E239,E240,E246)/REBANHO!F104)</f>
        <v>0</v>
      </c>
      <c r="F289" s="713">
        <f>IF(OR(REBANHO!G104=0,REBANHO!G104=""),"",SUM(F233,F234,F239,F240,F246)/REBANHO!G104)</f>
        <v>0</v>
      </c>
      <c r="G289" s="713">
        <f>IF(OR(REBANHO!H104=0,REBANHO!H104=""),"",SUM(G233,G234,G239,G240,G246)/REBANHO!H104)</f>
        <v>0</v>
      </c>
      <c r="H289" s="713">
        <f>IF(OR(REBANHO!I104=0,REBANHO!I104=""),"",SUM(H233,H234,H239,H240,H246)/REBANHO!I104)</f>
        <v>0</v>
      </c>
      <c r="I289" s="713">
        <f>IF(OR(REBANHO!J104=0,REBANHO!J104=""),"",SUM(I233,I234,I239,I240,I246)/REBANHO!J104)</f>
        <v>0</v>
      </c>
      <c r="J289" s="713">
        <f>IF(OR(REBANHO!K104=0,REBANHO!K104=""),"",SUM(J233,J234,J239,J240,J246)/REBANHO!K104)</f>
        <v>0</v>
      </c>
      <c r="K289" s="713">
        <f>IF(OR(REBANHO!L104=0,REBANHO!L104=""),"",SUM(K233,K234,K239,K240,K246)/REBANHO!L104)</f>
        <v>0</v>
      </c>
      <c r="L289" s="713">
        <f>IF(OR(REBANHO!M104=0,REBANHO!M104=""),"",SUM(L233,L234,L239,L240,L246)/REBANHO!M104)</f>
        <v>0</v>
      </c>
      <c r="M289" s="713">
        <f>IF(OR(REBANHO!N104=0,REBANHO!N104=""),"",SUM(M233,M234,M239,M240,M246)/REBANHO!N104)</f>
        <v>0</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439</v>
      </c>
      <c r="C294" s="712"/>
      <c r="D294" s="713">
        <f>IF(OR(REBANHO!E58=0,REBANHO!E58=""),"",SUM(D230:D246)/REBANHO!E105)</f>
        <v>0</v>
      </c>
      <c r="E294" s="713">
        <f>IF(OR(REBANHO!F58=0,REBANHO!F58=""),"",SUM(E230:E246)/REBANHO!F105)</f>
        <v>0</v>
      </c>
      <c r="F294" s="713">
        <f>IF(OR(REBANHO!G58=0,REBANHO!G58=""),"",SUM(F230:F246)/REBANHO!G105)</f>
        <v>0</v>
      </c>
      <c r="G294" s="713">
        <f>IF(OR(REBANHO!H58=0,REBANHO!H58=""),"",SUM(G230:G246)/REBANHO!H105)</f>
        <v>0.53156174231915176</v>
      </c>
      <c r="H294" s="713">
        <f>IF(OR(REBANHO!I58=0,REBANHO!I58=""),"",SUM(H230:H246)/REBANHO!I105)</f>
        <v>0</v>
      </c>
      <c r="I294" s="713">
        <f>IF(OR(REBANHO!J58=0,REBANHO!J58=""),"",SUM(I230:I246)/REBANHO!J105)</f>
        <v>0</v>
      </c>
      <c r="J294" s="713">
        <f>IF(OR(REBANHO!K58=0,REBANHO!K58=""),"",SUM(J230:J246)/REBANHO!K105)</f>
        <v>96.377436686304193</v>
      </c>
      <c r="K294" s="713">
        <f>IF(OR(REBANHO!L58=0,REBANHO!L58=""),"",SUM(K230:K246)/REBANHO!L105)</f>
        <v>0</v>
      </c>
      <c r="L294" s="713">
        <f>IF(OR(REBANHO!M58=0,REBANHO!M58=""),"",SUM(L230:L246)/REBANHO!M105)</f>
        <v>17.41548723677753</v>
      </c>
      <c r="M294" s="713">
        <f>IF(OR(REBANHO!N58=0,REBANHO!N58=""),"",SUM(M230:M246)/REBANHO!N105)</f>
        <v>0</v>
      </c>
      <c r="N294" s="713" t="str">
        <f>IF(OR(REBANHO!O58=0,REBANHO!O58=""),"",SUM(N230:N246)/REBANHO!O105)</f>
        <v/>
      </c>
      <c r="O294" s="713" t="str">
        <f>IF(OR(REBANHO!P58=0,REBANHO!P58=""),"",SUM(O230:O246)/REBANHO!P105)</f>
        <v/>
      </c>
      <c r="P294" s="714"/>
      <c r="Q294" s="706"/>
    </row>
    <row r="295" spans="1:17" hidden="1" x14ac:dyDescent="0.25">
      <c r="A295" s="670"/>
      <c r="B295" s="1010" t="s">
        <v>440</v>
      </c>
      <c r="C295" s="1014"/>
      <c r="D295" s="1015" t="str">
        <f>IF(SUM(D277,D281,D285,D290)=0,"",SUM(D277,D281,D285,D290))</f>
        <v/>
      </c>
      <c r="E295" s="1015" t="str">
        <f t="shared" ref="E295:O295" si="76">IF(SUM(E277,E281,E285,E290)=0,"",SUM(E277,E281,E285,E290))</f>
        <v/>
      </c>
      <c r="F295" s="1015" t="str">
        <f t="shared" si="76"/>
        <v/>
      </c>
      <c r="G295" s="1015">
        <f t="shared" si="76"/>
        <v>96.216157205240179</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441</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f t="shared" si="77"/>
        <v>81.097744236229403</v>
      </c>
      <c r="K296" s="1015" t="str">
        <f t="shared" si="77"/>
        <v/>
      </c>
      <c r="L296" s="1015">
        <f t="shared" si="77"/>
        <v>78.965909177507712</v>
      </c>
      <c r="M296" s="1015" t="str">
        <f t="shared" si="77"/>
        <v/>
      </c>
      <c r="N296" s="1015" t="str">
        <f t="shared" si="77"/>
        <v/>
      </c>
      <c r="O296" s="1015" t="str">
        <f t="shared" si="77"/>
        <v/>
      </c>
      <c r="P296" s="1034"/>
      <c r="Q296" s="706"/>
    </row>
    <row r="297" spans="1:17" hidden="1" x14ac:dyDescent="0.25">
      <c r="A297" s="670"/>
      <c r="B297" s="1011" t="s">
        <v>442</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443</v>
      </c>
      <c r="C298" s="1022"/>
      <c r="D298" s="1023" t="str">
        <f>IF(SUM(D295:D297)=0,"",SUM(D295:D297))</f>
        <v/>
      </c>
      <c r="E298" s="1023" t="str">
        <f t="shared" ref="E298:O298" si="79">IF(SUM(E295:E297)=0,"",SUM(E295:E297))</f>
        <v/>
      </c>
      <c r="F298" s="1023" t="str">
        <f t="shared" si="79"/>
        <v/>
      </c>
      <c r="G298" s="1023">
        <f t="shared" si="79"/>
        <v>96.216157205240179</v>
      </c>
      <c r="H298" s="1023" t="str">
        <f t="shared" si="79"/>
        <v/>
      </c>
      <c r="I298" s="1023" t="str">
        <f t="shared" si="79"/>
        <v/>
      </c>
      <c r="J298" s="1023">
        <f t="shared" si="79"/>
        <v>81.097744236229403</v>
      </c>
      <c r="K298" s="1023" t="str">
        <f t="shared" si="79"/>
        <v/>
      </c>
      <c r="L298" s="1023">
        <f t="shared" si="79"/>
        <v>78.965909177507712</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177</v>
      </c>
      <c r="C305" s="709"/>
      <c r="D305" s="709"/>
      <c r="E305" s="709"/>
      <c r="F305" s="709"/>
      <c r="G305" s="709"/>
      <c r="H305" s="709"/>
      <c r="I305" s="709"/>
      <c r="J305" s="709"/>
      <c r="K305" s="709"/>
      <c r="L305" s="709"/>
      <c r="M305" s="709"/>
      <c r="N305" s="709"/>
      <c r="O305" s="709"/>
      <c r="P305" s="710"/>
      <c r="Q305" s="672"/>
      <c r="R305" s="783" t="s">
        <v>250</v>
      </c>
      <c r="S305" s="783" t="s">
        <v>251</v>
      </c>
      <c r="T305" s="783" t="s">
        <v>252</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x14ac:dyDescent="0.25">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192</v>
      </c>
      <c r="C309" s="731" t="s">
        <v>218</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7</v>
      </c>
      <c r="K314" s="712">
        <f t="shared" si="89"/>
        <v>8</v>
      </c>
      <c r="L314" s="712">
        <f t="shared" si="89"/>
        <v>9</v>
      </c>
      <c r="M314" s="712">
        <f t="shared" si="89"/>
        <v>10</v>
      </c>
      <c r="N314" s="712">
        <f t="shared" si="89"/>
        <v>0</v>
      </c>
      <c r="O314" s="712">
        <f t="shared" si="89"/>
        <v>0</v>
      </c>
      <c r="P314" s="725" t="s">
        <v>206</v>
      </c>
      <c r="Q314" s="672"/>
      <c r="R314" s="783"/>
      <c r="S314" s="783"/>
      <c r="T314" s="783"/>
      <c r="X314" s="783"/>
      <c r="Y314" s="783"/>
    </row>
    <row r="315" spans="1:29" hidden="1" x14ac:dyDescent="0.25">
      <c r="A315" s="670"/>
      <c r="B315" s="715" t="s">
        <v>13</v>
      </c>
      <c r="C315" s="716"/>
      <c r="D315" s="716">
        <f t="shared" ref="D315:O315" si="90">IF(D159="","",D549/D159)</f>
        <v>0</v>
      </c>
      <c r="E315" s="716">
        <f t="shared" si="90"/>
        <v>0</v>
      </c>
      <c r="F315" s="716">
        <f t="shared" si="90"/>
        <v>762.71186440677968</v>
      </c>
      <c r="G315" s="716">
        <f t="shared" si="90"/>
        <v>0</v>
      </c>
      <c r="H315" s="716">
        <f t="shared" si="90"/>
        <v>0</v>
      </c>
      <c r="I315" s="716">
        <f t="shared" si="90"/>
        <v>0</v>
      </c>
      <c r="J315" s="716">
        <f t="shared" si="90"/>
        <v>648.18965517241384</v>
      </c>
      <c r="K315" s="716">
        <f t="shared" si="90"/>
        <v>204.14634146341464</v>
      </c>
      <c r="L315" s="716">
        <f t="shared" si="90"/>
        <v>0</v>
      </c>
      <c r="M315" s="716">
        <f t="shared" si="90"/>
        <v>0</v>
      </c>
      <c r="N315" s="716" t="str">
        <f t="shared" si="90"/>
        <v/>
      </c>
      <c r="O315" s="716" t="str">
        <f t="shared" si="90"/>
        <v/>
      </c>
      <c r="P315" s="726">
        <f t="shared" ref="P315:P321" si="91">SUM(D315:O315)</f>
        <v>1615.0478610426082</v>
      </c>
      <c r="Q315" s="672"/>
      <c r="R315" s="783"/>
      <c r="S315" s="783"/>
      <c r="T315" s="783"/>
      <c r="X315" s="783"/>
      <c r="Y315" s="783"/>
    </row>
    <row r="316" spans="1:29" hidden="1" x14ac:dyDescent="0.25">
      <c r="A316" s="670"/>
      <c r="B316" s="733" t="s">
        <v>188</v>
      </c>
      <c r="C316" s="728"/>
      <c r="D316" s="728">
        <f t="shared" ref="D316:O316" si="92">IF(D159="","",D557/D159)</f>
        <v>0</v>
      </c>
      <c r="E316" s="728">
        <f t="shared" si="92"/>
        <v>0</v>
      </c>
      <c r="F316" s="728">
        <f t="shared" si="92"/>
        <v>762.71186440677968</v>
      </c>
      <c r="G316" s="728">
        <f t="shared" si="92"/>
        <v>0</v>
      </c>
      <c r="H316" s="728">
        <f t="shared" si="92"/>
        <v>0</v>
      </c>
      <c r="I316" s="728">
        <f t="shared" si="92"/>
        <v>0</v>
      </c>
      <c r="J316" s="728">
        <f t="shared" si="92"/>
        <v>648.18965517241384</v>
      </c>
      <c r="K316" s="728">
        <f t="shared" si="92"/>
        <v>204.14634146341464</v>
      </c>
      <c r="L316" s="728">
        <f t="shared" si="92"/>
        <v>0</v>
      </c>
      <c r="M316" s="728">
        <f t="shared" si="92"/>
        <v>0</v>
      </c>
      <c r="N316" s="728" t="str">
        <f t="shared" si="92"/>
        <v/>
      </c>
      <c r="O316" s="728" t="str">
        <f t="shared" si="92"/>
        <v/>
      </c>
      <c r="P316" s="729">
        <f t="shared" si="91"/>
        <v>1615.0478610426082</v>
      </c>
      <c r="Q316" s="727">
        <f>(P316/12)</f>
        <v>134.5873217535507</v>
      </c>
      <c r="R316" s="787">
        <f>SUM(D$549:O$549)</f>
        <v>334635</v>
      </c>
      <c r="S316" s="787">
        <f>R316/12</f>
        <v>27886.25</v>
      </c>
      <c r="T316" s="787">
        <f>IF(Q316=0,0,ROUNDUP(S316/Q316,0))</f>
        <v>208</v>
      </c>
      <c r="X316" s="783"/>
      <c r="Y316" s="783"/>
    </row>
    <row r="317" spans="1:29" ht="15.75" hidden="1" thickBot="1" x14ac:dyDescent="0.3">
      <c r="A317" s="670"/>
      <c r="B317" s="730" t="s">
        <v>192</v>
      </c>
      <c r="C317" s="731"/>
      <c r="D317" s="731">
        <f t="shared" ref="D317:O317" si="93">D549/$P$159</f>
        <v>0</v>
      </c>
      <c r="E317" s="731">
        <f t="shared" si="93"/>
        <v>0</v>
      </c>
      <c r="F317" s="731">
        <f t="shared" si="93"/>
        <v>1109.0573012939001</v>
      </c>
      <c r="G317" s="731">
        <f t="shared" si="93"/>
        <v>0</v>
      </c>
      <c r="H317" s="731">
        <f t="shared" si="93"/>
        <v>0</v>
      </c>
      <c r="I317" s="731">
        <f t="shared" si="93"/>
        <v>0</v>
      </c>
      <c r="J317" s="731">
        <f t="shared" si="93"/>
        <v>694.9168207024029</v>
      </c>
      <c r="K317" s="731">
        <f t="shared" si="93"/>
        <v>257.85582255083176</v>
      </c>
      <c r="L317" s="731">
        <f t="shared" si="93"/>
        <v>0</v>
      </c>
      <c r="M317" s="731">
        <f t="shared" si="93"/>
        <v>0</v>
      </c>
      <c r="N317" s="731">
        <f t="shared" si="93"/>
        <v>0</v>
      </c>
      <c r="O317" s="731">
        <f t="shared" si="93"/>
        <v>0</v>
      </c>
      <c r="P317" s="732">
        <f t="shared" si="91"/>
        <v>2061.8299445471348</v>
      </c>
      <c r="Q317" s="672"/>
      <c r="R317" s="787"/>
      <c r="S317" s="787"/>
      <c r="T317" s="787"/>
      <c r="X317" s="787"/>
      <c r="Y317" s="787"/>
      <c r="Z317" s="787"/>
      <c r="AA317" s="787"/>
      <c r="AB317" s="787"/>
      <c r="AC317" s="787"/>
    </row>
    <row r="318" spans="1:29" hidden="1" x14ac:dyDescent="0.25">
      <c r="A318" s="670"/>
      <c r="B318" s="1001" t="s">
        <v>233</v>
      </c>
      <c r="C318" s="688"/>
      <c r="D318" s="688">
        <f t="shared" ref="D318:O318" si="94">IF(D$316="",0,D159*D$316)</f>
        <v>0</v>
      </c>
      <c r="E318" s="688">
        <f t="shared" si="94"/>
        <v>0</v>
      </c>
      <c r="F318" s="688">
        <f t="shared" si="94"/>
        <v>180000</v>
      </c>
      <c r="G318" s="688">
        <f t="shared" si="94"/>
        <v>0</v>
      </c>
      <c r="H318" s="688">
        <f t="shared" si="94"/>
        <v>0</v>
      </c>
      <c r="I318" s="688">
        <f t="shared" si="94"/>
        <v>0</v>
      </c>
      <c r="J318" s="688">
        <f t="shared" si="94"/>
        <v>112785.00000000001</v>
      </c>
      <c r="K318" s="688">
        <f t="shared" si="94"/>
        <v>41850</v>
      </c>
      <c r="L318" s="688">
        <f t="shared" si="94"/>
        <v>0</v>
      </c>
      <c r="M318" s="688">
        <f t="shared" si="94"/>
        <v>0</v>
      </c>
      <c r="N318" s="688">
        <f t="shared" si="94"/>
        <v>0</v>
      </c>
      <c r="O318" s="688">
        <f t="shared" si="94"/>
        <v>0</v>
      </c>
      <c r="P318" s="1002">
        <f t="shared" si="91"/>
        <v>334635</v>
      </c>
      <c r="Q318" s="727"/>
      <c r="R318" s="787"/>
      <c r="S318" s="787"/>
      <c r="T318" s="787"/>
      <c r="X318" s="787"/>
      <c r="Y318" s="787"/>
      <c r="Z318" s="787"/>
      <c r="AA318" s="787"/>
      <c r="AB318" s="787"/>
      <c r="AC318" s="787"/>
    </row>
    <row r="319" spans="1:29" hidden="1" x14ac:dyDescent="0.25">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4</v>
      </c>
      <c r="H322" s="712">
        <f t="shared" si="98"/>
        <v>5</v>
      </c>
      <c r="I322" s="712">
        <f t="shared" si="98"/>
        <v>6</v>
      </c>
      <c r="J322" s="712">
        <f t="shared" si="98"/>
        <v>7</v>
      </c>
      <c r="K322" s="712">
        <f t="shared" si="98"/>
        <v>8</v>
      </c>
      <c r="L322" s="712">
        <f t="shared" si="98"/>
        <v>0</v>
      </c>
      <c r="M322" s="712">
        <f t="shared" si="98"/>
        <v>0</v>
      </c>
      <c r="N322" s="712">
        <f t="shared" si="98"/>
        <v>0</v>
      </c>
      <c r="O322" s="712">
        <f t="shared" si="98"/>
        <v>0</v>
      </c>
      <c r="P322" s="725" t="s">
        <v>206</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f t="shared" si="99"/>
        <v>0</v>
      </c>
      <c r="H323" s="716">
        <f t="shared" si="99"/>
        <v>0</v>
      </c>
      <c r="I323" s="716">
        <f t="shared" si="99"/>
        <v>0</v>
      </c>
      <c r="J323" s="716">
        <f t="shared" si="99"/>
        <v>0</v>
      </c>
      <c r="K323" s="716">
        <f t="shared" si="99"/>
        <v>0</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188</v>
      </c>
      <c r="C324" s="728"/>
      <c r="D324" s="728" t="str">
        <f t="shared" ref="D324:O324" si="101">IF(D162="","",D632/D162)</f>
        <v/>
      </c>
      <c r="E324" s="728" t="str">
        <f t="shared" si="101"/>
        <v/>
      </c>
      <c r="F324" s="728" t="str">
        <f t="shared" si="101"/>
        <v/>
      </c>
      <c r="G324" s="728">
        <f t="shared" si="101"/>
        <v>0</v>
      </c>
      <c r="H324" s="728">
        <f t="shared" si="101"/>
        <v>0</v>
      </c>
      <c r="I324" s="728">
        <f t="shared" si="101"/>
        <v>0</v>
      </c>
      <c r="J324" s="728">
        <f t="shared" si="101"/>
        <v>0</v>
      </c>
      <c r="K324" s="728">
        <f t="shared" si="101"/>
        <v>0</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x14ac:dyDescent="0.3">
      <c r="A325" s="670"/>
      <c r="B325" s="730" t="s">
        <v>192</v>
      </c>
      <c r="C325" s="731"/>
      <c r="D325" s="731">
        <f t="shared" ref="D325:O325" si="102">D624/$P$162</f>
        <v>0</v>
      </c>
      <c r="E325" s="731">
        <f t="shared" si="102"/>
        <v>0</v>
      </c>
      <c r="F325" s="731">
        <f t="shared" si="102"/>
        <v>0</v>
      </c>
      <c r="G325" s="731">
        <f t="shared" si="102"/>
        <v>0</v>
      </c>
      <c r="H325" s="731">
        <f t="shared" si="102"/>
        <v>0</v>
      </c>
      <c r="I325" s="731">
        <f t="shared" si="102"/>
        <v>0</v>
      </c>
      <c r="J325" s="731">
        <f t="shared" si="102"/>
        <v>0</v>
      </c>
      <c r="K325" s="731">
        <f t="shared" si="102"/>
        <v>0</v>
      </c>
      <c r="L325" s="731">
        <f t="shared" si="102"/>
        <v>0</v>
      </c>
      <c r="M325" s="731">
        <f t="shared" si="102"/>
        <v>0</v>
      </c>
      <c r="N325" s="731">
        <f t="shared" si="102"/>
        <v>0</v>
      </c>
      <c r="O325" s="731">
        <f t="shared" si="102"/>
        <v>0</v>
      </c>
      <c r="P325" s="732">
        <f t="shared" si="100"/>
        <v>0</v>
      </c>
      <c r="Q325" s="672"/>
      <c r="R325" s="787"/>
      <c r="S325" s="787"/>
      <c r="T325" s="787"/>
      <c r="X325" s="787"/>
      <c r="Y325" s="787"/>
      <c r="Z325" s="787"/>
      <c r="AA325" s="787"/>
      <c r="AB325" s="787"/>
      <c r="AC325" s="787"/>
    </row>
    <row r="326" spans="1:29" hidden="1" x14ac:dyDescent="0.25">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x14ac:dyDescent="0.25">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x14ac:dyDescent="0.25">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x14ac:dyDescent="0.3">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x14ac:dyDescent="0.25">
      <c r="A331" s="670"/>
      <c r="B331" s="711" t="s">
        <v>174</v>
      </c>
      <c r="C331" s="712"/>
      <c r="D331" s="712">
        <f t="shared" ref="D331:O331" si="108">D703</f>
        <v>1</v>
      </c>
      <c r="E331" s="712">
        <f t="shared" si="108"/>
        <v>2</v>
      </c>
      <c r="F331" s="712">
        <f t="shared" si="108"/>
        <v>3</v>
      </c>
      <c r="G331" s="712">
        <f t="shared" si="108"/>
        <v>4</v>
      </c>
      <c r="H331" s="712">
        <f t="shared" si="108"/>
        <v>5</v>
      </c>
      <c r="I331" s="712">
        <f t="shared" si="108"/>
        <v>6</v>
      </c>
      <c r="J331" s="712">
        <f t="shared" si="108"/>
        <v>7</v>
      </c>
      <c r="K331" s="712">
        <f t="shared" si="108"/>
        <v>8</v>
      </c>
      <c r="L331" s="712">
        <f t="shared" si="108"/>
        <v>9</v>
      </c>
      <c r="M331" s="712">
        <f t="shared" si="108"/>
        <v>10</v>
      </c>
      <c r="N331" s="712">
        <f t="shared" si="108"/>
        <v>0</v>
      </c>
      <c r="O331" s="712">
        <f t="shared" si="108"/>
        <v>0</v>
      </c>
      <c r="P331" s="725" t="s">
        <v>206</v>
      </c>
      <c r="Q331" s="672"/>
      <c r="R331" s="783"/>
      <c r="S331" s="783"/>
      <c r="T331" s="783"/>
      <c r="X331" s="783"/>
      <c r="Y331" s="783"/>
    </row>
    <row r="332" spans="1:29" hidden="1" x14ac:dyDescent="0.25">
      <c r="A332" s="670"/>
      <c r="B332" s="715" t="s">
        <v>174</v>
      </c>
      <c r="C332" s="716"/>
      <c r="D332" s="716">
        <f t="shared" ref="D332:O332" si="109">IF(D165="","",D699/D165)</f>
        <v>0</v>
      </c>
      <c r="E332" s="716">
        <f t="shared" si="109"/>
        <v>0</v>
      </c>
      <c r="F332" s="716">
        <f t="shared" si="109"/>
        <v>0</v>
      </c>
      <c r="G332" s="716">
        <f t="shared" si="109"/>
        <v>0</v>
      </c>
      <c r="H332" s="716">
        <f t="shared" si="109"/>
        <v>0</v>
      </c>
      <c r="I332" s="716">
        <f t="shared" si="109"/>
        <v>0</v>
      </c>
      <c r="J332" s="716">
        <f t="shared" si="109"/>
        <v>0</v>
      </c>
      <c r="K332" s="716">
        <f t="shared" si="109"/>
        <v>0</v>
      </c>
      <c r="L332" s="716">
        <f t="shared" si="109"/>
        <v>0</v>
      </c>
      <c r="M332" s="716">
        <f t="shared" si="109"/>
        <v>0</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188</v>
      </c>
      <c r="C333" s="728"/>
      <c r="D333" s="728">
        <f t="shared" ref="D333:O333" si="111">IF(D165="","",D707/D165)</f>
        <v>0</v>
      </c>
      <c r="E333" s="728">
        <f t="shared" si="111"/>
        <v>0</v>
      </c>
      <c r="F333" s="728">
        <f t="shared" si="111"/>
        <v>0</v>
      </c>
      <c r="G333" s="728">
        <f t="shared" si="111"/>
        <v>0</v>
      </c>
      <c r="H333" s="728">
        <f t="shared" si="111"/>
        <v>0</v>
      </c>
      <c r="I333" s="728">
        <f t="shared" si="111"/>
        <v>0</v>
      </c>
      <c r="J333" s="728">
        <f t="shared" si="111"/>
        <v>0</v>
      </c>
      <c r="K333" s="728">
        <f t="shared" si="111"/>
        <v>0</v>
      </c>
      <c r="L333" s="728">
        <f t="shared" si="111"/>
        <v>0</v>
      </c>
      <c r="M333" s="728">
        <f t="shared" si="111"/>
        <v>0</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192</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v>
      </c>
      <c r="L334" s="731">
        <f t="shared" si="112"/>
        <v>0</v>
      </c>
      <c r="M334" s="731">
        <f t="shared" si="112"/>
        <v>0</v>
      </c>
      <c r="N334" s="731">
        <f t="shared" si="112"/>
        <v>0</v>
      </c>
      <c r="O334" s="731">
        <f t="shared" si="112"/>
        <v>0</v>
      </c>
      <c r="P334" s="732">
        <f t="shared" si="110"/>
        <v>0</v>
      </c>
      <c r="Q334" s="672"/>
      <c r="R334" s="787"/>
      <c r="S334" s="787"/>
      <c r="T334" s="787"/>
      <c r="U334" s="787"/>
      <c r="V334" s="787"/>
      <c r="W334" s="787"/>
      <c r="X334" s="787"/>
      <c r="Y334" s="787"/>
      <c r="Z334" s="787"/>
      <c r="AA334" s="787"/>
      <c r="AB334" s="787"/>
      <c r="AC334" s="787"/>
    </row>
    <row r="335" spans="1:29" hidden="1" x14ac:dyDescent="0.25">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438</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x14ac:dyDescent="0.25">
      <c r="A341" s="670"/>
      <c r="B341" s="715" t="s">
        <v>438</v>
      </c>
      <c r="C341" s="716"/>
      <c r="D341" s="716">
        <f t="shared" ref="D341:O341" si="119">IF(D166="","",D776/D166)</f>
        <v>88.653623188405803</v>
      </c>
      <c r="E341" s="716">
        <f t="shared" si="119"/>
        <v>58.951956521739135</v>
      </c>
      <c r="F341" s="716">
        <f t="shared" si="119"/>
        <v>818.95164556962027</v>
      </c>
      <c r="G341" s="716">
        <f t="shared" si="119"/>
        <v>63.69220338983051</v>
      </c>
      <c r="H341" s="716">
        <f t="shared" si="119"/>
        <v>43.982203389830502</v>
      </c>
      <c r="I341" s="716">
        <f t="shared" si="119"/>
        <v>46.089703389830504</v>
      </c>
      <c r="J341" s="716">
        <f t="shared" si="119"/>
        <v>1202.1866161616163</v>
      </c>
      <c r="K341" s="716">
        <f t="shared" si="119"/>
        <v>219.56807860262006</v>
      </c>
      <c r="L341" s="716">
        <f t="shared" si="119"/>
        <v>146.58878048780488</v>
      </c>
      <c r="M341" s="716">
        <f t="shared" si="119"/>
        <v>57.324975609756095</v>
      </c>
      <c r="N341" s="716" t="e">
        <f t="shared" si="119"/>
        <v>#DIV/0!</v>
      </c>
      <c r="O341" s="716" t="e">
        <f t="shared" si="119"/>
        <v>#DIV/0!</v>
      </c>
      <c r="P341" s="726" t="e">
        <f t="shared" ref="P341:P348" si="120">SUM(D341:O341)</f>
        <v>#DIV/0!</v>
      </c>
      <c r="Q341" s="727" t="e">
        <f>(P341/12)</f>
        <v>#DIV/0!</v>
      </c>
      <c r="R341" s="787">
        <f>SUM(D$776:O$776)</f>
        <v>590322.06999999995</v>
      </c>
      <c r="S341" s="787">
        <f>R341/12</f>
        <v>49193.505833333329</v>
      </c>
      <c r="T341" s="787" t="e">
        <f>S341/Q341</f>
        <v>#DIV/0!</v>
      </c>
      <c r="V341" s="787"/>
      <c r="W341" s="787"/>
      <c r="X341" s="787"/>
      <c r="Y341" s="787"/>
      <c r="Z341" s="787"/>
      <c r="AA341" s="787"/>
      <c r="AB341" s="787"/>
      <c r="AC341" s="787"/>
    </row>
    <row r="342" spans="1:29" hidden="1" x14ac:dyDescent="0.25">
      <c r="A342" s="670"/>
      <c r="B342" s="733" t="s">
        <v>188</v>
      </c>
      <c r="C342" s="728"/>
      <c r="D342" s="728">
        <f t="shared" ref="D342:O342" si="121">IF(D166="","",D784/D166)</f>
        <v>88.653623188405803</v>
      </c>
      <c r="E342" s="728">
        <f t="shared" si="121"/>
        <v>58.951956521739135</v>
      </c>
      <c r="F342" s="728">
        <f t="shared" si="121"/>
        <v>818.95164556962027</v>
      </c>
      <c r="G342" s="728">
        <f t="shared" si="121"/>
        <v>63.69220338983051</v>
      </c>
      <c r="H342" s="728">
        <f t="shared" si="121"/>
        <v>43.982203389830502</v>
      </c>
      <c r="I342" s="728">
        <f t="shared" si="121"/>
        <v>46.089703389830504</v>
      </c>
      <c r="J342" s="728">
        <f t="shared" si="121"/>
        <v>1202.1866161616163</v>
      </c>
      <c r="K342" s="728">
        <f t="shared" si="121"/>
        <v>219.56807860262006</v>
      </c>
      <c r="L342" s="728">
        <f t="shared" si="121"/>
        <v>146.58878048780488</v>
      </c>
      <c r="M342" s="728">
        <f t="shared" si="121"/>
        <v>57.324975609756095</v>
      </c>
      <c r="N342" s="728" t="e">
        <f t="shared" si="121"/>
        <v>#DIV/0!</v>
      </c>
      <c r="O342" s="728" t="e">
        <f t="shared" si="121"/>
        <v>#DIV/0!</v>
      </c>
      <c r="P342" s="729" t="e">
        <f>SUM(D342:O342)</f>
        <v>#DIV/0!</v>
      </c>
      <c r="Q342" s="727" t="e">
        <f>(P342/12)</f>
        <v>#DIV/0!</v>
      </c>
      <c r="R342" s="787">
        <f>SUM(D$776:O$776)</f>
        <v>590322.06999999995</v>
      </c>
      <c r="S342" s="787">
        <f>R342/12</f>
        <v>49193.505833333329</v>
      </c>
      <c r="T342" s="787" t="e">
        <f>IF(Q342=0,0,ROUNDUP(S342/Q342,0))</f>
        <v>#DIV/0!</v>
      </c>
      <c r="V342" s="787"/>
      <c r="W342" s="787"/>
      <c r="X342" s="787"/>
      <c r="Y342" s="787"/>
      <c r="Z342" s="787"/>
      <c r="AA342" s="787"/>
      <c r="AB342" s="787"/>
      <c r="AC342" s="787"/>
    </row>
    <row r="343" spans="1:29" ht="15.75" hidden="1" thickBot="1" x14ac:dyDescent="0.3">
      <c r="A343" s="670"/>
      <c r="B343" s="730" t="s">
        <v>192</v>
      </c>
      <c r="C343" s="731"/>
      <c r="D343" s="731">
        <f t="shared" ref="D343:O343" si="122">D776/$P$166</f>
        <v>71.336443148688048</v>
      </c>
      <c r="E343" s="731">
        <f t="shared" si="122"/>
        <v>47.43655976676385</v>
      </c>
      <c r="F343" s="731">
        <f t="shared" si="122"/>
        <v>1131.7290962099125</v>
      </c>
      <c r="G343" s="731">
        <f t="shared" si="122"/>
        <v>87.646413994169095</v>
      </c>
      <c r="H343" s="731">
        <f t="shared" si="122"/>
        <v>60.523615160349848</v>
      </c>
      <c r="I343" s="731">
        <f t="shared" si="122"/>
        <v>63.423731778425648</v>
      </c>
      <c r="J343" s="731">
        <f t="shared" si="122"/>
        <v>1387.9472303206999</v>
      </c>
      <c r="K343" s="731">
        <f t="shared" si="122"/>
        <v>293.18419825072885</v>
      </c>
      <c r="L343" s="731">
        <f t="shared" si="122"/>
        <v>175.22274052478136</v>
      </c>
      <c r="M343" s="731">
        <f t="shared" si="122"/>
        <v>68.522565597667636</v>
      </c>
      <c r="N343" s="731">
        <f t="shared" si="122"/>
        <v>55.13860058309038</v>
      </c>
      <c r="O343" s="731">
        <f t="shared" si="122"/>
        <v>0</v>
      </c>
      <c r="P343" s="732">
        <f t="shared" si="120"/>
        <v>3442.1111953352774</v>
      </c>
      <c r="Q343" s="727">
        <f>(P343/12)</f>
        <v>286.8425996112731</v>
      </c>
      <c r="R343" s="787">
        <f t="shared" ref="R343" si="123">SUM(D$776:O$776)</f>
        <v>590322.06999999995</v>
      </c>
      <c r="S343" s="787">
        <f>R343/12</f>
        <v>49193.505833333329</v>
      </c>
      <c r="T343" s="787">
        <f>S343/Q343</f>
        <v>171.49999999999997</v>
      </c>
      <c r="V343" s="787"/>
      <c r="W343" s="787"/>
      <c r="X343" s="787"/>
      <c r="Y343" s="787"/>
      <c r="Z343" s="787"/>
      <c r="AA343" s="787"/>
      <c r="AB343" s="787"/>
      <c r="AC343" s="787"/>
    </row>
    <row r="344" spans="1:29" hidden="1" x14ac:dyDescent="0.25">
      <c r="A344" s="670"/>
      <c r="B344" s="1003" t="s">
        <v>233</v>
      </c>
      <c r="C344" s="693"/>
      <c r="D344" s="693">
        <f t="shared" ref="D344:O344" si="124">IF(D$342="",0,D166*D$342)</f>
        <v>12234.2</v>
      </c>
      <c r="E344" s="693">
        <f t="shared" si="124"/>
        <v>8135.3700000000008</v>
      </c>
      <c r="F344" s="693">
        <f t="shared" si="124"/>
        <v>194091.54</v>
      </c>
      <c r="G344" s="693">
        <f t="shared" si="124"/>
        <v>15031.36</v>
      </c>
      <c r="H344" s="693">
        <f t="shared" si="124"/>
        <v>10379.799999999999</v>
      </c>
      <c r="I344" s="693">
        <f t="shared" si="124"/>
        <v>10877.169999999998</v>
      </c>
      <c r="J344" s="693">
        <f t="shared" si="124"/>
        <v>238032.95</v>
      </c>
      <c r="K344" s="693">
        <f t="shared" si="124"/>
        <v>50281.09</v>
      </c>
      <c r="L344" s="693">
        <f t="shared" si="124"/>
        <v>30050.7</v>
      </c>
      <c r="M344" s="693">
        <f t="shared" si="124"/>
        <v>11751.619999999999</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230</v>
      </c>
      <c r="C345" s="688"/>
      <c r="D345" s="688">
        <f t="shared" ref="D345:O345" si="125">IF(D$342="",0,SUM(D189:D193)*D$342)</f>
        <v>0</v>
      </c>
      <c r="E345" s="688">
        <f t="shared" si="125"/>
        <v>0</v>
      </c>
      <c r="F345" s="688">
        <f t="shared" si="125"/>
        <v>0</v>
      </c>
      <c r="G345" s="688">
        <f t="shared" si="125"/>
        <v>63.69220338983051</v>
      </c>
      <c r="H345" s="688">
        <f t="shared" si="125"/>
        <v>0</v>
      </c>
      <c r="I345" s="688">
        <f t="shared" si="125"/>
        <v>0</v>
      </c>
      <c r="J345" s="688">
        <f t="shared" si="125"/>
        <v>0</v>
      </c>
      <c r="K345" s="688">
        <f t="shared" si="125"/>
        <v>0</v>
      </c>
      <c r="L345" s="688">
        <f t="shared" si="125"/>
        <v>0</v>
      </c>
      <c r="M345" s="688">
        <f t="shared" si="125"/>
        <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234</v>
      </c>
      <c r="C346" s="688"/>
      <c r="D346" s="688">
        <f t="shared" ref="D346:O346" si="126">IF(D$342="",0,SUM(D197,D199)*D$342)</f>
        <v>0</v>
      </c>
      <c r="E346" s="688">
        <f t="shared" si="126"/>
        <v>0</v>
      </c>
      <c r="F346" s="688">
        <f t="shared" si="126"/>
        <v>0</v>
      </c>
      <c r="G346" s="688">
        <f t="shared" si="126"/>
        <v>0</v>
      </c>
      <c r="H346" s="688">
        <f t="shared" si="126"/>
        <v>0</v>
      </c>
      <c r="I346" s="688">
        <f t="shared" si="126"/>
        <v>0</v>
      </c>
      <c r="J346" s="688">
        <f t="shared" si="126"/>
        <v>133442.71439393942</v>
      </c>
      <c r="K346" s="688">
        <f t="shared" si="126"/>
        <v>0</v>
      </c>
      <c r="L346" s="688">
        <f t="shared" si="126"/>
        <v>3371.5419512195122</v>
      </c>
      <c r="M346" s="688">
        <f t="shared" si="126"/>
        <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231</v>
      </c>
      <c r="C347" s="688"/>
      <c r="D347" s="688">
        <f t="shared" ref="D347:O347" si="127">IF(D$342="",0,SUM(D202:D205)*D$342)</f>
        <v>0</v>
      </c>
      <c r="E347" s="688">
        <f t="shared" si="127"/>
        <v>0</v>
      </c>
      <c r="F347" s="688">
        <f t="shared" si="127"/>
        <v>0</v>
      </c>
      <c r="G347" s="688">
        <f t="shared" si="127"/>
        <v>0</v>
      </c>
      <c r="H347" s="688">
        <f t="shared" si="127"/>
        <v>0</v>
      </c>
      <c r="I347" s="688">
        <f t="shared" si="127"/>
        <v>0</v>
      </c>
      <c r="J347" s="688">
        <f t="shared" si="127"/>
        <v>0</v>
      </c>
      <c r="K347" s="688">
        <f t="shared" si="127"/>
        <v>0</v>
      </c>
      <c r="L347" s="688">
        <f t="shared" si="127"/>
        <v>0</v>
      </c>
      <c r="M347" s="688">
        <f t="shared" si="127"/>
        <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232</v>
      </c>
      <c r="C348" s="1006"/>
      <c r="D348" s="1006">
        <f>SUM(D345:D347)</f>
        <v>0</v>
      </c>
      <c r="E348" s="1006">
        <f t="shared" ref="E348:O348" si="128">SUM(E345:E347)</f>
        <v>0</v>
      </c>
      <c r="F348" s="1006">
        <f t="shared" si="128"/>
        <v>0</v>
      </c>
      <c r="G348" s="1006">
        <f t="shared" si="128"/>
        <v>63.69220338983051</v>
      </c>
      <c r="H348" s="1006">
        <f t="shared" si="128"/>
        <v>0</v>
      </c>
      <c r="I348" s="1006">
        <f t="shared" si="128"/>
        <v>0</v>
      </c>
      <c r="J348" s="1006">
        <f t="shared" si="128"/>
        <v>133442.71439393942</v>
      </c>
      <c r="K348" s="1006">
        <f t="shared" si="128"/>
        <v>0</v>
      </c>
      <c r="L348" s="1006">
        <f t="shared" si="128"/>
        <v>3371.5419512195122</v>
      </c>
      <c r="M348" s="1006">
        <f t="shared" si="128"/>
        <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303</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304</v>
      </c>
      <c r="D351" s="653">
        <f t="shared" ref="D351:O351" si="130">D159</f>
        <v>137</v>
      </c>
      <c r="E351" s="653">
        <f t="shared" si="130"/>
        <v>137</v>
      </c>
      <c r="F351" s="653">
        <f t="shared" si="130"/>
        <v>236</v>
      </c>
      <c r="G351" s="653">
        <f t="shared" si="130"/>
        <v>124</v>
      </c>
      <c r="H351" s="653">
        <f t="shared" si="130"/>
        <v>101</v>
      </c>
      <c r="I351" s="653">
        <f t="shared" si="130"/>
        <v>101</v>
      </c>
      <c r="J351" s="653">
        <f t="shared" si="130"/>
        <v>174</v>
      </c>
      <c r="K351" s="653">
        <f t="shared" si="130"/>
        <v>205</v>
      </c>
      <c r="L351" s="653">
        <f t="shared" si="130"/>
        <v>204</v>
      </c>
      <c r="M351" s="653">
        <f t="shared" si="130"/>
        <v>204</v>
      </c>
      <c r="N351" s="653" t="str">
        <f t="shared" si="130"/>
        <v/>
      </c>
      <c r="O351" s="653" t="str">
        <f t="shared" si="130"/>
        <v/>
      </c>
      <c r="P351" s="798">
        <f t="shared" ref="P351:P353" si="131">IF(SUM(D351:O351)=0,0,AVERAGE(D351:O351))</f>
        <v>162.30000000000001</v>
      </c>
      <c r="Q351" s="727"/>
      <c r="R351" s="788"/>
      <c r="S351" s="787"/>
      <c r="T351" s="787"/>
      <c r="U351" s="787"/>
      <c r="V351" s="787"/>
      <c r="W351" s="787"/>
      <c r="X351" s="787"/>
      <c r="Y351" s="787"/>
      <c r="Z351" s="787"/>
      <c r="AA351" s="787"/>
      <c r="AB351" s="787"/>
      <c r="AC351" s="787"/>
    </row>
    <row r="352" spans="1:29" hidden="1" x14ac:dyDescent="0.25">
      <c r="A352" s="670"/>
      <c r="B352" s="724"/>
      <c r="C352" s="300" t="s">
        <v>446</v>
      </c>
      <c r="D352" s="653" t="str">
        <f t="shared" ref="D352:O352" si="132">D162</f>
        <v/>
      </c>
      <c r="E352" s="653" t="str">
        <f t="shared" si="132"/>
        <v/>
      </c>
      <c r="F352" s="653" t="str">
        <f t="shared" si="132"/>
        <v/>
      </c>
      <c r="G352" s="653">
        <f t="shared" si="132"/>
        <v>111</v>
      </c>
      <c r="H352" s="653">
        <f t="shared" si="132"/>
        <v>134</v>
      </c>
      <c r="I352" s="653">
        <f t="shared" si="132"/>
        <v>134</v>
      </c>
      <c r="J352" s="653">
        <f t="shared" si="132"/>
        <v>23</v>
      </c>
      <c r="K352" s="653">
        <f t="shared" si="132"/>
        <v>23</v>
      </c>
      <c r="L352" s="653" t="str">
        <f t="shared" si="132"/>
        <v/>
      </c>
      <c r="M352" s="653" t="str">
        <f t="shared" si="132"/>
        <v/>
      </c>
      <c r="N352" s="653" t="str">
        <f t="shared" si="132"/>
        <v/>
      </c>
      <c r="O352" s="653" t="str">
        <f t="shared" si="132"/>
        <v/>
      </c>
      <c r="P352" s="798">
        <f t="shared" si="131"/>
        <v>85</v>
      </c>
      <c r="Q352" s="727"/>
      <c r="R352" s="788"/>
      <c r="S352" s="787"/>
      <c r="T352" s="787"/>
      <c r="U352" s="787"/>
      <c r="V352" s="787"/>
      <c r="W352" s="787"/>
      <c r="X352" s="787"/>
      <c r="Y352" s="787"/>
      <c r="Z352" s="787"/>
      <c r="AA352" s="787"/>
      <c r="AB352" s="787"/>
      <c r="AC352" s="787"/>
    </row>
    <row r="353" spans="1:29" hidden="1" x14ac:dyDescent="0.25">
      <c r="A353" s="670"/>
      <c r="B353" s="724"/>
      <c r="C353" s="300" t="s">
        <v>308</v>
      </c>
      <c r="D353" s="653">
        <f t="shared" ref="D353:O353" si="133">D165</f>
        <v>1</v>
      </c>
      <c r="E353" s="653">
        <f t="shared" si="133"/>
        <v>1</v>
      </c>
      <c r="F353" s="653">
        <f t="shared" si="133"/>
        <v>1</v>
      </c>
      <c r="G353" s="653">
        <f t="shared" si="133"/>
        <v>1</v>
      </c>
      <c r="H353" s="653">
        <f t="shared" si="133"/>
        <v>1</v>
      </c>
      <c r="I353" s="653">
        <f t="shared" si="133"/>
        <v>1</v>
      </c>
      <c r="J353" s="653">
        <f t="shared" si="133"/>
        <v>1</v>
      </c>
      <c r="K353" s="653">
        <f t="shared" si="133"/>
        <v>1</v>
      </c>
      <c r="L353" s="653">
        <f t="shared" si="133"/>
        <v>1</v>
      </c>
      <c r="M353" s="653">
        <f t="shared" si="133"/>
        <v>1</v>
      </c>
      <c r="N353" s="653" t="str">
        <f t="shared" si="133"/>
        <v/>
      </c>
      <c r="O353" s="653" t="str">
        <f t="shared" si="133"/>
        <v/>
      </c>
      <c r="P353" s="798">
        <f t="shared" si="131"/>
        <v>1</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138</v>
      </c>
      <c r="E354" s="653">
        <f t="shared" ref="E354:N354" si="134">SUM(E350:E353)</f>
        <v>138</v>
      </c>
      <c r="F354" s="653">
        <f t="shared" si="134"/>
        <v>237</v>
      </c>
      <c r="G354" s="653">
        <f t="shared" si="134"/>
        <v>236</v>
      </c>
      <c r="H354" s="653">
        <f t="shared" si="134"/>
        <v>236</v>
      </c>
      <c r="I354" s="653">
        <f t="shared" si="134"/>
        <v>236</v>
      </c>
      <c r="J354" s="653">
        <f t="shared" si="134"/>
        <v>198</v>
      </c>
      <c r="K354" s="653">
        <f t="shared" si="134"/>
        <v>229</v>
      </c>
      <c r="L354" s="653">
        <f t="shared" si="134"/>
        <v>205</v>
      </c>
      <c r="M354" s="653">
        <f t="shared" si="134"/>
        <v>205</v>
      </c>
      <c r="N354" s="653">
        <f t="shared" si="134"/>
        <v>0</v>
      </c>
      <c r="O354" s="653">
        <f>SUM(O350:O353)</f>
        <v>0</v>
      </c>
      <c r="P354" s="798">
        <f t="shared" ref="P354" si="135">AVERAGE(D354:O354)</f>
        <v>171.5</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481</v>
      </c>
      <c r="C356" s="1042"/>
      <c r="D356" s="1043"/>
      <c r="E356" s="1043"/>
      <c r="F356" s="1043"/>
      <c r="G356" s="1043"/>
      <c r="H356" s="1043"/>
      <c r="I356" s="1043"/>
      <c r="J356" s="1043"/>
      <c r="K356" s="1043"/>
      <c r="L356" s="1043"/>
      <c r="M356" s="1043"/>
      <c r="N356" s="1043"/>
      <c r="O356" s="1043"/>
      <c r="P356" s="1044"/>
      <c r="Q356" s="672"/>
      <c r="R356" s="783" t="s">
        <v>250</v>
      </c>
      <c r="S356" s="783" t="s">
        <v>251</v>
      </c>
      <c r="T356" s="783" t="s">
        <v>482</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188</v>
      </c>
      <c r="C367" s="733"/>
      <c r="D367" s="728">
        <f>IF(D175="","",D557/D175)</f>
        <v>0</v>
      </c>
      <c r="E367" s="728">
        <f t="shared" ref="E367:O367" si="139">IF(E175="","",E557/E175)</f>
        <v>0</v>
      </c>
      <c r="F367" s="728">
        <f t="shared" si="139"/>
        <v>47.47234989945418</v>
      </c>
      <c r="G367" s="728">
        <f t="shared" si="139"/>
        <v>0</v>
      </c>
      <c r="H367" s="728">
        <f t="shared" si="139"/>
        <v>0</v>
      </c>
      <c r="I367" s="728">
        <f t="shared" si="139"/>
        <v>0</v>
      </c>
      <c r="J367" s="728">
        <f t="shared" si="139"/>
        <v>54.719872671422912</v>
      </c>
      <c r="K367" s="728">
        <f t="shared" si="139"/>
        <v>14.627832242712671</v>
      </c>
      <c r="L367" s="728">
        <f t="shared" si="139"/>
        <v>0</v>
      </c>
      <c r="M367" s="728">
        <f t="shared" si="139"/>
        <v>0</v>
      </c>
      <c r="N367" s="728" t="str">
        <f t="shared" si="139"/>
        <v/>
      </c>
      <c r="O367" s="728" t="str">
        <f t="shared" si="139"/>
        <v/>
      </c>
      <c r="P367" s="729">
        <f t="shared" ref="P367" si="140">SUM(D367:O367)</f>
        <v>116.82005481358976</v>
      </c>
      <c r="Q367" s="727">
        <f>(P367/12)</f>
        <v>9.7350045677991464</v>
      </c>
      <c r="R367" s="787">
        <f>SUM(D$549:O$549)</f>
        <v>334635</v>
      </c>
      <c r="S367" s="787">
        <f>R367/12</f>
        <v>27886.25</v>
      </c>
      <c r="T367" s="787">
        <f>IF(Q367=0,0,S367/Q367)</f>
        <v>2864.53383825216</v>
      </c>
      <c r="U367" s="787"/>
      <c r="V367" s="787"/>
      <c r="W367" s="787"/>
      <c r="X367" s="787"/>
      <c r="Y367" s="787"/>
      <c r="Z367" s="787"/>
      <c r="AA367" s="787"/>
      <c r="AB367" s="787"/>
      <c r="AC367" s="787"/>
    </row>
    <row r="368" spans="1:29" ht="15.75" hidden="1" thickBot="1" x14ac:dyDescent="0.3">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188</v>
      </c>
      <c r="C375" s="733"/>
      <c r="D375" s="728" t="str">
        <f>IF(D178="","",D632/D178)</f>
        <v/>
      </c>
      <c r="E375" s="728" t="str">
        <f t="shared" ref="E375:O375" si="141">IF(E178="","",E632/E178)</f>
        <v/>
      </c>
      <c r="F375" s="728" t="str">
        <f t="shared" si="141"/>
        <v/>
      </c>
      <c r="G375" s="728">
        <f t="shared" si="141"/>
        <v>0</v>
      </c>
      <c r="H375" s="728">
        <f t="shared" si="141"/>
        <v>0</v>
      </c>
      <c r="I375" s="728">
        <f t="shared" si="141"/>
        <v>0</v>
      </c>
      <c r="J375" s="728">
        <f t="shared" si="141"/>
        <v>0</v>
      </c>
      <c r="K375" s="728">
        <f t="shared" si="141"/>
        <v>0</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x14ac:dyDescent="0.3">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188</v>
      </c>
      <c r="C384" s="733"/>
      <c r="D384" s="728">
        <f>IF(D181="","",D707/D181)</f>
        <v>0</v>
      </c>
      <c r="E384" s="728">
        <f t="shared" ref="E384:O384" si="143">IF(E181="","",E707/E181)</f>
        <v>0</v>
      </c>
      <c r="F384" s="728">
        <f t="shared" si="143"/>
        <v>0</v>
      </c>
      <c r="G384" s="728">
        <f t="shared" si="143"/>
        <v>0</v>
      </c>
      <c r="H384" s="728">
        <f t="shared" si="143"/>
        <v>0</v>
      </c>
      <c r="I384" s="728">
        <f t="shared" si="143"/>
        <v>0</v>
      </c>
      <c r="J384" s="728">
        <f t="shared" si="143"/>
        <v>0</v>
      </c>
      <c r="K384" s="728">
        <f t="shared" si="143"/>
        <v>0</v>
      </c>
      <c r="L384" s="728">
        <f t="shared" si="143"/>
        <v>0</v>
      </c>
      <c r="M384" s="728">
        <f t="shared" si="143"/>
        <v>0</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438</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438</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188</v>
      </c>
      <c r="C393" s="733"/>
      <c r="D393" s="728">
        <f>IF(D182="","",D784/D182)</f>
        <v>9.2781332954721467</v>
      </c>
      <c r="E393" s="728">
        <f t="shared" ref="E393:O393" si="145">IF(E182="","",E784/E182)</f>
        <v>6.1696757669471847</v>
      </c>
      <c r="F393" s="728">
        <f t="shared" si="145"/>
        <v>50.64321854234759</v>
      </c>
      <c r="G393" s="728">
        <f t="shared" si="145"/>
        <v>3.3435141971924831</v>
      </c>
      <c r="H393" s="728">
        <f t="shared" si="145"/>
        <v>2.1403647392433496</v>
      </c>
      <c r="I393" s="728">
        <f t="shared" si="145"/>
        <v>2.242924828104162</v>
      </c>
      <c r="J393" s="728">
        <f t="shared" si="145"/>
        <v>84.752539147982063</v>
      </c>
      <c r="K393" s="728">
        <f t="shared" si="145"/>
        <v>13.93439987566976</v>
      </c>
      <c r="L393" s="728">
        <f t="shared" si="145"/>
        <v>10.468499082198928</v>
      </c>
      <c r="M393" s="728">
        <f t="shared" si="145"/>
        <v>4.0938089024332394</v>
      </c>
      <c r="N393" s="728" t="e">
        <f t="shared" si="145"/>
        <v>#DIV/0!</v>
      </c>
      <c r="O393" s="728" t="e">
        <f t="shared" si="145"/>
        <v>#DIV/0!</v>
      </c>
      <c r="P393" s="729" t="e">
        <f t="shared" ref="P393" si="146">SUM(D393:O393)</f>
        <v>#DIV/0!</v>
      </c>
      <c r="Q393" s="727" t="e">
        <f>(P393/12)</f>
        <v>#DIV/0!</v>
      </c>
      <c r="R393" s="787">
        <f>SUM(D$776:O$776)</f>
        <v>590322.06999999995</v>
      </c>
      <c r="S393" s="787">
        <f>R393/12</f>
        <v>49193.505833333329</v>
      </c>
      <c r="T393" s="787" t="e">
        <f>IF(Q393=0,0,S393/Q393)</f>
        <v>#DIV/0!</v>
      </c>
      <c r="U393" s="787"/>
      <c r="V393" s="787"/>
      <c r="W393" s="787"/>
      <c r="X393" s="787"/>
      <c r="Y393" s="787"/>
      <c r="Z393" s="787"/>
      <c r="AA393" s="787"/>
      <c r="AB393" s="787"/>
      <c r="AC393" s="787"/>
    </row>
    <row r="394" spans="1:29" ht="15.75" hidden="1" thickBot="1" x14ac:dyDescent="0.3">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303</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304</v>
      </c>
      <c r="D402" s="300">
        <f>D175</f>
        <v>1277.758867179522</v>
      </c>
      <c r="E402" s="300">
        <f t="shared" ref="E402:O402" si="148">E175</f>
        <v>1277.758867179522</v>
      </c>
      <c r="F402" s="300">
        <f t="shared" si="148"/>
        <v>3791.6808496153585</v>
      </c>
      <c r="G402" s="300">
        <f t="shared" si="148"/>
        <v>1046.7696916059635</v>
      </c>
      <c r="H402" s="300">
        <f t="shared" si="148"/>
        <v>694.46524610252573</v>
      </c>
      <c r="I402" s="300">
        <f t="shared" si="148"/>
        <v>694.46524610252573</v>
      </c>
      <c r="J402" s="300">
        <f t="shared" si="148"/>
        <v>2061.134182040983</v>
      </c>
      <c r="K402" s="300">
        <f t="shared" si="148"/>
        <v>2860.9844101027979</v>
      </c>
      <c r="L402" s="300">
        <f t="shared" si="148"/>
        <v>2833.1404452311253</v>
      </c>
      <c r="M402" s="300">
        <f t="shared" si="148"/>
        <v>2833.1404452311253</v>
      </c>
      <c r="N402" s="300" t="str">
        <f t="shared" si="148"/>
        <v/>
      </c>
      <c r="O402" s="300" t="str">
        <f t="shared" si="148"/>
        <v/>
      </c>
      <c r="P402" s="798">
        <f t="shared" ref="P402:P404" si="149">IF(SUM(D402:O402)=0,0,AVERAGE(D402:O402))</f>
        <v>1937.1298250391446</v>
      </c>
      <c r="Q402" s="727"/>
      <c r="R402" s="788"/>
      <c r="S402" s="787"/>
      <c r="T402" s="787"/>
      <c r="U402" s="787"/>
      <c r="V402" s="787"/>
      <c r="W402" s="787"/>
      <c r="X402" s="787"/>
      <c r="Y402" s="787"/>
      <c r="Z402" s="787"/>
      <c r="AA402" s="787"/>
      <c r="AB402" s="787"/>
      <c r="AC402" s="787"/>
    </row>
    <row r="403" spans="1:29" hidden="1" x14ac:dyDescent="0.25">
      <c r="A403" s="670"/>
      <c r="B403" s="724"/>
      <c r="C403" s="300" t="s">
        <v>446</v>
      </c>
      <c r="D403" s="300" t="str">
        <f>D178</f>
        <v/>
      </c>
      <c r="E403" s="300" t="str">
        <f t="shared" ref="E403:O403" si="150">E178</f>
        <v/>
      </c>
      <c r="F403" s="300" t="str">
        <f t="shared" si="150"/>
        <v/>
      </c>
      <c r="G403" s="300">
        <f t="shared" si="150"/>
        <v>3408.0604534005038</v>
      </c>
      <c r="H403" s="300">
        <f t="shared" si="150"/>
        <v>4114.2351419429506</v>
      </c>
      <c r="I403" s="300">
        <f t="shared" si="150"/>
        <v>4114.2351419429506</v>
      </c>
      <c r="J403" s="300">
        <f t="shared" si="150"/>
        <v>706.17468854244669</v>
      </c>
      <c r="K403" s="300">
        <f t="shared" si="150"/>
        <v>706.17468854244669</v>
      </c>
      <c r="L403" s="300" t="str">
        <f t="shared" si="150"/>
        <v/>
      </c>
      <c r="M403" s="300" t="str">
        <f t="shared" si="150"/>
        <v/>
      </c>
      <c r="N403" s="300" t="str">
        <f t="shared" si="150"/>
        <v/>
      </c>
      <c r="O403" s="300" t="str">
        <f t="shared" si="150"/>
        <v/>
      </c>
      <c r="P403" s="798">
        <f t="shared" si="149"/>
        <v>2609.77602287426</v>
      </c>
      <c r="Q403" s="727"/>
      <c r="R403" s="788"/>
      <c r="S403" s="787"/>
      <c r="T403" s="787"/>
      <c r="U403" s="787"/>
      <c r="V403" s="787"/>
      <c r="W403" s="787"/>
      <c r="X403" s="787"/>
      <c r="Y403" s="787"/>
      <c r="Z403" s="787"/>
      <c r="AA403" s="787"/>
      <c r="AB403" s="787"/>
      <c r="AC403" s="787"/>
    </row>
    <row r="404" spans="1:29" hidden="1" x14ac:dyDescent="0.25">
      <c r="A404" s="670"/>
      <c r="B404" s="724"/>
      <c r="C404" s="300" t="s">
        <v>308</v>
      </c>
      <c r="D404" s="300">
        <f>D181</f>
        <v>40.846892232282663</v>
      </c>
      <c r="E404" s="300">
        <f t="shared" ref="E404:O404" si="151">E181</f>
        <v>40.846892232282663</v>
      </c>
      <c r="F404" s="300">
        <f t="shared" si="151"/>
        <v>40.846892232282663</v>
      </c>
      <c r="G404" s="300">
        <f t="shared" si="151"/>
        <v>40.846892232282663</v>
      </c>
      <c r="H404" s="300">
        <f t="shared" si="151"/>
        <v>40.846892232282663</v>
      </c>
      <c r="I404" s="300">
        <f t="shared" si="151"/>
        <v>40.846892232282663</v>
      </c>
      <c r="J404" s="300">
        <f t="shared" si="151"/>
        <v>41.255361154605488</v>
      </c>
      <c r="K404" s="300">
        <f t="shared" si="151"/>
        <v>41.255361154605488</v>
      </c>
      <c r="L404" s="300">
        <f t="shared" si="151"/>
        <v>37.442984546259105</v>
      </c>
      <c r="M404" s="300">
        <f t="shared" si="151"/>
        <v>37.442984546259105</v>
      </c>
      <c r="N404" s="300" t="str">
        <f t="shared" si="151"/>
        <v/>
      </c>
      <c r="O404" s="300" t="str">
        <f t="shared" si="151"/>
        <v/>
      </c>
      <c r="P404" s="798">
        <f t="shared" si="149"/>
        <v>40.247804479542516</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1318.6057594118047</v>
      </c>
      <c r="E405" s="300">
        <f t="shared" ref="E405:O405" si="152">SUM(E401:E404)</f>
        <v>1318.6057594118047</v>
      </c>
      <c r="F405" s="300">
        <f t="shared" si="152"/>
        <v>3832.5277418476412</v>
      </c>
      <c r="G405" s="300">
        <f t="shared" si="152"/>
        <v>4495.67703723875</v>
      </c>
      <c r="H405" s="300">
        <f t="shared" si="152"/>
        <v>4849.5472802777585</v>
      </c>
      <c r="I405" s="300">
        <f t="shared" si="152"/>
        <v>4849.5472802777585</v>
      </c>
      <c r="J405" s="300">
        <f t="shared" si="152"/>
        <v>2808.5642317380352</v>
      </c>
      <c r="K405" s="300">
        <f t="shared" si="152"/>
        <v>3608.4144597998502</v>
      </c>
      <c r="L405" s="300">
        <f t="shared" si="152"/>
        <v>2870.5834297773845</v>
      </c>
      <c r="M405" s="300">
        <f t="shared" si="152"/>
        <v>2870.5834297773845</v>
      </c>
      <c r="N405" s="300">
        <f t="shared" si="152"/>
        <v>0</v>
      </c>
      <c r="O405" s="300">
        <f t="shared" si="152"/>
        <v>0</v>
      </c>
      <c r="P405" s="792">
        <f t="shared" ref="P405" si="153">AVERAGE(D405:O405)</f>
        <v>2735.2213674631807</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Parceria em Confinamento Chaparral</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Despesas com viajens Consultor</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Consultoria</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Consultor</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Cassio</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material limpeza, vidro</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madeiras manutencao</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frete</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184</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x14ac:dyDescent="0.25">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183</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x14ac:dyDescent="0.3">
      <c r="A483" s="670">
        <v>72</v>
      </c>
      <c r="B483" s="751" t="s">
        <v>190</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Parceria em Confinamento Chaparral</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334635</v>
      </c>
      <c r="D525" s="300">
        <f>SAÍDAS!E69*(SAÍDAS!$W69/100)</f>
        <v>0</v>
      </c>
      <c r="E525" s="300">
        <f>SAÍDAS!F69*(SAÍDAS!$W69/100)</f>
        <v>0</v>
      </c>
      <c r="F525" s="300">
        <f>SAÍDAS!G69*(SAÍDAS!$W69/100)</f>
        <v>180000</v>
      </c>
      <c r="G525" s="300">
        <f>SAÍDAS!H69*(SAÍDAS!$W69/100)</f>
        <v>0</v>
      </c>
      <c r="H525" s="300">
        <f>SAÍDAS!I69*(SAÍDAS!$W69/100)</f>
        <v>0</v>
      </c>
      <c r="I525" s="300">
        <f>SAÍDAS!J69*(SAÍDAS!$W69/100)</f>
        <v>0</v>
      </c>
      <c r="J525" s="300">
        <f>SAÍDAS!K69*(SAÍDAS!$W69/100)</f>
        <v>112785</v>
      </c>
      <c r="K525" s="300">
        <f>SAÍDAS!L69*(SAÍDAS!$W69/100)</f>
        <v>41850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179</v>
      </c>
      <c r="C526" s="300">
        <f t="shared" si="166"/>
        <v>334635</v>
      </c>
      <c r="D526" s="300">
        <f t="shared" ref="D526:O526" si="167">SUM(D487:D525)</f>
        <v>0</v>
      </c>
      <c r="E526" s="300">
        <f t="shared" si="167"/>
        <v>0</v>
      </c>
      <c r="F526" s="300">
        <f t="shared" si="167"/>
        <v>180000</v>
      </c>
      <c r="G526" s="300">
        <f t="shared" si="167"/>
        <v>0</v>
      </c>
      <c r="H526" s="300">
        <f t="shared" si="167"/>
        <v>0</v>
      </c>
      <c r="I526" s="300">
        <f t="shared" si="167"/>
        <v>0</v>
      </c>
      <c r="J526" s="300">
        <f t="shared" si="167"/>
        <v>112785</v>
      </c>
      <c r="K526" s="300">
        <f t="shared" si="167"/>
        <v>41850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Despesas com viajens Consultor</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Consultoria</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Consultor</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Cassio</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material limpeza, vidro</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madeiras manutencao</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frete</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180000</v>
      </c>
      <c r="G549" s="744">
        <f t="shared" si="170"/>
        <v>0</v>
      </c>
      <c r="H549" s="744">
        <f t="shared" si="170"/>
        <v>0</v>
      </c>
      <c r="I549" s="744">
        <f t="shared" si="170"/>
        <v>0</v>
      </c>
      <c r="J549" s="744">
        <f t="shared" si="170"/>
        <v>112785</v>
      </c>
      <c r="K549" s="744">
        <f t="shared" si="170"/>
        <v>41850</v>
      </c>
      <c r="L549" s="744">
        <f t="shared" si="170"/>
        <v>0</v>
      </c>
      <c r="M549" s="744">
        <f t="shared" si="170"/>
        <v>0</v>
      </c>
      <c r="N549" s="744">
        <f t="shared" si="170"/>
        <v>0</v>
      </c>
      <c r="O549" s="744">
        <f t="shared" si="170"/>
        <v>0</v>
      </c>
      <c r="P549" s="744">
        <f>SUM(D549:O549)</f>
        <v>334635</v>
      </c>
      <c r="Q549" s="672"/>
      <c r="R549" s="783"/>
      <c r="S549" s="783"/>
      <c r="T549" s="783"/>
      <c r="U549" s="783"/>
      <c r="V549" s="783"/>
      <c r="W549" s="783"/>
      <c r="X549" s="783"/>
      <c r="Y549" s="783"/>
    </row>
    <row r="550" spans="1:25" hidden="1" x14ac:dyDescent="0.25">
      <c r="A550" s="670"/>
      <c r="B550" s="745" t="s">
        <v>178</v>
      </c>
      <c r="C550" s="680"/>
      <c r="D550" s="746">
        <f>D549</f>
        <v>0</v>
      </c>
      <c r="E550" s="746">
        <f t="shared" ref="E550:O550" si="171">D550+E549</f>
        <v>0</v>
      </c>
      <c r="F550" s="746">
        <f t="shared" si="171"/>
        <v>180000</v>
      </c>
      <c r="G550" s="746">
        <f>F550+G549</f>
        <v>180000</v>
      </c>
      <c r="H550" s="746">
        <f>G550+H549</f>
        <v>180000</v>
      </c>
      <c r="I550" s="746">
        <f>H550+I549</f>
        <v>180000</v>
      </c>
      <c r="J550" s="746">
        <f>I550+J549</f>
        <v>292785</v>
      </c>
      <c r="K550" s="746">
        <f t="shared" si="171"/>
        <v>334635</v>
      </c>
      <c r="L550" s="746">
        <f t="shared" si="171"/>
        <v>334635</v>
      </c>
      <c r="M550" s="746">
        <f t="shared" si="171"/>
        <v>334635</v>
      </c>
      <c r="N550" s="746">
        <f t="shared" si="171"/>
        <v>334635</v>
      </c>
      <c r="O550" s="747">
        <f t="shared" si="171"/>
        <v>334635</v>
      </c>
      <c r="P550" s="748"/>
      <c r="Q550" s="672"/>
      <c r="R550" s="783"/>
      <c r="S550" s="783"/>
      <c r="T550" s="783"/>
      <c r="U550" s="783"/>
      <c r="V550" s="783"/>
      <c r="W550" s="783"/>
      <c r="X550" s="783"/>
      <c r="Y550" s="783"/>
    </row>
    <row r="551" spans="1:25" hidden="1" x14ac:dyDescent="0.25">
      <c r="A551" s="670"/>
      <c r="B551" s="745" t="s">
        <v>181</v>
      </c>
      <c r="C551" s="680"/>
      <c r="D551" s="749">
        <f t="shared" ref="D551:O551" si="172">IF(D159="",0,D549)</f>
        <v>0</v>
      </c>
      <c r="E551" s="749">
        <f t="shared" si="172"/>
        <v>0</v>
      </c>
      <c r="F551" s="749">
        <f t="shared" si="172"/>
        <v>180000</v>
      </c>
      <c r="G551" s="749">
        <f t="shared" si="172"/>
        <v>0</v>
      </c>
      <c r="H551" s="749">
        <f t="shared" si="172"/>
        <v>0</v>
      </c>
      <c r="I551" s="749">
        <f t="shared" si="172"/>
        <v>0</v>
      </c>
      <c r="J551" s="749">
        <f t="shared" si="172"/>
        <v>112785</v>
      </c>
      <c r="K551" s="749">
        <f t="shared" si="172"/>
        <v>41850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182</v>
      </c>
      <c r="C552" s="680"/>
      <c r="D552" s="680">
        <f>D551</f>
        <v>0</v>
      </c>
      <c r="E552" s="680">
        <f t="shared" ref="E552:O552" si="173">(D552+E551)</f>
        <v>0</v>
      </c>
      <c r="F552" s="680">
        <f t="shared" si="173"/>
        <v>180000</v>
      </c>
      <c r="G552" s="680">
        <f>(F552+G551)</f>
        <v>180000</v>
      </c>
      <c r="H552" s="680">
        <f>(G552+H551)</f>
        <v>180000</v>
      </c>
      <c r="I552" s="680">
        <f>(H552+I551)</f>
        <v>180000</v>
      </c>
      <c r="J552" s="680">
        <f>(I552+J551)</f>
        <v>292785</v>
      </c>
      <c r="K552" s="680">
        <f t="shared" si="173"/>
        <v>334635</v>
      </c>
      <c r="L552" s="680">
        <f t="shared" si="173"/>
        <v>334635</v>
      </c>
      <c r="M552" s="680">
        <f t="shared" si="173"/>
        <v>334635</v>
      </c>
      <c r="N552" s="680">
        <f t="shared" si="173"/>
        <v>334635</v>
      </c>
      <c r="O552" s="751">
        <f t="shared" si="173"/>
        <v>334635</v>
      </c>
      <c r="P552" s="748"/>
      <c r="Q552" s="672"/>
      <c r="R552" s="783"/>
      <c r="S552" s="783"/>
      <c r="T552" s="783"/>
      <c r="U552" s="783"/>
      <c r="V552" s="783"/>
      <c r="W552" s="783"/>
      <c r="X552" s="783"/>
      <c r="Y552" s="783"/>
    </row>
    <row r="553" spans="1:25" hidden="1" x14ac:dyDescent="0.25">
      <c r="A553" s="670"/>
      <c r="B553" s="752" t="s">
        <v>184</v>
      </c>
      <c r="C553" s="680"/>
      <c r="D553" s="749">
        <f>IF(D159="",0,1)</f>
        <v>1</v>
      </c>
      <c r="E553" s="749">
        <f>IF(E159="",0,2)</f>
        <v>2</v>
      </c>
      <c r="F553" s="749">
        <f>IF(F159="",0,3)</f>
        <v>3</v>
      </c>
      <c r="G553" s="749">
        <f>IF(G159="",0,4)</f>
        <v>4</v>
      </c>
      <c r="H553" s="749">
        <f>IF(H159="",0,5)</f>
        <v>5</v>
      </c>
      <c r="I553" s="749">
        <f>IF(I159="",0,6)</f>
        <v>6</v>
      </c>
      <c r="J553" s="749">
        <f>IF(J159="",0,7)</f>
        <v>7</v>
      </c>
      <c r="K553" s="749">
        <f>IF(K159="",0,8)</f>
        <v>8</v>
      </c>
      <c r="L553" s="749">
        <f>IF(L159="",0,9)</f>
        <v>9</v>
      </c>
      <c r="M553" s="749">
        <f>IF(M159="",0,10)</f>
        <v>10</v>
      </c>
      <c r="N553" s="749">
        <f>IF(N159="",0,11)</f>
        <v>0</v>
      </c>
      <c r="O553" s="749">
        <f>IF(O159="",0,12)</f>
        <v>0</v>
      </c>
      <c r="P553" s="680">
        <f>LARGE(D553:O553,1)</f>
        <v>10</v>
      </c>
      <c r="Q553" s="672"/>
      <c r="R553" s="783"/>
      <c r="S553" s="783"/>
      <c r="T553" s="783"/>
      <c r="U553" s="783"/>
      <c r="V553" s="783"/>
      <c r="W553" s="783"/>
      <c r="X553" s="783"/>
      <c r="Y553" s="783"/>
    </row>
    <row r="554" spans="1:25" hidden="1" x14ac:dyDescent="0.25">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187</v>
      </c>
      <c r="C556" s="680"/>
      <c r="D556" s="746">
        <f t="shared" ref="D556:O556" si="176">D551+D555</f>
        <v>0</v>
      </c>
      <c r="E556" s="746">
        <f t="shared" si="176"/>
        <v>0</v>
      </c>
      <c r="F556" s="746">
        <f t="shared" si="176"/>
        <v>180000</v>
      </c>
      <c r="G556" s="746">
        <f t="shared" si="176"/>
        <v>0</v>
      </c>
      <c r="H556" s="746">
        <f t="shared" si="176"/>
        <v>0</v>
      </c>
      <c r="I556" s="746">
        <f t="shared" si="176"/>
        <v>0</v>
      </c>
      <c r="J556" s="746">
        <f t="shared" si="176"/>
        <v>112785</v>
      </c>
      <c r="K556" s="746">
        <f t="shared" si="176"/>
        <v>41850</v>
      </c>
      <c r="L556" s="746">
        <f t="shared" si="176"/>
        <v>0</v>
      </c>
      <c r="M556" s="746">
        <f t="shared" si="176"/>
        <v>0</v>
      </c>
      <c r="N556" s="746">
        <f t="shared" si="176"/>
        <v>0</v>
      </c>
      <c r="O556" s="746">
        <f t="shared" si="176"/>
        <v>0</v>
      </c>
      <c r="P556" s="746">
        <f>SUM(D556:O556)</f>
        <v>334635</v>
      </c>
      <c r="Q556" s="678"/>
      <c r="R556" s="783"/>
      <c r="S556" s="783"/>
      <c r="T556" s="783"/>
      <c r="U556" s="783"/>
      <c r="V556" s="783"/>
      <c r="W556" s="783"/>
      <c r="X556" s="783"/>
      <c r="Y556" s="783"/>
    </row>
    <row r="557" spans="1:25" ht="15.75" hidden="1" thickBot="1" x14ac:dyDescent="0.3">
      <c r="A557" s="670"/>
      <c r="B557" s="746" t="s">
        <v>183</v>
      </c>
      <c r="C557" s="754">
        <f>COUNTIF(D553:O553,0)</f>
        <v>2</v>
      </c>
      <c r="D557" s="746">
        <f t="shared" ref="D557:O557" si="177">IF(D553=$P553,$P555,0)+D556</f>
        <v>0</v>
      </c>
      <c r="E557" s="746">
        <f t="shared" si="177"/>
        <v>0</v>
      </c>
      <c r="F557" s="746">
        <f t="shared" si="177"/>
        <v>180000</v>
      </c>
      <c r="G557" s="746">
        <f t="shared" si="177"/>
        <v>0</v>
      </c>
      <c r="H557" s="746">
        <f t="shared" si="177"/>
        <v>0</v>
      </c>
      <c r="I557" s="746">
        <f t="shared" si="177"/>
        <v>0</v>
      </c>
      <c r="J557" s="746">
        <f t="shared" si="177"/>
        <v>112785</v>
      </c>
      <c r="K557" s="746">
        <f t="shared" si="177"/>
        <v>41850</v>
      </c>
      <c r="L557" s="746">
        <f t="shared" si="177"/>
        <v>0</v>
      </c>
      <c r="M557" s="746">
        <f t="shared" si="177"/>
        <v>0</v>
      </c>
      <c r="N557" s="746">
        <f t="shared" si="177"/>
        <v>0</v>
      </c>
      <c r="O557" s="746">
        <f t="shared" si="177"/>
        <v>0</v>
      </c>
      <c r="P557" s="746">
        <f>SUM(D557:O557)</f>
        <v>334635</v>
      </c>
      <c r="Q557" s="753"/>
      <c r="R557" s="783"/>
      <c r="S557" s="783"/>
      <c r="T557" s="783"/>
      <c r="U557" s="783"/>
      <c r="V557" s="783"/>
      <c r="W557" s="783"/>
      <c r="X557" s="783"/>
      <c r="Y557" s="783"/>
    </row>
    <row r="558" spans="1:25" ht="15.75" hidden="1" thickBot="1" x14ac:dyDescent="0.3">
      <c r="A558" s="670"/>
      <c r="B558" s="751" t="s">
        <v>190</v>
      </c>
      <c r="C558" s="757">
        <f>HLOOKUP(P553,D314:O316,3,FALSE)</f>
        <v>0</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191</v>
      </c>
      <c r="C559" s="758">
        <f>P316</f>
        <v>1615.0478610426082</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Parceria em Confinamento Chaparral</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Despesas com viajens Consultor</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Consultoria</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Consultor</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Cassio</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material limpeza, vidro</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madeiras manutencao</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frete</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x14ac:dyDescent="0.25">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x14ac:dyDescent="0.25">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184</v>
      </c>
      <c r="C628" s="680"/>
      <c r="D628" s="749">
        <f>IF(D162="",0,1)</f>
        <v>0</v>
      </c>
      <c r="E628" s="749">
        <f>IF(E162="",0,2)</f>
        <v>0</v>
      </c>
      <c r="F628" s="749">
        <f>IF(F162="",0,3)</f>
        <v>0</v>
      </c>
      <c r="G628" s="749">
        <f>IF(G162="",0,4)</f>
        <v>4</v>
      </c>
      <c r="H628" s="749">
        <f>IF(H162="",0,5)</f>
        <v>5</v>
      </c>
      <c r="I628" s="749">
        <f>IF(I162="",0,6)</f>
        <v>6</v>
      </c>
      <c r="J628" s="749">
        <f>IF(J162="",0,7)</f>
        <v>7</v>
      </c>
      <c r="K628" s="749">
        <f>IF(K162="",0,8)</f>
        <v>8</v>
      </c>
      <c r="L628" s="749">
        <f>IF(L162="",0,9)</f>
        <v>0</v>
      </c>
      <c r="M628" s="749">
        <f>IF(M162="",0,10)</f>
        <v>0</v>
      </c>
      <c r="N628" s="749">
        <f>IF(N162="",0,11)</f>
        <v>0</v>
      </c>
      <c r="O628" s="749">
        <f>IF(O162="",0,12)</f>
        <v>0</v>
      </c>
      <c r="P628" s="680">
        <f>LARGE(D628:O628,1)</f>
        <v>8</v>
      </c>
      <c r="Q628" s="678"/>
      <c r="R628" s="783"/>
      <c r="S628" s="783"/>
      <c r="T628" s="783"/>
      <c r="U628" s="783"/>
      <c r="V628" s="783"/>
      <c r="W628" s="783"/>
      <c r="X628" s="783"/>
      <c r="Y628" s="783"/>
    </row>
    <row r="629" spans="1:25" hidden="1" x14ac:dyDescent="0.25">
      <c r="A629" s="670"/>
      <c r="B629" s="752" t="s">
        <v>185</v>
      </c>
      <c r="C629" s="680"/>
      <c r="D629" s="680">
        <f>IF(D628=0,0,IF(D624=D626,0,1))</f>
        <v>0</v>
      </c>
      <c r="E629" s="680">
        <f t="shared" ref="E629:O629" si="186">IF(AND(D628=0,E628&lt;&gt;0),E628,0)</f>
        <v>0</v>
      </c>
      <c r="F629" s="680">
        <f t="shared" si="186"/>
        <v>0</v>
      </c>
      <c r="G629" s="680">
        <f>IF(AND(F628=0,G628&lt;&gt;0),G628,0)</f>
        <v>4</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183</v>
      </c>
      <c r="C632" s="754">
        <f>COUNTIF(D628:O628,0)</f>
        <v>7</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x14ac:dyDescent="0.3">
      <c r="A633" s="670"/>
      <c r="B633" s="751" t="s">
        <v>190</v>
      </c>
      <c r="C633" s="757">
        <f>HLOOKUP(P628,D322:O324,3,FALSE)</f>
        <v>0</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Parceria em Confinamento Chaparral</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444</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Despesas com viajens Consultor</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Consultoria</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Consultor</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Cassio</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material limpeza, vidro</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madeiras manutencao</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frete</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184</v>
      </c>
      <c r="C703" s="680"/>
      <c r="D703" s="749">
        <f>IF(D165="",0,1)</f>
        <v>1</v>
      </c>
      <c r="E703" s="749">
        <f>IF(E165="",0,2)</f>
        <v>2</v>
      </c>
      <c r="F703" s="749">
        <f>IF(F165="",0,3)</f>
        <v>3</v>
      </c>
      <c r="G703" s="749">
        <f>IF(G165="",0,4)</f>
        <v>4</v>
      </c>
      <c r="H703" s="749">
        <f>IF(H165="",0,5)</f>
        <v>5</v>
      </c>
      <c r="I703" s="749">
        <f>IF(I165="",0,6)</f>
        <v>6</v>
      </c>
      <c r="J703" s="749">
        <f>IF(J165="",0,7)</f>
        <v>7</v>
      </c>
      <c r="K703" s="749">
        <f>IF(K165="",0,8)</f>
        <v>8</v>
      </c>
      <c r="L703" s="749">
        <f>IF(L165="",0,9)</f>
        <v>9</v>
      </c>
      <c r="M703" s="749">
        <f>IF(M165="",0,10)</f>
        <v>10</v>
      </c>
      <c r="N703" s="749">
        <f>IF(N165="",0,11)</f>
        <v>0</v>
      </c>
      <c r="O703" s="749">
        <f>IF(O165="",0,12)</f>
        <v>0</v>
      </c>
      <c r="P703" s="680">
        <f>LARGE(D703:O703,1)</f>
        <v>10</v>
      </c>
      <c r="Q703" s="678"/>
      <c r="R703" s="783"/>
      <c r="S703" s="783"/>
      <c r="T703" s="783"/>
      <c r="U703" s="783"/>
      <c r="V703" s="783"/>
      <c r="W703" s="783"/>
      <c r="X703" s="783"/>
      <c r="Y703" s="783"/>
    </row>
    <row r="704" spans="1:25" hidden="1" x14ac:dyDescent="0.25">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183</v>
      </c>
      <c r="C707" s="754">
        <f>COUNTIF(D703:O703,0)</f>
        <v>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190</v>
      </c>
      <c r="C708" s="757">
        <f>HLOOKUP(P703,D331:O333,3,FALSE)</f>
        <v>0</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438</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19145</v>
      </c>
      <c r="D714" s="300">
        <f>SAÍDAS!E31</f>
        <v>2715</v>
      </c>
      <c r="E714" s="300">
        <f>SAÍDAS!F31</f>
        <v>2715</v>
      </c>
      <c r="F714" s="300">
        <f>SAÍDAS!G31</f>
        <v>2715</v>
      </c>
      <c r="G714" s="300">
        <f>SAÍDAS!H31</f>
        <v>1500</v>
      </c>
      <c r="H714" s="300">
        <f>SAÍDAS!I31</f>
        <v>1500</v>
      </c>
      <c r="I714" s="300">
        <f>SAÍDAS!J31</f>
        <v>1500</v>
      </c>
      <c r="J714" s="300">
        <f>SAÍDAS!K31</f>
        <v>1500</v>
      </c>
      <c r="K714" s="300">
        <f>SAÍDAS!L31</f>
        <v>1500</v>
      </c>
      <c r="L714" s="300">
        <f>SAÍDAS!M31</f>
        <v>1500</v>
      </c>
      <c r="M714" s="300">
        <f>SAÍDAS!N31</f>
        <v>0</v>
      </c>
      <c r="N714" s="300">
        <f>SAÍDAS!O31</f>
        <v>2000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5320</v>
      </c>
      <c r="D715" s="300">
        <f>SAÍDAS!E32</f>
        <v>500</v>
      </c>
      <c r="E715" s="300">
        <f>SAÍDAS!F32</f>
        <v>0</v>
      </c>
      <c r="F715" s="300">
        <f>SAÍDAS!G32</f>
        <v>1200</v>
      </c>
      <c r="G715" s="300">
        <f>SAÍDAS!H32</f>
        <v>1320</v>
      </c>
      <c r="H715" s="300">
        <f>SAÍDAS!I32</f>
        <v>840</v>
      </c>
      <c r="I715" s="300">
        <f>SAÍDAS!J32</f>
        <v>480</v>
      </c>
      <c r="J715" s="300">
        <f>SAÍDAS!K32</f>
        <v>500</v>
      </c>
      <c r="K715" s="300">
        <f>SAÍDAS!L32</f>
        <v>0</v>
      </c>
      <c r="L715" s="300">
        <f>SAÍDAS!M32</f>
        <v>0</v>
      </c>
      <c r="M715" s="300">
        <f>SAÍDAS!N32</f>
        <v>480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2400</v>
      </c>
      <c r="D716" s="300">
        <f>SAÍDAS!E33</f>
        <v>240</v>
      </c>
      <c r="E716" s="300">
        <f>SAÍDAS!F33</f>
        <v>240</v>
      </c>
      <c r="F716" s="300">
        <f>SAÍDAS!G33</f>
        <v>240</v>
      </c>
      <c r="G716" s="300">
        <f>SAÍDAS!H33</f>
        <v>240</v>
      </c>
      <c r="H716" s="300">
        <f>SAÍDAS!I33</f>
        <v>240</v>
      </c>
      <c r="I716" s="300">
        <f>SAÍDAS!J33</f>
        <v>240</v>
      </c>
      <c r="J716" s="300">
        <f>SAÍDAS!K33</f>
        <v>240</v>
      </c>
      <c r="K716" s="300">
        <f>SAÍDAS!L33</f>
        <v>240</v>
      </c>
      <c r="L716" s="300">
        <f>SAÍDAS!M33</f>
        <v>240</v>
      </c>
      <c r="M716" s="300">
        <f>SAÍDAS!N33</f>
        <v>0</v>
      </c>
      <c r="N716" s="300">
        <f>SAÍDAS!O33</f>
        <v>240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2330</v>
      </c>
      <c r="D717" s="300">
        <f>SAÍDAS!E34</f>
        <v>0</v>
      </c>
      <c r="E717" s="300">
        <f>SAÍDAS!F34</f>
        <v>0</v>
      </c>
      <c r="F717" s="300">
        <f>SAÍDAS!G34</f>
        <v>700</v>
      </c>
      <c r="G717" s="300">
        <f>SAÍDAS!H34</f>
        <v>750</v>
      </c>
      <c r="H717" s="300">
        <f>SAÍDAS!I34</f>
        <v>0</v>
      </c>
      <c r="I717" s="300">
        <f>SAÍDAS!J34</f>
        <v>880</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310</v>
      </c>
      <c r="D718" s="300">
        <f>SAÍDAS!E35</f>
        <v>0</v>
      </c>
      <c r="E718" s="300">
        <f>SAÍDAS!F35</f>
        <v>0</v>
      </c>
      <c r="F718" s="300">
        <f>SAÍDAS!G35</f>
        <v>310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8884.64</v>
      </c>
      <c r="D728" s="300">
        <f>SAÍDAS!E45</f>
        <v>0</v>
      </c>
      <c r="E728" s="300">
        <f>SAÍDAS!F45</f>
        <v>0</v>
      </c>
      <c r="F728" s="300">
        <f>SAÍDAS!G45</f>
        <v>1159.8800000000001</v>
      </c>
      <c r="G728" s="300">
        <f>SAÍDAS!H45</f>
        <v>1159.8800000000001</v>
      </c>
      <c r="H728" s="300">
        <f>SAÍDAS!I45</f>
        <v>1159.8800000000001</v>
      </c>
      <c r="I728" s="300">
        <f>SAÍDAS!J45</f>
        <v>1175</v>
      </c>
      <c r="J728" s="300">
        <f>SAÍDAS!K45</f>
        <v>1175</v>
      </c>
      <c r="K728" s="300">
        <f>SAÍDAS!L45</f>
        <v>1175</v>
      </c>
      <c r="L728" s="300">
        <f>SAÍDAS!M45</f>
        <v>0</v>
      </c>
      <c r="M728" s="300">
        <f>SAÍDAS!N45</f>
        <v>940</v>
      </c>
      <c r="N728" s="300">
        <f>SAÍDAS!O45</f>
        <v>940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2555.61</v>
      </c>
      <c r="D731" s="300">
        <f>SAÍDAS!E48</f>
        <v>2245.61</v>
      </c>
      <c r="E731" s="300">
        <f>SAÍDAS!F48</f>
        <v>0</v>
      </c>
      <c r="F731" s="300">
        <f>SAÍDAS!G48</f>
        <v>310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8289.4500000000007</v>
      </c>
      <c r="D735" s="300">
        <f>SAÍDAS!E52</f>
        <v>443</v>
      </c>
      <c r="E735" s="300">
        <f>SAÍDAS!F52</f>
        <v>1001.1</v>
      </c>
      <c r="F735" s="300">
        <f>SAÍDAS!G52</f>
        <v>333.2</v>
      </c>
      <c r="G735" s="300">
        <f>SAÍDAS!H52</f>
        <v>1898</v>
      </c>
      <c r="H735" s="300">
        <f>SAÍDAS!I52</f>
        <v>498.8</v>
      </c>
      <c r="I735" s="300">
        <f>SAÍDAS!J52</f>
        <v>1378.9</v>
      </c>
      <c r="J735" s="300">
        <f>SAÍDAS!K52</f>
        <v>167.8</v>
      </c>
      <c r="K735" s="300">
        <f>SAÍDAS!L52</f>
        <v>379</v>
      </c>
      <c r="L735" s="300">
        <f>SAÍDAS!M52</f>
        <v>0</v>
      </c>
      <c r="M735" s="300">
        <f>SAÍDAS!N52</f>
        <v>816</v>
      </c>
      <c r="N735" s="300">
        <f>SAÍDAS!O52</f>
        <v>1373.65</v>
      </c>
      <c r="O735" s="300">
        <f>SAÍDAS!P52</f>
        <v>0</v>
      </c>
      <c r="P735" s="224"/>
      <c r="Q735" s="678"/>
    </row>
    <row r="736" spans="1:17" hidden="1" x14ac:dyDescent="0.25">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3426.16</v>
      </c>
      <c r="D738" s="300">
        <f>SAÍDAS!E55</f>
        <v>352.6</v>
      </c>
      <c r="E738" s="300">
        <f>SAÍDAS!F55</f>
        <v>0</v>
      </c>
      <c r="F738" s="300">
        <f>SAÍDAS!G55</f>
        <v>0</v>
      </c>
      <c r="G738" s="300">
        <f>SAÍDAS!H55</f>
        <v>1700</v>
      </c>
      <c r="H738" s="300">
        <f>SAÍDAS!I55</f>
        <v>0</v>
      </c>
      <c r="I738" s="300">
        <f>SAÍDAS!J55</f>
        <v>0</v>
      </c>
      <c r="J738" s="300">
        <f>SAÍDAS!K55</f>
        <v>0</v>
      </c>
      <c r="K738" s="300">
        <f>SAÍDAS!L55</f>
        <v>0</v>
      </c>
      <c r="L738" s="300">
        <f>SAÍDAS!M55</f>
        <v>1159.48</v>
      </c>
      <c r="M738" s="300">
        <f>SAÍDAS!N55</f>
        <v>0</v>
      </c>
      <c r="N738" s="300">
        <f>SAÍDAS!O55</f>
        <v>214.08</v>
      </c>
      <c r="O738" s="300">
        <f>SAÍDAS!P55</f>
        <v>0</v>
      </c>
      <c r="P738" s="224"/>
      <c r="Q738" s="678"/>
    </row>
    <row r="739" spans="1:17" hidden="1" x14ac:dyDescent="0.25">
      <c r="A739" s="670"/>
      <c r="B739" s="739" t="str">
        <f>SAÍDAS!C56</f>
        <v>Combustível e Energia</v>
      </c>
      <c r="C739" s="300">
        <f t="shared" si="202"/>
        <v>7149.3099999999995</v>
      </c>
      <c r="D739" s="300">
        <f>SAÍDAS!E56</f>
        <v>1092.25</v>
      </c>
      <c r="E739" s="300">
        <f>SAÍDAS!F56</f>
        <v>1163</v>
      </c>
      <c r="F739" s="300">
        <f>SAÍDAS!G56</f>
        <v>1026</v>
      </c>
      <c r="G739" s="300">
        <f>SAÍDAS!H56</f>
        <v>1870.5</v>
      </c>
      <c r="H739" s="300">
        <f>SAÍDAS!I56</f>
        <v>710</v>
      </c>
      <c r="I739" s="300">
        <f>SAÍDAS!J56</f>
        <v>1086.33</v>
      </c>
      <c r="J739" s="300">
        <f>SAÍDAS!K56</f>
        <v>201.23</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2382.85</v>
      </c>
      <c r="D741" s="300">
        <f>SAÍDAS!E58</f>
        <v>280</v>
      </c>
      <c r="E741" s="300">
        <f>SAÍDAS!F58</f>
        <v>75</v>
      </c>
      <c r="F741" s="300">
        <f>SAÍDAS!G58</f>
        <v>462.2</v>
      </c>
      <c r="G741" s="300">
        <f>SAÍDAS!H58</f>
        <v>248</v>
      </c>
      <c r="H741" s="300">
        <f>SAÍDAS!I58</f>
        <v>150</v>
      </c>
      <c r="I741" s="300">
        <f>SAÍDAS!J58</f>
        <v>514.65</v>
      </c>
      <c r="J741" s="300">
        <f>SAÍDAS!K58</f>
        <v>220</v>
      </c>
      <c r="K741" s="300">
        <f>SAÍDAS!L58</f>
        <v>379</v>
      </c>
      <c r="L741" s="300">
        <f>SAÍDAS!M58</f>
        <v>0</v>
      </c>
      <c r="M741" s="300">
        <f>SAÍDAS!N58</f>
        <v>54</v>
      </c>
      <c r="N741" s="300">
        <f>SAÍDAS!O58</f>
        <v>0</v>
      </c>
      <c r="O741" s="300">
        <f>SAÍDAS!P58</f>
        <v>0</v>
      </c>
      <c r="P741" s="224"/>
      <c r="Q741" s="678"/>
    </row>
    <row r="742" spans="1:17" hidden="1" x14ac:dyDescent="0.25">
      <c r="A742" s="670"/>
      <c r="B742" s="739" t="str">
        <f>SAÍDAS!C59</f>
        <v>Manutenção de Máquinas e Instalações</v>
      </c>
      <c r="C742" s="300">
        <f t="shared" si="202"/>
        <v>8857.0399999999991</v>
      </c>
      <c r="D742" s="300">
        <f>SAÍDAS!E59</f>
        <v>0</v>
      </c>
      <c r="E742" s="300">
        <f>SAÍDAS!F59</f>
        <v>0</v>
      </c>
      <c r="F742" s="300">
        <f>SAÍDAS!G59</f>
        <v>583.9</v>
      </c>
      <c r="G742" s="300">
        <f>SAÍDAS!H59</f>
        <v>723.3</v>
      </c>
      <c r="H742" s="300">
        <f>SAÍDAS!I59</f>
        <v>503.95000000000005</v>
      </c>
      <c r="I742" s="300">
        <f>SAÍDAS!J59</f>
        <v>396.2</v>
      </c>
      <c r="J742" s="300">
        <f>SAÍDAS!K59</f>
        <v>702.14</v>
      </c>
      <c r="K742" s="300">
        <f>SAÍDAS!L59</f>
        <v>0</v>
      </c>
      <c r="L742" s="300">
        <f>SAÍDAS!M59</f>
        <v>0</v>
      </c>
      <c r="M742" s="300">
        <f>SAÍDAS!N59</f>
        <v>4200</v>
      </c>
      <c r="N742" s="300">
        <f>SAÍDAS!O59</f>
        <v>1747.55</v>
      </c>
      <c r="O742" s="300">
        <f>SAÍDAS!P59</f>
        <v>0</v>
      </c>
      <c r="P742" s="224"/>
      <c r="Q742" s="678"/>
    </row>
    <row r="743" spans="1:17" hidden="1" x14ac:dyDescent="0.25">
      <c r="A743" s="670"/>
      <c r="B743" s="739" t="str">
        <f>SAÍDAS!C60</f>
        <v>Combustível e Energia</v>
      </c>
      <c r="C743" s="300">
        <f t="shared" si="202"/>
        <v>686.46999999999991</v>
      </c>
      <c r="D743" s="300">
        <f>SAÍDAS!E60</f>
        <v>54.01</v>
      </c>
      <c r="E743" s="300">
        <f>SAÍDAS!F60</f>
        <v>37.04</v>
      </c>
      <c r="F743" s="300">
        <f>SAÍDAS!G60</f>
        <v>34.42</v>
      </c>
      <c r="G743" s="300">
        <f>SAÍDAS!H60</f>
        <v>34.86</v>
      </c>
      <c r="H743" s="300">
        <f>SAÍDAS!I60</f>
        <v>33.590000000000003</v>
      </c>
      <c r="I743" s="300">
        <f>SAÍDAS!J60</f>
        <v>39.24</v>
      </c>
      <c r="J743" s="300">
        <f>SAÍDAS!K60</f>
        <v>35.08</v>
      </c>
      <c r="K743" s="300">
        <f>SAÍDAS!L60</f>
        <v>41.71</v>
      </c>
      <c r="L743" s="300">
        <f>SAÍDAS!M60</f>
        <v>32.630000000000003</v>
      </c>
      <c r="M743" s="300">
        <f>SAÍDAS!N60</f>
        <v>309.25</v>
      </c>
      <c r="N743" s="300">
        <f>SAÍDAS!O60</f>
        <v>34.64</v>
      </c>
      <c r="O743" s="300">
        <f>SAÍDAS!P60</f>
        <v>0</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449.33000000000004</v>
      </c>
      <c r="D745" s="300">
        <f>SAÍDAS!E62</f>
        <v>0</v>
      </c>
      <c r="E745" s="300">
        <f>SAÍDAS!F62</f>
        <v>0</v>
      </c>
      <c r="F745" s="300">
        <f>SAÍDAS!G62</f>
        <v>0</v>
      </c>
      <c r="G745" s="300">
        <f>SAÍDAS!H62</f>
        <v>56.52</v>
      </c>
      <c r="H745" s="300">
        <f>SAÍDAS!I62</f>
        <v>14.13</v>
      </c>
      <c r="I745" s="300">
        <f>SAÍDAS!J62</f>
        <v>0</v>
      </c>
      <c r="J745" s="300">
        <f>SAÍDAS!K62</f>
        <v>313.68</v>
      </c>
      <c r="K745" s="300">
        <f>SAÍDAS!L62</f>
        <v>0</v>
      </c>
      <c r="L745" s="300">
        <f>SAÍDAS!M62</f>
        <v>65</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150</v>
      </c>
      <c r="D748" s="300">
        <f>SAÍDAS!E65</f>
        <v>150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Parceria em Confinamento Chaparral</v>
      </c>
      <c r="C749" s="300">
        <f t="shared" si="202"/>
        <v>139477.38</v>
      </c>
      <c r="D749" s="300">
        <f>SAÍDAS!E66</f>
        <v>0</v>
      </c>
      <c r="E749" s="300">
        <f>SAÍDAS!F66</f>
        <v>0</v>
      </c>
      <c r="F749" s="300">
        <f>SAÍDAS!G66</f>
        <v>0</v>
      </c>
      <c r="G749" s="300">
        <f>SAÍDAS!H66</f>
        <v>0</v>
      </c>
      <c r="H749" s="300">
        <f>SAÍDAS!I66</f>
        <v>0</v>
      </c>
      <c r="I749" s="300">
        <f>SAÍDAS!J66</f>
        <v>0</v>
      </c>
      <c r="J749" s="300">
        <f>SAÍDAS!K66</f>
        <v>115605.35</v>
      </c>
      <c r="K749" s="300">
        <f>SAÍDAS!L66</f>
        <v>0</v>
      </c>
      <c r="L749" s="300">
        <f>SAÍDAS!M66</f>
        <v>23872.03</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334635</v>
      </c>
      <c r="D752" s="300">
        <f>SAÍDAS!E69</f>
        <v>0</v>
      </c>
      <c r="E752" s="300">
        <f>SAÍDAS!F69</f>
        <v>0</v>
      </c>
      <c r="F752" s="300">
        <f>SAÍDAS!G69</f>
        <v>180000</v>
      </c>
      <c r="G752" s="300">
        <f>SAÍDAS!H69</f>
        <v>0</v>
      </c>
      <c r="H752" s="300">
        <f>SAÍDAS!I69</f>
        <v>0</v>
      </c>
      <c r="I752" s="300">
        <f>SAÍDAS!J69</f>
        <v>0</v>
      </c>
      <c r="J752" s="300">
        <f>SAÍDAS!K69</f>
        <v>112785</v>
      </c>
      <c r="K752" s="300">
        <f>SAÍDAS!L69</f>
        <v>41850</v>
      </c>
      <c r="L752" s="300">
        <f>SAÍDAS!M69</f>
        <v>0</v>
      </c>
      <c r="M752" s="300">
        <f>SAÍDAS!N69</f>
        <v>0</v>
      </c>
      <c r="N752" s="300">
        <f>SAÍDAS!O69</f>
        <v>0</v>
      </c>
      <c r="O752" s="300">
        <f>SAÍDAS!P69</f>
        <v>0</v>
      </c>
      <c r="P752" s="224"/>
      <c r="Q752" s="678"/>
    </row>
    <row r="753" spans="1:17" hidden="1" x14ac:dyDescent="0.25">
      <c r="A753" s="670"/>
      <c r="B753" s="740" t="s">
        <v>179</v>
      </c>
      <c r="C753" s="300">
        <f t="shared" si="202"/>
        <v>546448.24000000011</v>
      </c>
      <c r="D753" s="300">
        <f>SAÍDAS!E70</f>
        <v>8072.4700000000012</v>
      </c>
      <c r="E753" s="300">
        <f>SAÍDAS!F70</f>
        <v>5231.1400000000003</v>
      </c>
      <c r="F753" s="300">
        <f>SAÍDAS!G70</f>
        <v>189074.6</v>
      </c>
      <c r="G753" s="300">
        <f>SAÍDAS!H70</f>
        <v>11501.060000000001</v>
      </c>
      <c r="H753" s="300">
        <f>SAÍDAS!I70</f>
        <v>5650.35</v>
      </c>
      <c r="I753" s="300">
        <f>SAÍDAS!J70</f>
        <v>7690.3199999999988</v>
      </c>
      <c r="J753" s="300">
        <f>SAÍDAS!K70</f>
        <v>233445.28</v>
      </c>
      <c r="K753" s="300">
        <f>SAÍDAS!L70</f>
        <v>45564.71</v>
      </c>
      <c r="L753" s="300">
        <f>SAÍDAS!M70</f>
        <v>26869.14</v>
      </c>
      <c r="M753" s="300">
        <f>SAÍDAS!N70</f>
        <v>6799.25</v>
      </c>
      <c r="N753" s="300">
        <f>SAÍDAS!O70</f>
        <v>6549.92</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131.56</v>
      </c>
      <c r="D757" s="300">
        <f>SAÍDAS!E74</f>
        <v>131.56</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382.5</v>
      </c>
      <c r="D759" s="300">
        <f>SAÍDAS!E76</f>
        <v>45</v>
      </c>
      <c r="E759" s="300">
        <f>SAÍDAS!F76</f>
        <v>45</v>
      </c>
      <c r="F759" s="300">
        <f>SAÍDAS!G76</f>
        <v>45</v>
      </c>
      <c r="G759" s="300">
        <f>SAÍDAS!H76</f>
        <v>45</v>
      </c>
      <c r="H759" s="300">
        <f>SAÍDAS!I76</f>
        <v>45</v>
      </c>
      <c r="I759" s="300">
        <f>SAÍDAS!J76</f>
        <v>45</v>
      </c>
      <c r="J759" s="300">
        <f>SAÍDAS!K76</f>
        <v>22.5</v>
      </c>
      <c r="K759" s="300">
        <f>SAÍDAS!L76</f>
        <v>22.5</v>
      </c>
      <c r="L759" s="300">
        <f>SAÍDAS!M76</f>
        <v>22.5</v>
      </c>
      <c r="M759" s="300">
        <f>SAÍDAS!N76</f>
        <v>22.5</v>
      </c>
      <c r="N759" s="300">
        <f>SAÍDAS!O76</f>
        <v>22.5</v>
      </c>
      <c r="O759" s="300">
        <f>SAÍDAS!P76</f>
        <v>0</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2000</v>
      </c>
      <c r="D763" s="300">
        <f>SAÍDAS!E80</f>
        <v>200</v>
      </c>
      <c r="E763" s="300">
        <f>SAÍDAS!F80</f>
        <v>200</v>
      </c>
      <c r="F763" s="300">
        <f>SAÍDAS!G80</f>
        <v>200</v>
      </c>
      <c r="G763" s="300">
        <f>SAÍDAS!H80</f>
        <v>200</v>
      </c>
      <c r="H763" s="300">
        <f>SAÍDAS!I80</f>
        <v>200</v>
      </c>
      <c r="I763" s="300">
        <f>SAÍDAS!J80</f>
        <v>200</v>
      </c>
      <c r="J763" s="300">
        <f>SAÍDAS!K80</f>
        <v>200</v>
      </c>
      <c r="K763" s="300">
        <f>SAÍDAS!L80</f>
        <v>200</v>
      </c>
      <c r="L763" s="300">
        <f>SAÍDAS!M80</f>
        <v>200</v>
      </c>
      <c r="M763" s="300">
        <f>SAÍDAS!N80</f>
        <v>0</v>
      </c>
      <c r="N763" s="300">
        <f>SAÍDAS!O80</f>
        <v>200</v>
      </c>
      <c r="O763" s="300">
        <f>SAÍDAS!P80</f>
        <v>0</v>
      </c>
      <c r="P763" s="224"/>
      <c r="Q763" s="678"/>
    </row>
    <row r="764" spans="1:17" hidden="1" x14ac:dyDescent="0.25">
      <c r="A764" s="670"/>
      <c r="B764" s="790" t="str">
        <f>SAÍDAS!C81</f>
        <v>Mão de Obra</v>
      </c>
      <c r="C764" s="300">
        <f t="shared" si="203"/>
        <v>1500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1500</v>
      </c>
      <c r="N764" s="300">
        <f>SAÍDAS!O81</f>
        <v>0</v>
      </c>
      <c r="O764" s="300">
        <f>SAÍDAS!P81</f>
        <v>0</v>
      </c>
      <c r="P764" s="224"/>
      <c r="Q764" s="678"/>
    </row>
    <row r="765" spans="1:17" hidden="1" x14ac:dyDescent="0.25">
      <c r="A765" s="670"/>
      <c r="B765" s="790" t="str">
        <f>SAÍDAS!C82</f>
        <v>Despesas com viajens Consultor</v>
      </c>
      <c r="C765" s="300">
        <f t="shared" si="203"/>
        <v>8389.26</v>
      </c>
      <c r="D765" s="300">
        <f>SAÍDAS!E82</f>
        <v>974.66</v>
      </c>
      <c r="E765" s="300">
        <f>SAÍDAS!F82</f>
        <v>359.23</v>
      </c>
      <c r="F765" s="300">
        <f>SAÍDAS!G82</f>
        <v>1441.94</v>
      </c>
      <c r="G765" s="300">
        <f>SAÍDAS!H82</f>
        <v>785.3</v>
      </c>
      <c r="H765" s="300">
        <f>SAÍDAS!I82</f>
        <v>1064.45</v>
      </c>
      <c r="I765" s="300">
        <f>SAÍDAS!J82</f>
        <v>525.85</v>
      </c>
      <c r="J765" s="300">
        <f>SAÍDAS!K82</f>
        <v>421.17</v>
      </c>
      <c r="K765" s="300">
        <f>SAÍDAS!L82</f>
        <v>943.88</v>
      </c>
      <c r="L765" s="300">
        <f>SAÍDAS!M82</f>
        <v>609.05999999999995</v>
      </c>
      <c r="M765" s="300">
        <f>SAÍDAS!N82</f>
        <v>929.87</v>
      </c>
      <c r="N765" s="300">
        <f>SAÍDAS!O82</f>
        <v>333.85</v>
      </c>
      <c r="O765" s="300">
        <f>SAÍDAS!P82</f>
        <v>0</v>
      </c>
      <c r="P765" s="224"/>
      <c r="Q765" s="678"/>
    </row>
    <row r="766" spans="1:17" hidden="1" x14ac:dyDescent="0.25">
      <c r="A766" s="670"/>
      <c r="B766" s="790" t="str">
        <f>SAÍDAS!C83</f>
        <v>Consultoria</v>
      </c>
      <c r="C766" s="300">
        <f t="shared" si="203"/>
        <v>22000</v>
      </c>
      <c r="D766" s="300">
        <f>SAÍDAS!E83</f>
        <v>2000</v>
      </c>
      <c r="E766" s="300">
        <f>SAÍDAS!F83</f>
        <v>2000</v>
      </c>
      <c r="F766" s="300">
        <f>SAÍDAS!G83</f>
        <v>2000</v>
      </c>
      <c r="G766" s="300">
        <f>SAÍDAS!H83</f>
        <v>2000</v>
      </c>
      <c r="H766" s="300">
        <f>SAÍDAS!I83</f>
        <v>2000</v>
      </c>
      <c r="I766" s="300">
        <f>SAÍDAS!J83</f>
        <v>2000</v>
      </c>
      <c r="J766" s="300">
        <f>SAÍDAS!K83</f>
        <v>2000</v>
      </c>
      <c r="K766" s="300">
        <f>SAÍDAS!L83</f>
        <v>2000</v>
      </c>
      <c r="L766" s="300">
        <f>SAÍDAS!M83</f>
        <v>2000</v>
      </c>
      <c r="M766" s="300">
        <f>SAÍDAS!N83</f>
        <v>2000</v>
      </c>
      <c r="N766" s="300">
        <f>SAÍDAS!O83</f>
        <v>2000</v>
      </c>
      <c r="O766" s="300">
        <f>SAÍDAS!P83</f>
        <v>0</v>
      </c>
      <c r="P766" s="224"/>
      <c r="Q766" s="678"/>
    </row>
    <row r="767" spans="1:17" hidden="1" x14ac:dyDescent="0.25">
      <c r="A767" s="670"/>
      <c r="B767" s="790" t="str">
        <f>SAÍDAS!C84</f>
        <v>Consultor</v>
      </c>
      <c r="C767" s="300">
        <f t="shared" si="203"/>
        <v>5200</v>
      </c>
      <c r="D767" s="300">
        <f>SAÍDAS!E84</f>
        <v>600</v>
      </c>
      <c r="E767" s="300">
        <f>SAÍDAS!F84</f>
        <v>300</v>
      </c>
      <c r="F767" s="300">
        <f>SAÍDAS!G84</f>
        <v>800</v>
      </c>
      <c r="G767" s="300">
        <f>SAÍDAS!H84</f>
        <v>500</v>
      </c>
      <c r="H767" s="300">
        <f>SAÍDAS!I84</f>
        <v>600</v>
      </c>
      <c r="I767" s="300">
        <f>SAÍDAS!J84</f>
        <v>300</v>
      </c>
      <c r="J767" s="300">
        <f>SAÍDAS!K84</f>
        <v>350</v>
      </c>
      <c r="K767" s="300">
        <f>SAÍDAS!L84</f>
        <v>550</v>
      </c>
      <c r="L767" s="300">
        <f>SAÍDAS!M84</f>
        <v>350</v>
      </c>
      <c r="M767" s="300">
        <f>SAÍDAS!N84</f>
        <v>500</v>
      </c>
      <c r="N767" s="300">
        <f>SAÍDAS!O84</f>
        <v>350</v>
      </c>
      <c r="O767" s="300">
        <f>SAÍDAS!P84</f>
        <v>0</v>
      </c>
      <c r="P767" s="224"/>
      <c r="Q767" s="678"/>
    </row>
    <row r="768" spans="1:17" hidden="1" x14ac:dyDescent="0.25">
      <c r="A768" s="670"/>
      <c r="B768" s="790" t="str">
        <f>SAÍDAS!C85</f>
        <v>Cassio</v>
      </c>
      <c r="C768" s="300">
        <f t="shared" si="203"/>
        <v>790</v>
      </c>
      <c r="D768" s="300">
        <f>SAÍDAS!E85</f>
        <v>0</v>
      </c>
      <c r="E768" s="300">
        <f>SAÍDAS!F85</f>
        <v>0</v>
      </c>
      <c r="F768" s="300">
        <f>SAÍDAS!G85</f>
        <v>0</v>
      </c>
      <c r="G768" s="300">
        <f>SAÍDAS!H85</f>
        <v>0</v>
      </c>
      <c r="H768" s="300">
        <f>SAÍDAS!I85</f>
        <v>0</v>
      </c>
      <c r="I768" s="300">
        <f>SAÍDAS!J85</f>
        <v>0</v>
      </c>
      <c r="J768" s="300">
        <f>SAÍDAS!K85</f>
        <v>440</v>
      </c>
      <c r="K768" s="300">
        <f>SAÍDAS!L85</f>
        <v>350</v>
      </c>
      <c r="L768" s="300">
        <f>SAÍDAS!M85</f>
        <v>0</v>
      </c>
      <c r="M768" s="300">
        <f>SAÍDAS!N85</f>
        <v>0</v>
      </c>
      <c r="N768" s="300">
        <f>SAÍDAS!O85</f>
        <v>0</v>
      </c>
      <c r="O768" s="300">
        <f>SAÍDAS!P85</f>
        <v>0</v>
      </c>
      <c r="P768" s="224"/>
      <c r="Q768" s="678"/>
    </row>
    <row r="769" spans="1:17" hidden="1" x14ac:dyDescent="0.25">
      <c r="A769" s="670"/>
      <c r="B769" s="790" t="str">
        <f>SAÍDAS!C86</f>
        <v>material limpeza, vidro</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madeiras manutencao</v>
      </c>
      <c r="C770" s="300">
        <f t="shared" si="203"/>
        <v>116</v>
      </c>
      <c r="D770" s="300">
        <f>SAÍDAS!E87</f>
        <v>0</v>
      </c>
      <c r="E770" s="300">
        <f>SAÍDAS!F87</f>
        <v>0</v>
      </c>
      <c r="F770" s="300">
        <f>SAÍDAS!G87</f>
        <v>0</v>
      </c>
      <c r="G770" s="300">
        <f>SAÍDAS!H87</f>
        <v>0</v>
      </c>
      <c r="H770" s="300">
        <f>SAÍDAS!I87</f>
        <v>0</v>
      </c>
      <c r="I770" s="300">
        <f>SAÍDAS!J87</f>
        <v>116</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1560.51</v>
      </c>
      <c r="D771" s="300">
        <f>SAÍDAS!E88</f>
        <v>210.51</v>
      </c>
      <c r="E771" s="300">
        <f>SAÍDAS!F88</f>
        <v>0</v>
      </c>
      <c r="F771" s="300">
        <f>SAÍDAS!G88</f>
        <v>530</v>
      </c>
      <c r="G771" s="300">
        <f>SAÍDAS!H88</f>
        <v>0</v>
      </c>
      <c r="H771" s="300">
        <f>SAÍDAS!I88</f>
        <v>820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frete</v>
      </c>
      <c r="C772" s="300">
        <f t="shared" si="203"/>
        <v>1804</v>
      </c>
      <c r="D772" s="300">
        <f>SAÍDAS!E89</f>
        <v>0</v>
      </c>
      <c r="E772" s="300">
        <f>SAÍDAS!F89</f>
        <v>0</v>
      </c>
      <c r="F772" s="300">
        <f>SAÍDAS!G89</f>
        <v>0</v>
      </c>
      <c r="G772" s="300">
        <f>SAÍDAS!H89</f>
        <v>0</v>
      </c>
      <c r="H772" s="300">
        <f>SAÍDAS!I89</f>
        <v>0</v>
      </c>
      <c r="I772" s="300">
        <f>SAÍDAS!J89</f>
        <v>0</v>
      </c>
      <c r="J772" s="300">
        <f>SAÍDAS!K89</f>
        <v>1154</v>
      </c>
      <c r="K772" s="300">
        <f>SAÍDAS!L89</f>
        <v>650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180</v>
      </c>
      <c r="C774" s="300">
        <f>SUM(D774:O774)</f>
        <v>43873.829999999994</v>
      </c>
      <c r="D774" s="300">
        <f>SUM(D756:D772)</f>
        <v>4161.7300000000005</v>
      </c>
      <c r="E774" s="300">
        <f t="shared" ref="E774:O774" si="204">SUM(E756:E772)</f>
        <v>2904.23</v>
      </c>
      <c r="F774" s="300">
        <f t="shared" si="204"/>
        <v>5016.9400000000005</v>
      </c>
      <c r="G774" s="300">
        <f t="shared" si="204"/>
        <v>3530.3</v>
      </c>
      <c r="H774" s="300">
        <f t="shared" si="204"/>
        <v>4729.45</v>
      </c>
      <c r="I774" s="300">
        <f t="shared" si="204"/>
        <v>3186.85</v>
      </c>
      <c r="J774" s="300">
        <f t="shared" si="204"/>
        <v>4587.67</v>
      </c>
      <c r="K774" s="300">
        <f t="shared" si="204"/>
        <v>4716.38</v>
      </c>
      <c r="L774" s="300">
        <f t="shared" si="204"/>
        <v>3181.56</v>
      </c>
      <c r="M774" s="300">
        <f t="shared" si="204"/>
        <v>4952.37</v>
      </c>
      <c r="N774" s="300">
        <f t="shared" si="204"/>
        <v>2906.35</v>
      </c>
      <c r="O774" s="300">
        <f t="shared" si="204"/>
        <v>0</v>
      </c>
      <c r="P774" s="300">
        <f>P699+P624+P549+P474</f>
        <v>334635</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12234.2</v>
      </c>
      <c r="E776" s="744">
        <f t="shared" ref="E776:O776" si="205">E774+E753</f>
        <v>8135.3700000000008</v>
      </c>
      <c r="F776" s="744">
        <f t="shared" si="205"/>
        <v>194091.54</v>
      </c>
      <c r="G776" s="744">
        <f t="shared" si="205"/>
        <v>15031.36</v>
      </c>
      <c r="H776" s="744">
        <f t="shared" si="205"/>
        <v>10379.799999999999</v>
      </c>
      <c r="I776" s="744">
        <f t="shared" si="205"/>
        <v>10877.169999999998</v>
      </c>
      <c r="J776" s="744">
        <f t="shared" si="205"/>
        <v>238032.95</v>
      </c>
      <c r="K776" s="744">
        <f t="shared" si="205"/>
        <v>50281.09</v>
      </c>
      <c r="L776" s="744">
        <f t="shared" si="205"/>
        <v>30050.7</v>
      </c>
      <c r="M776" s="744">
        <f t="shared" si="205"/>
        <v>11751.619999999999</v>
      </c>
      <c r="N776" s="744">
        <f t="shared" si="205"/>
        <v>9456.27</v>
      </c>
      <c r="O776" s="744">
        <f t="shared" si="205"/>
        <v>0</v>
      </c>
      <c r="P776" s="744">
        <f>SUM(D776:O776)</f>
        <v>590322.06999999995</v>
      </c>
      <c r="Q776" s="706"/>
    </row>
    <row r="777" spans="1:17" hidden="1" x14ac:dyDescent="0.25">
      <c r="A777" s="670"/>
      <c r="B777" s="745" t="s">
        <v>178</v>
      </c>
      <c r="C777" s="680"/>
      <c r="D777" s="746">
        <f>D776</f>
        <v>12234.2</v>
      </c>
      <c r="E777" s="746">
        <f t="shared" ref="E777" si="206">D777+E776</f>
        <v>20369.57</v>
      </c>
      <c r="F777" s="746">
        <f t="shared" ref="F777" si="207">E777+F776</f>
        <v>214461.11000000002</v>
      </c>
      <c r="G777" s="746">
        <f>F777+G776</f>
        <v>229492.47000000003</v>
      </c>
      <c r="H777" s="746">
        <f>G777+H776</f>
        <v>239872.27000000002</v>
      </c>
      <c r="I777" s="746">
        <f>H777+I776</f>
        <v>250749.44</v>
      </c>
      <c r="J777" s="746">
        <f>I777+J776</f>
        <v>488782.39</v>
      </c>
      <c r="K777" s="746">
        <f t="shared" ref="K777" si="208">J777+K776</f>
        <v>539063.48</v>
      </c>
      <c r="L777" s="746">
        <f t="shared" ref="L777" si="209">K777+L776</f>
        <v>569114.17999999993</v>
      </c>
      <c r="M777" s="746">
        <f t="shared" ref="M777" si="210">L777+M776</f>
        <v>580865.79999999993</v>
      </c>
      <c r="N777" s="746">
        <f t="shared" ref="N777" si="211">M777+N776</f>
        <v>590322.06999999995</v>
      </c>
      <c r="O777" s="747">
        <f t="shared" ref="O777" si="212">N777+O776</f>
        <v>590322.06999999995</v>
      </c>
      <c r="P777" s="748"/>
      <c r="Q777" s="706"/>
    </row>
    <row r="778" spans="1:17" hidden="1" x14ac:dyDescent="0.25">
      <c r="A778" s="670"/>
      <c r="B778" s="745" t="s">
        <v>181</v>
      </c>
      <c r="C778" s="680"/>
      <c r="D778" s="749">
        <f t="shared" ref="D778:O778" si="213">IF(D166="",0,D776)</f>
        <v>12234.2</v>
      </c>
      <c r="E778" s="749">
        <f t="shared" si="213"/>
        <v>8135.3700000000008</v>
      </c>
      <c r="F778" s="749">
        <f t="shared" si="213"/>
        <v>194091.54</v>
      </c>
      <c r="G778" s="749">
        <f t="shared" si="213"/>
        <v>15031.36</v>
      </c>
      <c r="H778" s="749">
        <f t="shared" si="213"/>
        <v>10379.799999999999</v>
      </c>
      <c r="I778" s="749">
        <f t="shared" si="213"/>
        <v>10877.169999999998</v>
      </c>
      <c r="J778" s="749">
        <f t="shared" si="213"/>
        <v>238032.95</v>
      </c>
      <c r="K778" s="749">
        <f t="shared" si="213"/>
        <v>50281.09</v>
      </c>
      <c r="L778" s="749">
        <f t="shared" si="213"/>
        <v>30050.7</v>
      </c>
      <c r="M778" s="749">
        <f t="shared" si="213"/>
        <v>11751.619999999999</v>
      </c>
      <c r="N778" s="749">
        <f t="shared" si="213"/>
        <v>9456.27</v>
      </c>
      <c r="O778" s="749">
        <f t="shared" si="213"/>
        <v>0</v>
      </c>
      <c r="P778" s="748"/>
      <c r="Q778" s="706"/>
    </row>
    <row r="779" spans="1:17" hidden="1" x14ac:dyDescent="0.25">
      <c r="A779" s="670"/>
      <c r="B779" s="745" t="s">
        <v>182</v>
      </c>
      <c r="C779" s="680"/>
      <c r="D779" s="759">
        <f>D778</f>
        <v>12234.2</v>
      </c>
      <c r="E779" s="759">
        <f t="shared" ref="E779" si="214">(D779+E778)</f>
        <v>20369.57</v>
      </c>
      <c r="F779" s="759">
        <f t="shared" ref="F779" si="215">(E779+F778)</f>
        <v>214461.11000000002</v>
      </c>
      <c r="G779" s="759">
        <f>(F779+G778)</f>
        <v>229492.47000000003</v>
      </c>
      <c r="H779" s="759">
        <f>(G779+H778)</f>
        <v>239872.27000000002</v>
      </c>
      <c r="I779" s="759">
        <f>(H779+I778)</f>
        <v>250749.44</v>
      </c>
      <c r="J779" s="759">
        <f>(I779+J778)</f>
        <v>488782.39</v>
      </c>
      <c r="K779" s="759">
        <f t="shared" ref="K779" si="216">(J779+K778)</f>
        <v>539063.48</v>
      </c>
      <c r="L779" s="759">
        <f t="shared" ref="L779" si="217">(K779+L778)</f>
        <v>569114.17999999993</v>
      </c>
      <c r="M779" s="759">
        <f t="shared" ref="M779" si="218">(L779+M778)</f>
        <v>580865.79999999993</v>
      </c>
      <c r="N779" s="759">
        <f t="shared" ref="N779" si="219">(M779+N778)</f>
        <v>590322.06999999995</v>
      </c>
      <c r="O779" s="760">
        <f t="shared" ref="O779" si="220">(N779+O778)</f>
        <v>590322.06999999995</v>
      </c>
      <c r="P779" s="748"/>
      <c r="Q779" s="706"/>
    </row>
    <row r="780" spans="1:17" hidden="1" x14ac:dyDescent="0.25">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187</v>
      </c>
      <c r="C783" s="680"/>
      <c r="D783" s="746">
        <f t="shared" ref="D783:O783" si="229">D778+D782</f>
        <v>12234.2</v>
      </c>
      <c r="E783" s="746">
        <f t="shared" si="229"/>
        <v>8135.3700000000008</v>
      </c>
      <c r="F783" s="746">
        <f t="shared" si="229"/>
        <v>194091.54</v>
      </c>
      <c r="G783" s="746">
        <f t="shared" si="229"/>
        <v>15031.36</v>
      </c>
      <c r="H783" s="746">
        <f t="shared" si="229"/>
        <v>10379.799999999999</v>
      </c>
      <c r="I783" s="746">
        <f t="shared" si="229"/>
        <v>10877.169999999998</v>
      </c>
      <c r="J783" s="746">
        <f t="shared" si="229"/>
        <v>238032.95</v>
      </c>
      <c r="K783" s="746">
        <f t="shared" si="229"/>
        <v>50281.09</v>
      </c>
      <c r="L783" s="746">
        <f t="shared" si="229"/>
        <v>30050.7</v>
      </c>
      <c r="M783" s="746">
        <f t="shared" si="229"/>
        <v>11751.619999999999</v>
      </c>
      <c r="N783" s="746">
        <f t="shared" si="229"/>
        <v>9456.27</v>
      </c>
      <c r="O783" s="746">
        <f t="shared" si="229"/>
        <v>0</v>
      </c>
      <c r="P783" s="746">
        <f>SUM(D783:O783)</f>
        <v>590322.06999999995</v>
      </c>
      <c r="Q783" s="706"/>
    </row>
    <row r="784" spans="1:17" ht="15.75" hidden="1" thickBot="1" x14ac:dyDescent="0.3">
      <c r="A784" s="670"/>
      <c r="B784" s="746" t="s">
        <v>183</v>
      </c>
      <c r="C784" s="754">
        <f>COUNTIF(D780:O780,0)</f>
        <v>0</v>
      </c>
      <c r="D784" s="746">
        <f t="shared" ref="D784:O784" si="230">IF(D780=$P780,$P782,0)+D783</f>
        <v>12234.2</v>
      </c>
      <c r="E784" s="746">
        <f t="shared" si="230"/>
        <v>8135.3700000000008</v>
      </c>
      <c r="F784" s="746">
        <f t="shared" si="230"/>
        <v>194091.54</v>
      </c>
      <c r="G784" s="746">
        <f t="shared" si="230"/>
        <v>15031.36</v>
      </c>
      <c r="H784" s="746">
        <f t="shared" si="230"/>
        <v>10379.799999999999</v>
      </c>
      <c r="I784" s="746">
        <f t="shared" si="230"/>
        <v>10877.169999999998</v>
      </c>
      <c r="J784" s="746">
        <f t="shared" si="230"/>
        <v>238032.95</v>
      </c>
      <c r="K784" s="746">
        <f t="shared" si="230"/>
        <v>50281.09</v>
      </c>
      <c r="L784" s="746">
        <f t="shared" si="230"/>
        <v>30050.7</v>
      </c>
      <c r="M784" s="746">
        <f t="shared" si="230"/>
        <v>11751.619999999999</v>
      </c>
      <c r="N784" s="746">
        <f t="shared" si="230"/>
        <v>9456.27</v>
      </c>
      <c r="O784" s="746">
        <f t="shared" si="230"/>
        <v>0</v>
      </c>
      <c r="P784" s="746">
        <f>SUM(D784:O784)</f>
        <v>590322.06999999995</v>
      </c>
      <c r="Q784" s="706"/>
    </row>
    <row r="785" spans="1:17" ht="15.75" hidden="1" thickBot="1" x14ac:dyDescent="0.3">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x14ac:dyDescent="0.25"/>
  </sheetData>
  <sheetProtection password="E066"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58"/>
  <sheetViews>
    <sheetView showGridLines="0" topLeftCell="A9" zoomScale="80" zoomScaleNormal="8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Bonanza</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Quatá</v>
      </c>
      <c r="D3" s="469"/>
      <c r="E3" s="469"/>
      <c r="F3" s="469"/>
      <c r="G3" s="469"/>
      <c r="H3" s="469" t="str">
        <f>REBANHO!F3</f>
        <v>Área total da propriedade (ha)</v>
      </c>
      <c r="I3" s="469"/>
      <c r="J3" s="469"/>
      <c r="K3" s="469"/>
      <c r="L3" s="470">
        <f>IF(REBANHO!I3="","",REBANHO!I3)</f>
        <v>1100</v>
      </c>
    </row>
    <row r="4" spans="2:12" x14ac:dyDescent="0.25">
      <c r="B4" s="468" t="str">
        <f>REBANHO!B4</f>
        <v>Estado</v>
      </c>
      <c r="C4" s="469" t="str">
        <f>IF(REBANHO!C4="","",REBANHO!C4)</f>
        <v>SP</v>
      </c>
      <c r="D4" s="469"/>
      <c r="E4" s="469"/>
      <c r="F4" s="469"/>
      <c r="G4" s="469"/>
      <c r="H4" s="469" t="str">
        <f>REBANHO!F4</f>
        <v>Área de pasto (ha)</v>
      </c>
      <c r="I4" s="469"/>
      <c r="J4" s="469"/>
      <c r="K4" s="469"/>
      <c r="L4" s="470">
        <f>IF(REBANHO!I4="","",REBANHO!I4)</f>
        <v>100.9</v>
      </c>
    </row>
    <row r="5" spans="2:12" x14ac:dyDescent="0.25">
      <c r="B5" s="468" t="str">
        <f>REBANHO!B5</f>
        <v>Proprietário</v>
      </c>
      <c r="C5" s="469" t="str">
        <f>IF(REBANHO!C5="","",REBANHO!C5)</f>
        <v>Marcelo Delchiaro</v>
      </c>
      <c r="D5" s="469"/>
      <c r="E5" s="469"/>
      <c r="F5" s="469"/>
      <c r="G5" s="469"/>
      <c r="H5" s="469" t="str">
        <f>REBANHO!F5</f>
        <v>Área de reserva (ha)</v>
      </c>
      <c r="I5" s="469"/>
      <c r="J5" s="469"/>
      <c r="K5" s="469"/>
      <c r="L5" s="470">
        <f>IF(REBANHO!I5="","",REBANHO!I5)</f>
        <v>11</v>
      </c>
    </row>
    <row r="6" spans="2:12" x14ac:dyDescent="0.25">
      <c r="B6" s="468" t="str">
        <f>REBANHO!B6</f>
        <v>Sistema de produção</v>
      </c>
      <c r="C6" s="469" t="str">
        <f>IF(REBANHO!C6="","",REBANHO!C6)</f>
        <v>Rotacionado - Adubado</v>
      </c>
      <c r="D6" s="469"/>
      <c r="E6" s="469"/>
      <c r="F6" s="469"/>
      <c r="G6" s="469"/>
      <c r="H6" s="469" t="str">
        <f>REBANHO!F6</f>
        <v>Outros (ha)</v>
      </c>
      <c r="I6" s="469"/>
      <c r="J6" s="469"/>
      <c r="K6" s="469"/>
      <c r="L6" s="470" t="str">
        <f>IF(REBANHO!I6="","",REBANHO!I6)</f>
        <v/>
      </c>
    </row>
    <row r="7" spans="2:12" ht="15.75" thickBot="1" x14ac:dyDescent="0.3">
      <c r="B7" s="471" t="str">
        <f>REBANHO!B7</f>
        <v>Valor da terra (R$/ha)</v>
      </c>
      <c r="C7" s="472">
        <f>IF(REBANHO!C7="","",REBANHO!C7)</f>
        <v>30000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5" t="s">
        <v>316</v>
      </c>
      <c r="C10" s="1266"/>
      <c r="D10" s="80"/>
    </row>
    <row r="11" spans="2:12" ht="15.75" thickTop="1" x14ac:dyDescent="0.25"/>
    <row r="12" spans="2:12" ht="15.75" thickBot="1" x14ac:dyDescent="0.3"/>
    <row r="13" spans="2:12" ht="15.75" thickTop="1" x14ac:dyDescent="0.25">
      <c r="B13" s="1270" t="s">
        <v>315</v>
      </c>
      <c r="C13" s="1271"/>
      <c r="D13" s="1271"/>
      <c r="E13" s="1271"/>
      <c r="F13" s="1272"/>
      <c r="G13" s="474">
        <f>IF(REBANHO!R54=0,0,(REBANHO!Q63/REBANHO!R54)*100)</f>
        <v>0</v>
      </c>
      <c r="H13" s="461"/>
      <c r="I13" s="461"/>
      <c r="J13" s="461"/>
      <c r="K13" s="461"/>
      <c r="L13" s="461"/>
    </row>
    <row r="14" spans="2:12" x14ac:dyDescent="0.25">
      <c r="B14" s="1267" t="s">
        <v>331</v>
      </c>
      <c r="C14" s="1268"/>
      <c r="D14" s="1268"/>
      <c r="E14" s="1268"/>
      <c r="F14" s="1269"/>
      <c r="G14" s="475">
        <f>IF(N39=0,0,IF(AND(SUM(C40:N40)=0,OR(SUM(C44:N44)=0,SUM(C44:N44)&lt;0)),0,(O43/N39)*100))</f>
        <v>0</v>
      </c>
      <c r="H14" s="461"/>
      <c r="I14" s="461"/>
      <c r="J14" s="461"/>
      <c r="K14" s="461"/>
      <c r="L14" s="461"/>
    </row>
    <row r="15" spans="2:12" x14ac:dyDescent="0.25">
      <c r="B15" s="1267" t="s">
        <v>330</v>
      </c>
      <c r="C15" s="1268"/>
      <c r="D15" s="1268"/>
      <c r="E15" s="1268"/>
      <c r="F15" s="1269"/>
      <c r="G15" s="475">
        <f>IF(N60=0,0,IF(AND(SUM(C61:N61)=0,OR(SUM(C65:N65)=0,SUM(C65:N65)&lt;0)),0,(O64/N60)*100))</f>
        <v>0</v>
      </c>
      <c r="H15" s="461"/>
      <c r="I15" s="461"/>
      <c r="J15" s="461"/>
      <c r="K15" s="461"/>
      <c r="L15" s="461"/>
    </row>
    <row r="16" spans="2:12" x14ac:dyDescent="0.25">
      <c r="B16" s="1267" t="s">
        <v>317</v>
      </c>
      <c r="C16" s="1268"/>
      <c r="D16" s="1268"/>
      <c r="E16" s="1268"/>
      <c r="F16" s="1269"/>
      <c r="G16" s="476">
        <f>IF(OR('RESULTADOS FINANCEIROS'!M26=0,'RESULTADOS FINANCEIROS'!M26="-"),0,(REBANHO!Q67/'RESULTADOS FINANCEIROS'!M26)*100)</f>
        <v>0</v>
      </c>
      <c r="H16" s="461"/>
      <c r="I16" s="461"/>
      <c r="J16" s="461"/>
      <c r="K16" s="461"/>
      <c r="L16" s="461"/>
    </row>
    <row r="17" spans="2:23" x14ac:dyDescent="0.25">
      <c r="B17" s="1267" t="s">
        <v>318</v>
      </c>
      <c r="C17" s="1268"/>
      <c r="D17" s="1268"/>
      <c r="E17" s="1268"/>
      <c r="F17" s="1269"/>
      <c r="G17" s="476">
        <f>IF(OR('RESULTADOS FINANCEIROS'!M27=0,'RESULTADOS FINANCEIROS'!M27="-"),0,(REBANHO!Q69/'RESULTADOS FINANCEIROS'!M27)*100)</f>
        <v>1.2322858903265557</v>
      </c>
      <c r="H17" s="461"/>
      <c r="I17" s="461"/>
      <c r="J17" s="461"/>
      <c r="K17" s="461"/>
      <c r="L17" s="461"/>
    </row>
    <row r="18" spans="2:23" x14ac:dyDescent="0.25">
      <c r="B18" s="1267" t="s">
        <v>319</v>
      </c>
      <c r="C18" s="1268"/>
      <c r="D18" s="1268"/>
      <c r="E18" s="1268"/>
      <c r="F18" s="1269"/>
      <c r="G18" s="476">
        <f>IF(OR('RESULTADOS FINANCEIROS'!M28=0,'RESULTADOS FINANCEIROS'!M28="-"),0,(REBANHO!Q71/'RESULTADOS FINANCEIROS'!M28)*100)</f>
        <v>0</v>
      </c>
      <c r="H18" s="461"/>
      <c r="I18" s="461"/>
      <c r="J18" s="461"/>
      <c r="K18" s="461"/>
      <c r="L18" s="461"/>
    </row>
    <row r="19" spans="2:23" x14ac:dyDescent="0.25">
      <c r="B19" s="1267" t="s">
        <v>320</v>
      </c>
      <c r="C19" s="1268"/>
      <c r="D19" s="1268"/>
      <c r="E19" s="1268"/>
      <c r="F19" s="1269"/>
      <c r="G19" s="476">
        <f>IF(OR('RESULTADOS FINANCEIROS'!M29=0,'RESULTADOS FINANCEIROS'!M29="-"),0,(REBANHO!Q73+REBANHO!Q75/'RESULTADOS FINANCEIROS'!M29)*100)</f>
        <v>0</v>
      </c>
      <c r="H19" s="461"/>
      <c r="I19" s="461"/>
      <c r="J19" s="461"/>
      <c r="K19" s="461"/>
      <c r="L19" s="461"/>
    </row>
    <row r="20" spans="2:23" x14ac:dyDescent="0.25">
      <c r="B20" s="1267" t="s">
        <v>321</v>
      </c>
      <c r="C20" s="1268"/>
      <c r="D20" s="1268"/>
      <c r="E20" s="1268"/>
      <c r="F20" s="1269"/>
      <c r="G20" s="477" t="str">
        <f>IF(AND(REBANHO!R54=0,REBANHO!R55=0),0,CONCATENATE(ROUND(REBANHO!R54/REBANHO!R55,0),":","1"))</f>
        <v>0:1</v>
      </c>
      <c r="H20" s="461"/>
      <c r="I20" s="461"/>
      <c r="J20" s="461"/>
      <c r="K20" s="461"/>
      <c r="L20" s="461"/>
    </row>
    <row r="21" spans="2:23" x14ac:dyDescent="0.25">
      <c r="B21" s="1267" t="s">
        <v>339</v>
      </c>
      <c r="C21" s="1268"/>
      <c r="D21" s="1268"/>
      <c r="E21" s="1268"/>
      <c r="F21" s="1269"/>
      <c r="G21" s="478">
        <f>O87</f>
        <v>0</v>
      </c>
      <c r="H21" s="271"/>
      <c r="I21" s="271"/>
      <c r="J21" s="271"/>
      <c r="K21" s="271"/>
      <c r="L21" s="461"/>
    </row>
    <row r="22" spans="2:23" x14ac:dyDescent="0.25">
      <c r="B22" s="1267" t="s">
        <v>340</v>
      </c>
      <c r="C22" s="1268"/>
      <c r="D22" s="1268"/>
      <c r="E22" s="1268"/>
      <c r="F22" s="1269"/>
      <c r="G22" s="1066">
        <f>IF(N88=0,0,(G21/N88)*100)</f>
        <v>0</v>
      </c>
      <c r="H22" s="224"/>
      <c r="I22" s="224"/>
      <c r="J22" s="479"/>
      <c r="K22" s="224"/>
      <c r="L22" s="461"/>
    </row>
    <row r="23" spans="2:23" x14ac:dyDescent="0.25">
      <c r="B23" s="1267" t="s">
        <v>343</v>
      </c>
      <c r="C23" s="1268"/>
      <c r="D23" s="1268"/>
      <c r="E23" s="1268"/>
      <c r="F23" s="1269"/>
      <c r="G23" s="476" t="e">
        <f>IF(REBANHO!R54+REBANHO!R55=0,0,O90/(REBANHO!R54+REBANHO!R55))</f>
        <v>#DIV/0!</v>
      </c>
      <c r="H23" s="224"/>
      <c r="I23" s="224"/>
      <c r="J23" s="479"/>
      <c r="K23" s="224"/>
      <c r="L23" s="461"/>
    </row>
    <row r="24" spans="2:23" x14ac:dyDescent="0.25">
      <c r="B24" s="1267" t="s">
        <v>345</v>
      </c>
      <c r="C24" s="1268"/>
      <c r="D24" s="1268"/>
      <c r="E24" s="1268">
        <f>SUM(O57,O78,O100,O121,O144)</f>
        <v>199596</v>
      </c>
      <c r="F24" s="1269"/>
      <c r="G24" s="476">
        <f>IF((O57+O78+O100+O121+O144)=0,0,(O48+O49+O69+O70+O92++O113+O135+O136)/((O57+O78+O100+O121+O144)))</f>
        <v>0.38727730014629552</v>
      </c>
      <c r="H24" s="461"/>
      <c r="I24" s="461"/>
      <c r="J24" s="461"/>
      <c r="K24" s="461"/>
      <c r="L24" s="461"/>
    </row>
    <row r="25" spans="2:23" ht="15.75" thickBot="1" x14ac:dyDescent="0.3">
      <c r="B25" s="1262" t="s">
        <v>363</v>
      </c>
      <c r="C25" s="1263"/>
      <c r="D25" s="1263"/>
      <c r="E25" s="1263"/>
      <c r="F25" s="1264"/>
      <c r="G25" s="480">
        <f>IF(OR($L$4=0,$L$4=""),0,(O57+O78+O100+O121+O144)/L4)</f>
        <v>1978.1565906838453</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249</v>
      </c>
      <c r="C27" s="482" t="s">
        <v>0</v>
      </c>
      <c r="D27" s="482" t="s">
        <v>1</v>
      </c>
      <c r="E27" s="482" t="s">
        <v>2</v>
      </c>
      <c r="F27" s="482" t="s">
        <v>3</v>
      </c>
      <c r="G27" s="482" t="s">
        <v>4</v>
      </c>
      <c r="H27" s="482" t="s">
        <v>5</v>
      </c>
      <c r="I27" s="482" t="s">
        <v>6</v>
      </c>
      <c r="J27" s="482" t="s">
        <v>7</v>
      </c>
      <c r="K27" s="482" t="s">
        <v>8</v>
      </c>
      <c r="L27" s="482" t="s">
        <v>9</v>
      </c>
      <c r="M27" s="482" t="s">
        <v>10</v>
      </c>
      <c r="N27" s="483" t="s">
        <v>11</v>
      </c>
      <c r="O27" s="484" t="s">
        <v>311</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92.601851851851848</v>
      </c>
      <c r="D29" s="486">
        <f>REBANHO!F95</f>
        <v>92.601851851851848</v>
      </c>
      <c r="E29" s="486">
        <f>REBANHO!G95</f>
        <v>127.17777777777778</v>
      </c>
      <c r="F29" s="486">
        <f>REBANHO!H95</f>
        <v>59.703703703703702</v>
      </c>
      <c r="G29" s="486">
        <f>REBANHO!I95</f>
        <v>45.075925925925922</v>
      </c>
      <c r="H29" s="486">
        <f>REBANHO!J95</f>
        <v>45.075925925925922</v>
      </c>
      <c r="I29" s="486">
        <f>REBANHO!K95</f>
        <v>81.2</v>
      </c>
      <c r="J29" s="486">
        <f>REBANHO!L95</f>
        <v>91.111111111111114</v>
      </c>
      <c r="K29" s="486">
        <f>REBANHO!M95</f>
        <v>97.088888888888889</v>
      </c>
      <c r="L29" s="486">
        <f>REBANHO!N95</f>
        <v>97.088888888888889</v>
      </c>
      <c r="M29" s="486">
        <f>REBANHO!O95</f>
        <v>0</v>
      </c>
      <c r="N29" s="828">
        <f>REBANHO!P95</f>
        <v>0</v>
      </c>
      <c r="O29" s="1065">
        <f>REBANHO!Q95</f>
        <v>69.060493827160485</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92.705555555555549</v>
      </c>
      <c r="G30" s="486">
        <f>REBANHO!I96</f>
        <v>111.91481481481482</v>
      </c>
      <c r="H30" s="486">
        <f>REBANHO!J96</f>
        <v>111.91481481481482</v>
      </c>
      <c r="I30" s="486">
        <f>REBANHO!K96</f>
        <v>19.209259259259259</v>
      </c>
      <c r="J30" s="486">
        <f>REBANHO!L96</f>
        <v>19.209259259259259</v>
      </c>
      <c r="K30" s="486">
        <f>REBANHO!M96</f>
        <v>0</v>
      </c>
      <c r="L30" s="486">
        <f>REBANHO!N96</f>
        <v>0</v>
      </c>
      <c r="M30" s="486">
        <f>REBANHO!O96</f>
        <v>0</v>
      </c>
      <c r="N30" s="828">
        <f>REBANHO!P96</f>
        <v>0</v>
      </c>
      <c r="O30" s="1065">
        <f>REBANHO!Q96</f>
        <v>29.579475308641978</v>
      </c>
      <c r="Q30" s="235"/>
      <c r="R30" s="224"/>
      <c r="S30" s="224"/>
      <c r="T30" s="224"/>
      <c r="U30" s="224"/>
      <c r="V30" s="224"/>
      <c r="W30" s="224"/>
    </row>
    <row r="31" spans="2:23" s="50" customFormat="1" x14ac:dyDescent="0.25">
      <c r="B31" s="488" t="s">
        <v>237</v>
      </c>
      <c r="C31" s="486">
        <f>REBANHO!E97</f>
        <v>1.1111111111111112</v>
      </c>
      <c r="D31" s="486">
        <f>REBANHO!F97</f>
        <v>1.1111111111111112</v>
      </c>
      <c r="E31" s="486">
        <f>REBANHO!G97</f>
        <v>1.1111111111111112</v>
      </c>
      <c r="F31" s="486">
        <f>REBANHO!H97</f>
        <v>1.1111111111111112</v>
      </c>
      <c r="G31" s="486">
        <f>REBANHO!I97</f>
        <v>1.1111111111111112</v>
      </c>
      <c r="H31" s="486">
        <f>REBANHO!J97</f>
        <v>1.1111111111111112</v>
      </c>
      <c r="I31" s="486">
        <f>REBANHO!K97</f>
        <v>1.1222222222222222</v>
      </c>
      <c r="J31" s="486">
        <f>REBANHO!L97</f>
        <v>1.1222222222222222</v>
      </c>
      <c r="K31" s="486">
        <f>REBANHO!M97</f>
        <v>1.0185185185185186</v>
      </c>
      <c r="L31" s="486">
        <f>REBANHO!N97</f>
        <v>1.0185185185185186</v>
      </c>
      <c r="M31" s="486">
        <f>REBANHO!O97</f>
        <v>0</v>
      </c>
      <c r="N31" s="828">
        <f>REBANHO!P97</f>
        <v>0</v>
      </c>
      <c r="O31" s="1065">
        <f>REBANHO!Q97</f>
        <v>0.91234567901234565</v>
      </c>
      <c r="Q31" s="235"/>
      <c r="R31" s="224"/>
      <c r="S31" s="224"/>
      <c r="T31" s="224"/>
      <c r="U31" s="224"/>
      <c r="V31" s="224"/>
      <c r="W31" s="224"/>
    </row>
    <row r="32" spans="2:23" s="50" customFormat="1" ht="15.75" thickBot="1" x14ac:dyDescent="0.3">
      <c r="B32" s="489" t="s">
        <v>17</v>
      </c>
      <c r="C32" s="490">
        <f>SUM(C28:C31)</f>
        <v>93.712962962962962</v>
      </c>
      <c r="D32" s="490">
        <f t="shared" ref="D32:N32" si="0">SUM(D28:D31)</f>
        <v>93.712962962962962</v>
      </c>
      <c r="E32" s="490">
        <f t="shared" si="0"/>
        <v>128.28888888888889</v>
      </c>
      <c r="F32" s="490">
        <f t="shared" si="0"/>
        <v>153.52037037037036</v>
      </c>
      <c r="G32" s="490">
        <f t="shared" si="0"/>
        <v>158.10185185185185</v>
      </c>
      <c r="H32" s="490">
        <f t="shared" si="0"/>
        <v>158.10185185185185</v>
      </c>
      <c r="I32" s="490">
        <f t="shared" si="0"/>
        <v>101.53148148148148</v>
      </c>
      <c r="J32" s="490">
        <f t="shared" si="0"/>
        <v>111.44259259259259</v>
      </c>
      <c r="K32" s="490">
        <f t="shared" si="0"/>
        <v>98.107407407407408</v>
      </c>
      <c r="L32" s="490">
        <f t="shared" si="0"/>
        <v>98.107407407407408</v>
      </c>
      <c r="M32" s="490">
        <f t="shared" si="0"/>
        <v>0</v>
      </c>
      <c r="N32" s="491">
        <f t="shared" si="0"/>
        <v>0</v>
      </c>
      <c r="O32" s="829">
        <f>SUM(O28:O31)</f>
        <v>99.552314814814807</v>
      </c>
      <c r="R32" s="224"/>
      <c r="S32" s="224"/>
      <c r="T32" s="224"/>
      <c r="U32" s="224"/>
      <c r="V32" s="224"/>
      <c r="W32" s="224"/>
    </row>
    <row r="33" spans="2:25" s="50" customFormat="1" ht="16.5" thickTop="1" thickBot="1" x14ac:dyDescent="0.3">
      <c r="B33" s="492" t="s">
        <v>322</v>
      </c>
      <c r="C33" s="493">
        <f>IF(OR($L$4=0,$L$4=""),0,C32/$L$4)</f>
        <v>0.92877069338912743</v>
      </c>
      <c r="D33" s="493">
        <f t="shared" ref="D33:N33" si="1">IF(OR($L$4=0,$L$4=""),0,D32/$L$4)</f>
        <v>0.92877069338912743</v>
      </c>
      <c r="E33" s="493">
        <f t="shared" si="1"/>
        <v>1.2714458760048453</v>
      </c>
      <c r="F33" s="493">
        <f t="shared" si="1"/>
        <v>1.5215101126894981</v>
      </c>
      <c r="G33" s="493">
        <f t="shared" si="1"/>
        <v>1.5669162720698895</v>
      </c>
      <c r="H33" s="493">
        <f t="shared" si="1"/>
        <v>1.5669162720698895</v>
      </c>
      <c r="I33" s="493">
        <f t="shared" si="1"/>
        <v>1.0062584884190433</v>
      </c>
      <c r="J33" s="493">
        <f t="shared" si="1"/>
        <v>1.1044855559226223</v>
      </c>
      <c r="K33" s="493">
        <f t="shared" si="1"/>
        <v>0.97232316558381959</v>
      </c>
      <c r="L33" s="493">
        <f t="shared" si="1"/>
        <v>0.97232316558381959</v>
      </c>
      <c r="M33" s="493">
        <f t="shared" si="1"/>
        <v>0</v>
      </c>
      <c r="N33" s="493">
        <f t="shared" si="1"/>
        <v>0</v>
      </c>
      <c r="O33" s="830">
        <f>IF(OR($L$4=0,$L$4=""),0,O32/$L$4)</f>
        <v>0.9866433579268068</v>
      </c>
      <c r="R33" s="224"/>
      <c r="S33" s="224"/>
      <c r="T33" s="224"/>
      <c r="U33" s="224"/>
      <c r="V33" s="224"/>
      <c r="W33" s="224"/>
    </row>
    <row r="34" spans="2:25" s="50" customFormat="1" ht="15.75" thickTop="1" x14ac:dyDescent="0.25">
      <c r="B34" s="494" t="s">
        <v>312</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324</v>
      </c>
      <c r="D38" s="800"/>
      <c r="E38" s="800"/>
      <c r="F38" s="800"/>
      <c r="G38" s="800"/>
      <c r="H38" s="800"/>
      <c r="I38" s="800"/>
      <c r="J38" s="800"/>
      <c r="K38" s="800"/>
      <c r="L38" s="800"/>
      <c r="M38" s="800"/>
      <c r="N38" s="800"/>
      <c r="O38" s="800"/>
    </row>
    <row r="39" spans="2:25" s="799" customFormat="1" ht="11.25" hidden="1" x14ac:dyDescent="0.2">
      <c r="B39" s="799" t="s">
        <v>323</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325</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326</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344</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327</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362</v>
      </c>
    </row>
    <row r="44" spans="2:25" s="799" customFormat="1" ht="11.25" hidden="1" x14ac:dyDescent="0.2">
      <c r="B44" s="802" t="s">
        <v>328</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328</v>
      </c>
    </row>
    <row r="45" spans="2:25" s="799" customFormat="1" ht="13.5" hidden="1" customHeight="1" x14ac:dyDescent="0.2">
      <c r="B45" s="804" t="s">
        <v>329</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346</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360</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350</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352</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353</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354</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355</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356</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351</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364</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365</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366</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332</v>
      </c>
    </row>
    <row r="60" spans="2:16" hidden="1" x14ac:dyDescent="0.25">
      <c r="B60" s="460" t="s">
        <v>323</v>
      </c>
      <c r="C60" s="499">
        <f>IF(REBANHO!E55="",0,REBANHO!E55)</f>
        <v>1</v>
      </c>
      <c r="D60" s="499">
        <f>IF(REBANHO!F55="",0,REBANHO!F55)</f>
        <v>1</v>
      </c>
      <c r="E60" s="499">
        <f>IF(REBANHO!G55="",0,REBANHO!G55)</f>
        <v>1</v>
      </c>
      <c r="F60" s="499">
        <f>IF(REBANHO!H55="",0,REBANHO!H55)</f>
        <v>1</v>
      </c>
      <c r="G60" s="499">
        <f>IF(REBANHO!I55="",0,REBANHO!I55)</f>
        <v>1</v>
      </c>
      <c r="H60" s="499">
        <f>IF(REBANHO!J55="",0,REBANHO!J55)</f>
        <v>1</v>
      </c>
      <c r="I60" s="499">
        <f>IF(REBANHO!K55="",0,REBANHO!K55)</f>
        <v>1</v>
      </c>
      <c r="J60" s="499">
        <f>IF(REBANHO!L55="",0,REBANHO!L55)</f>
        <v>1</v>
      </c>
      <c r="K60" s="499">
        <f>IF(REBANHO!M55="",0,REBANHO!M55)</f>
        <v>1</v>
      </c>
      <c r="L60" s="499">
        <f>IF(REBANHO!N55="",0,REBANHO!N55)</f>
        <v>1</v>
      </c>
      <c r="M60" s="499">
        <f>IF(REBANHO!O55="",0,REBANHO!O55)</f>
        <v>0</v>
      </c>
      <c r="N60" s="499">
        <f>IF(REBANHO!P55="",0,REBANHO!P55)</f>
        <v>0</v>
      </c>
      <c r="O60" s="227"/>
      <c r="P60" s="499"/>
    </row>
    <row r="61" spans="2:16" hidden="1" x14ac:dyDescent="0.25">
      <c r="B61" s="460" t="s">
        <v>325</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326</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344</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327</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-2</v>
      </c>
      <c r="P64" s="460" t="s">
        <v>362</v>
      </c>
    </row>
    <row r="65" spans="2:16" hidden="1" x14ac:dyDescent="0.25">
      <c r="B65" s="500" t="s">
        <v>328</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-1</v>
      </c>
      <c r="N65" s="501">
        <f t="shared" si="11"/>
        <v>-1</v>
      </c>
      <c r="O65" s="499">
        <f>SUM(C65:N65)</f>
        <v>-2</v>
      </c>
      <c r="P65" s="460" t="s">
        <v>328</v>
      </c>
    </row>
    <row r="66" spans="2:16" hidden="1" x14ac:dyDescent="0.25">
      <c r="B66" s="502" t="s">
        <v>329</v>
      </c>
      <c r="C66" s="503">
        <f>SAÍDAS!C23+C61-C62-C63-C64</f>
        <v>1</v>
      </c>
      <c r="D66" s="503">
        <f>C66+D61-D62-D63-D64</f>
        <v>1</v>
      </c>
      <c r="E66" s="503">
        <f t="shared" ref="E66:N66" si="12">D66+E61-E62-E63-E64</f>
        <v>1</v>
      </c>
      <c r="F66" s="503">
        <f t="shared" si="12"/>
        <v>1</v>
      </c>
      <c r="G66" s="503">
        <f t="shared" si="12"/>
        <v>1</v>
      </c>
      <c r="H66" s="503">
        <f t="shared" si="12"/>
        <v>1</v>
      </c>
      <c r="I66" s="503">
        <f t="shared" si="12"/>
        <v>1</v>
      </c>
      <c r="J66" s="503">
        <f t="shared" si="12"/>
        <v>1</v>
      </c>
      <c r="K66" s="503">
        <f t="shared" si="12"/>
        <v>1</v>
      </c>
      <c r="L66" s="503">
        <f t="shared" si="12"/>
        <v>1</v>
      </c>
      <c r="M66" s="503">
        <f t="shared" si="12"/>
        <v>1</v>
      </c>
      <c r="N66" s="503">
        <f t="shared" si="12"/>
        <v>1</v>
      </c>
      <c r="O66" s="227"/>
      <c r="P66" s="499"/>
    </row>
    <row r="67" spans="2:16" hidden="1" x14ac:dyDescent="0.25">
      <c r="B67" s="460" t="s">
        <v>347</v>
      </c>
      <c r="C67" s="326">
        <f>REBANHO!E55*REBANHO!E56</f>
        <v>600</v>
      </c>
      <c r="D67" s="326">
        <f>IF(D60=0,C67,REBANHO!F55*REBANHO!F56)</f>
        <v>600</v>
      </c>
      <c r="E67" s="326">
        <f>IF(E60=0,D67,REBANHO!G55*REBANHO!G56)</f>
        <v>600</v>
      </c>
      <c r="F67" s="326">
        <f>IF(F60=0,E67,REBANHO!H55*REBANHO!H56)</f>
        <v>600</v>
      </c>
      <c r="G67" s="326">
        <f>IF(G60=0,F67,REBANHO!I55*REBANHO!I56)</f>
        <v>600</v>
      </c>
      <c r="H67" s="326">
        <f>IF(H60=0,G67,REBANHO!J55*REBANHO!J56)</f>
        <v>600</v>
      </c>
      <c r="I67" s="326">
        <f>IF(I60=0,H67,REBANHO!K55*REBANHO!K56)</f>
        <v>606</v>
      </c>
      <c r="J67" s="326">
        <f>IF(J60=0,I67,REBANHO!L55*REBANHO!L56)</f>
        <v>606</v>
      </c>
      <c r="K67" s="326">
        <f>IF(K60=0,J67,REBANHO!M55*REBANHO!M56)</f>
        <v>550</v>
      </c>
      <c r="L67" s="326">
        <f>IF(L60=0,K67,REBANHO!N55*REBANHO!N56)</f>
        <v>550</v>
      </c>
      <c r="M67" s="326">
        <f>IF(M60=0,L67,REBANHO!O55*REBANHO!O56)</f>
        <v>550</v>
      </c>
      <c r="N67" s="326">
        <f>IF(N60=0,M67,REBANHO!P55*REBANHO!P56)</f>
        <v>550</v>
      </c>
      <c r="O67" s="326"/>
    </row>
    <row r="68" spans="2:16" hidden="1" x14ac:dyDescent="0.25">
      <c r="B68" s="460" t="s">
        <v>359</v>
      </c>
      <c r="C68" s="326">
        <f>REBANHO!E55*REBANHO!E56</f>
        <v>600</v>
      </c>
      <c r="D68" s="326">
        <f>REBANHO!F55*REBANHO!F56</f>
        <v>600</v>
      </c>
      <c r="E68" s="326">
        <f>REBANHO!G55*REBANHO!G56</f>
        <v>600</v>
      </c>
      <c r="F68" s="326">
        <f>REBANHO!H55*REBANHO!H56</f>
        <v>600</v>
      </c>
      <c r="G68" s="326">
        <f>REBANHO!I55*REBANHO!I56</f>
        <v>600</v>
      </c>
      <c r="H68" s="326">
        <f>REBANHO!J55*REBANHO!J56</f>
        <v>600</v>
      </c>
      <c r="I68" s="326">
        <f>REBANHO!K55*REBANHO!K56</f>
        <v>606</v>
      </c>
      <c r="J68" s="326">
        <f>REBANHO!L55*REBANHO!L56</f>
        <v>606</v>
      </c>
      <c r="K68" s="326">
        <f>REBANHO!M55*REBANHO!M56</f>
        <v>550</v>
      </c>
      <c r="L68" s="326">
        <f>REBANHO!N55*REBANHO!N56</f>
        <v>550</v>
      </c>
      <c r="M68" s="326">
        <f>REBANHO!O55*REBANHO!O56</f>
        <v>0</v>
      </c>
      <c r="N68" s="326">
        <f>REBANHO!P55*REBANHO!P56</f>
        <v>0</v>
      </c>
      <c r="O68" s="326"/>
    </row>
    <row r="69" spans="2:16" hidden="1" x14ac:dyDescent="0.25">
      <c r="B69" s="504" t="s">
        <v>350</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352</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353</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354</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-550</v>
      </c>
      <c r="N72" s="505">
        <f t="shared" si="13"/>
        <v>-550</v>
      </c>
      <c r="O72" s="326"/>
    </row>
    <row r="73" spans="2:16" hidden="1" x14ac:dyDescent="0.25">
      <c r="B73" s="504" t="s">
        <v>355</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-550</v>
      </c>
      <c r="N73" s="505">
        <f t="shared" si="14"/>
        <v>-550</v>
      </c>
      <c r="O73" s="326"/>
    </row>
    <row r="74" spans="2:16" hidden="1" x14ac:dyDescent="0.25">
      <c r="B74" s="504" t="s">
        <v>356</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-550</v>
      </c>
      <c r="N74" s="505">
        <f t="shared" si="15"/>
        <v>-1100</v>
      </c>
      <c r="O74" s="326"/>
    </row>
    <row r="75" spans="2:16" hidden="1" x14ac:dyDescent="0.25">
      <c r="B75" s="506" t="s">
        <v>351</v>
      </c>
      <c r="C75" s="507">
        <f>C68+C74</f>
        <v>600</v>
      </c>
      <c r="D75" s="507">
        <f t="shared" ref="D75:N75" si="16">D68+D74</f>
        <v>600</v>
      </c>
      <c r="E75" s="507">
        <f t="shared" si="16"/>
        <v>600</v>
      </c>
      <c r="F75" s="507">
        <f t="shared" si="16"/>
        <v>600</v>
      </c>
      <c r="G75" s="507">
        <f t="shared" si="16"/>
        <v>600</v>
      </c>
      <c r="H75" s="507">
        <f t="shared" si="16"/>
        <v>600</v>
      </c>
      <c r="I75" s="507">
        <f t="shared" si="16"/>
        <v>606</v>
      </c>
      <c r="J75" s="507">
        <f t="shared" si="16"/>
        <v>606</v>
      </c>
      <c r="K75" s="507">
        <f t="shared" si="16"/>
        <v>550</v>
      </c>
      <c r="L75" s="507">
        <f t="shared" si="16"/>
        <v>550</v>
      </c>
      <c r="M75" s="507">
        <f t="shared" si="16"/>
        <v>-550</v>
      </c>
      <c r="N75" s="507">
        <f t="shared" si="16"/>
        <v>-1100</v>
      </c>
      <c r="O75" s="507">
        <f>LARGE(C75:N75,1)</f>
        <v>606</v>
      </c>
    </row>
    <row r="76" spans="2:16" hidden="1" x14ac:dyDescent="0.25">
      <c r="B76" s="504" t="s">
        <v>364</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365</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366</v>
      </c>
      <c r="C78" s="507">
        <f>C68+C77</f>
        <v>600</v>
      </c>
      <c r="D78" s="507">
        <f t="shared" ref="D78:N78" si="19">D68+D77</f>
        <v>600</v>
      </c>
      <c r="E78" s="507">
        <f t="shared" si="19"/>
        <v>600</v>
      </c>
      <c r="F78" s="507">
        <f t="shared" si="19"/>
        <v>600</v>
      </c>
      <c r="G78" s="507">
        <f t="shared" si="19"/>
        <v>600</v>
      </c>
      <c r="H78" s="507">
        <f t="shared" si="19"/>
        <v>600</v>
      </c>
      <c r="I78" s="507">
        <f t="shared" si="19"/>
        <v>606</v>
      </c>
      <c r="J78" s="507">
        <f t="shared" si="19"/>
        <v>606</v>
      </c>
      <c r="K78" s="507">
        <f t="shared" si="19"/>
        <v>550</v>
      </c>
      <c r="L78" s="507">
        <f t="shared" si="19"/>
        <v>550</v>
      </c>
      <c r="M78" s="507">
        <f t="shared" si="19"/>
        <v>0</v>
      </c>
      <c r="N78" s="507">
        <f t="shared" si="19"/>
        <v>0</v>
      </c>
      <c r="O78" s="507">
        <f>IF(SUM(C68:N68)=0,0,LARGE(C78:N78,1))</f>
        <v>606</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333</v>
      </c>
    </row>
    <row r="81" spans="2:16" s="799" customFormat="1" ht="11.25" hidden="1" x14ac:dyDescent="0.2">
      <c r="B81" s="799" t="s">
        <v>323</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334</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325</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326</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327</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328</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335</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329</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341</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342</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357</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352</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353</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354</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355</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356</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351</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364</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365</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366</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304</v>
      </c>
    </row>
    <row r="103" spans="1:16" hidden="1" x14ac:dyDescent="0.25">
      <c r="B103" s="460" t="s">
        <v>323</v>
      </c>
      <c r="C103" s="499">
        <f>IF(REBANHO!E47="",0,REBANHO!E47)</f>
        <v>137</v>
      </c>
      <c r="D103" s="499">
        <f>IF(REBANHO!F47="",0,REBANHO!F47)</f>
        <v>137</v>
      </c>
      <c r="E103" s="499">
        <f>IF(REBANHO!G47="",0,REBANHO!G47)</f>
        <v>236</v>
      </c>
      <c r="F103" s="499">
        <f>IF(REBANHO!H47="",0,REBANHO!H47)</f>
        <v>124</v>
      </c>
      <c r="G103" s="499">
        <f>IF(REBANHO!I47="",0,REBANHO!I47)</f>
        <v>101</v>
      </c>
      <c r="H103" s="499">
        <f>IF(REBANHO!J47="",0,REBANHO!J47)</f>
        <v>101</v>
      </c>
      <c r="I103" s="499">
        <f>IF(REBANHO!K47="",0,REBANHO!K47)</f>
        <v>174</v>
      </c>
      <c r="J103" s="499">
        <f>IF(REBANHO!L47="",0,REBANHO!L47)</f>
        <v>205</v>
      </c>
      <c r="K103" s="499">
        <f>IF(REBANHO!M47="",0,REBANHO!M47)</f>
        <v>204</v>
      </c>
      <c r="L103" s="499">
        <f>IF(REBANHO!N47="",0,REBANHO!N47)</f>
        <v>204</v>
      </c>
      <c r="M103" s="499">
        <f>IF(REBANHO!O47="",0,REBANHO!O47)</f>
        <v>0</v>
      </c>
      <c r="N103" s="499">
        <f>IF(REBANHO!P47="",0,REBANHO!P47)</f>
        <v>0</v>
      </c>
      <c r="O103" s="227"/>
    </row>
    <row r="104" spans="1:16" hidden="1" x14ac:dyDescent="0.25">
      <c r="B104" s="509" t="s">
        <v>337</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325</v>
      </c>
      <c r="C105" s="227">
        <f>SAÍDAS!E11</f>
        <v>0</v>
      </c>
      <c r="D105" s="227">
        <f>SAÍDAS!F11</f>
        <v>0</v>
      </c>
      <c r="E105" s="227">
        <f>SAÍDAS!G11</f>
        <v>100</v>
      </c>
      <c r="F105" s="227">
        <f>SAÍDAS!H11</f>
        <v>0</v>
      </c>
      <c r="G105" s="227">
        <f>SAÍDAS!I11</f>
        <v>0</v>
      </c>
      <c r="H105" s="227">
        <f>SAÍDAS!J11</f>
        <v>0</v>
      </c>
      <c r="I105" s="227">
        <f>SAÍDAS!K11</f>
        <v>73</v>
      </c>
      <c r="J105" s="227">
        <f>SAÍDAS!L11</f>
        <v>31</v>
      </c>
      <c r="K105" s="227">
        <f>SAÍDAS!M11</f>
        <v>0</v>
      </c>
      <c r="L105" s="227">
        <f>SAÍDAS!N11</f>
        <v>0</v>
      </c>
      <c r="M105" s="227">
        <f>SAÍDAS!O11</f>
        <v>0</v>
      </c>
      <c r="N105" s="227">
        <f>SAÍDAS!P11</f>
        <v>0</v>
      </c>
      <c r="O105" s="227"/>
    </row>
    <row r="106" spans="1:16" hidden="1" x14ac:dyDescent="0.25">
      <c r="B106" s="460" t="s">
        <v>326</v>
      </c>
      <c r="C106" s="227">
        <f>ENTRADAS!D12</f>
        <v>0</v>
      </c>
      <c r="D106" s="227">
        <f>ENTRADAS!E12</f>
        <v>0</v>
      </c>
      <c r="E106" s="227">
        <f>ENTRADAS!F12</f>
        <v>0</v>
      </c>
      <c r="F106" s="227">
        <f>ENTRADAS!G12</f>
        <v>1</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327</v>
      </c>
      <c r="C107" s="499">
        <f>REBANHO!E69</f>
        <v>0</v>
      </c>
      <c r="D107" s="499">
        <f>REBANHO!F69</f>
        <v>0</v>
      </c>
      <c r="E107" s="499">
        <f>REBANHO!G69</f>
        <v>1</v>
      </c>
      <c r="F107" s="499">
        <f>REBANHO!H69</f>
        <v>0</v>
      </c>
      <c r="G107" s="499">
        <f>REBANHO!I69</f>
        <v>0</v>
      </c>
      <c r="H107" s="499">
        <f>REBANHO!J69</f>
        <v>0</v>
      </c>
      <c r="I107" s="499">
        <f>REBANHO!K69</f>
        <v>0</v>
      </c>
      <c r="J107" s="499">
        <f>REBANHO!L69</f>
        <v>0</v>
      </c>
      <c r="K107" s="499">
        <f>REBANHO!M69</f>
        <v>1</v>
      </c>
      <c r="L107" s="499">
        <f>REBANHO!N69</f>
        <v>0</v>
      </c>
      <c r="M107" s="499">
        <f>REBANHO!O69</f>
        <v>0</v>
      </c>
      <c r="N107" s="499">
        <f>REBANHO!P69</f>
        <v>0</v>
      </c>
      <c r="O107" s="227"/>
    </row>
    <row r="108" spans="1:16" s="799" customFormat="1" ht="11.25" hidden="1" x14ac:dyDescent="0.2">
      <c r="B108" s="802" t="s">
        <v>328</v>
      </c>
      <c r="C108" s="803">
        <f t="shared" ref="C108:N108" si="32">IF(C103-C110&lt;0,(C103-C110)*-1,C103-C110)</f>
        <v>0</v>
      </c>
      <c r="D108" s="803">
        <f t="shared" si="32"/>
        <v>0</v>
      </c>
      <c r="E108" s="803">
        <f t="shared" si="32"/>
        <v>0</v>
      </c>
      <c r="F108" s="803">
        <f t="shared" si="32"/>
        <v>111</v>
      </c>
      <c r="G108" s="803">
        <f t="shared" si="32"/>
        <v>134</v>
      </c>
      <c r="H108" s="803">
        <f t="shared" si="32"/>
        <v>134</v>
      </c>
      <c r="I108" s="803">
        <f t="shared" si="32"/>
        <v>134</v>
      </c>
      <c r="J108" s="803">
        <f t="shared" si="32"/>
        <v>134</v>
      </c>
      <c r="K108" s="803">
        <f t="shared" si="32"/>
        <v>134</v>
      </c>
      <c r="L108" s="803">
        <f t="shared" si="32"/>
        <v>134</v>
      </c>
      <c r="M108" s="803">
        <f t="shared" si="32"/>
        <v>338</v>
      </c>
      <c r="N108" s="803">
        <f t="shared" si="32"/>
        <v>338</v>
      </c>
      <c r="O108" s="801"/>
    </row>
    <row r="109" spans="1:16" s="799" customFormat="1" ht="11.25" hidden="1" x14ac:dyDescent="0.2">
      <c r="B109" s="802" t="s">
        <v>336</v>
      </c>
      <c r="C109" s="815">
        <f>C108</f>
        <v>0</v>
      </c>
      <c r="D109" s="815">
        <f>(D108-C108)</f>
        <v>0</v>
      </c>
      <c r="E109" s="815">
        <f t="shared" ref="E109:N109" si="33">(E108-D108)</f>
        <v>0</v>
      </c>
      <c r="F109" s="815">
        <f t="shared" si="33"/>
        <v>111</v>
      </c>
      <c r="G109" s="815">
        <f t="shared" si="33"/>
        <v>23</v>
      </c>
      <c r="H109" s="815">
        <f t="shared" si="33"/>
        <v>0</v>
      </c>
      <c r="I109" s="815">
        <f t="shared" si="33"/>
        <v>0</v>
      </c>
      <c r="J109" s="815">
        <f t="shared" si="33"/>
        <v>0</v>
      </c>
      <c r="K109" s="815">
        <f t="shared" si="33"/>
        <v>0</v>
      </c>
      <c r="L109" s="815">
        <f t="shared" si="33"/>
        <v>0</v>
      </c>
      <c r="M109" s="815">
        <f t="shared" si="33"/>
        <v>204</v>
      </c>
      <c r="N109" s="815">
        <f t="shared" si="33"/>
        <v>0</v>
      </c>
      <c r="O109" s="801">
        <f>SUM(C109:N109)</f>
        <v>338</v>
      </c>
    </row>
    <row r="110" spans="1:16" s="799" customFormat="1" ht="11.25" hidden="1" x14ac:dyDescent="0.2">
      <c r="B110" s="804" t="s">
        <v>329</v>
      </c>
      <c r="C110" s="805">
        <f>SAÍDAS!C11+C104+C105-C106-C107</f>
        <v>137</v>
      </c>
      <c r="D110" s="805">
        <f t="shared" ref="D110:N110" si="34">C110+D104+D105-D106-D107</f>
        <v>137</v>
      </c>
      <c r="E110" s="805">
        <f t="shared" si="34"/>
        <v>236</v>
      </c>
      <c r="F110" s="805">
        <f t="shared" si="34"/>
        <v>235</v>
      </c>
      <c r="G110" s="805">
        <f t="shared" si="34"/>
        <v>235</v>
      </c>
      <c r="H110" s="805">
        <f t="shared" si="34"/>
        <v>235</v>
      </c>
      <c r="I110" s="805">
        <f t="shared" si="34"/>
        <v>308</v>
      </c>
      <c r="J110" s="805">
        <f t="shared" si="34"/>
        <v>339</v>
      </c>
      <c r="K110" s="805">
        <f t="shared" si="34"/>
        <v>338</v>
      </c>
      <c r="L110" s="805">
        <f t="shared" si="34"/>
        <v>338</v>
      </c>
      <c r="M110" s="805">
        <f t="shared" si="34"/>
        <v>338</v>
      </c>
      <c r="N110" s="805">
        <f t="shared" si="34"/>
        <v>338</v>
      </c>
      <c r="O110" s="800"/>
    </row>
    <row r="111" spans="1:16" s="799" customFormat="1" ht="11.25" hidden="1" x14ac:dyDescent="0.2">
      <c r="B111" s="799" t="s">
        <v>348</v>
      </c>
      <c r="C111" s="806">
        <f>(REBANHO!E43*REBANHO!E44)+(REBANHO!E45*REBANHO!E46)</f>
        <v>50005</v>
      </c>
      <c r="D111" s="806">
        <f>IF(D103=0,C111,(REBANHO!F43*REBANHO!F44)+(REBANHO!F45*REBANHO!F46))</f>
        <v>50005</v>
      </c>
      <c r="E111" s="806">
        <f>IF(E103=0,D111,(REBANHO!G43*REBANHO!G44)+(REBANHO!G45*REBANHO!G46))</f>
        <v>68676</v>
      </c>
      <c r="F111" s="806">
        <f>IF(F103=0,E111,(REBANHO!H43*REBANHO!H44)+(REBANHO!H45*REBANHO!H46))</f>
        <v>32240</v>
      </c>
      <c r="G111" s="806">
        <f>IF(G103=0,F111,(REBANHO!I43*REBANHO!I44)+(REBANHO!I45*REBANHO!I46))</f>
        <v>24341</v>
      </c>
      <c r="H111" s="806">
        <f>IF(H103=0,G111,(REBANHO!J43*REBANHO!J44)+(REBANHO!J45*REBANHO!J46))</f>
        <v>24341</v>
      </c>
      <c r="I111" s="806">
        <f>IF(I103=0,H111,(REBANHO!K43*REBANHO!K44)+(REBANHO!K45*REBANHO!K46))</f>
        <v>43848</v>
      </c>
      <c r="J111" s="806">
        <f>IF(J103=0,I111,(REBANHO!L43*REBANHO!L44)+(REBANHO!L45*REBANHO!L46))</f>
        <v>49200</v>
      </c>
      <c r="K111" s="806">
        <f>IF(K103=0,J111,(REBANHO!M43*REBANHO!M44)+(REBANHO!M45*REBANHO!M46))</f>
        <v>52428</v>
      </c>
      <c r="L111" s="806">
        <f>IF(L103=0,K111,(REBANHO!N43*REBANHO!N44)+(REBANHO!N45*REBANHO!N46))</f>
        <v>52428</v>
      </c>
      <c r="M111" s="806">
        <f>IF(M103=0,L111,(REBANHO!O43*REBANHO!O44)+(REBANHO!O45*REBANHO!O46))</f>
        <v>52428</v>
      </c>
      <c r="N111" s="806">
        <f>IF(N103=0,M111,(REBANHO!P43*REBANHO!P44)+(REBANHO!P45*REBANHO!P46))</f>
        <v>52428</v>
      </c>
      <c r="O111" s="806"/>
    </row>
    <row r="112" spans="1:16" s="799" customFormat="1" ht="11.25" hidden="1" x14ac:dyDescent="0.2">
      <c r="B112" s="799" t="s">
        <v>361</v>
      </c>
      <c r="C112" s="806">
        <f>(REBANHO!E43*REBANHO!E44)+(REBANHO!E45*REBANHO!E46)</f>
        <v>50005</v>
      </c>
      <c r="D112" s="806">
        <f>(REBANHO!F43*REBANHO!F44)+(REBANHO!F45*REBANHO!F46)</f>
        <v>50005</v>
      </c>
      <c r="E112" s="806">
        <f>(REBANHO!G43*REBANHO!G44)+(REBANHO!G45*REBANHO!G46)</f>
        <v>68676</v>
      </c>
      <c r="F112" s="806">
        <f>(REBANHO!H43*REBANHO!H44)+(REBANHO!H45*REBANHO!H46)</f>
        <v>32240</v>
      </c>
      <c r="G112" s="806">
        <f>(REBANHO!I43*REBANHO!I44)+(REBANHO!I45*REBANHO!I46)</f>
        <v>24341</v>
      </c>
      <c r="H112" s="806">
        <f>(REBANHO!J43*REBANHO!J44)+(REBANHO!J45*REBANHO!J46)</f>
        <v>24341</v>
      </c>
      <c r="I112" s="806">
        <f>(REBANHO!K43*REBANHO!K44)+(REBANHO!K45*REBANHO!K46)</f>
        <v>43848</v>
      </c>
      <c r="J112" s="806">
        <f>(REBANHO!L43*REBANHO!L44)+(REBANHO!L45*REBANHO!L46)</f>
        <v>49200</v>
      </c>
      <c r="K112" s="806">
        <f>(REBANHO!M43*REBANHO!M44)+(REBANHO!M45*REBANHO!M46)</f>
        <v>52428</v>
      </c>
      <c r="L112" s="806">
        <f>(REBANHO!N43*REBANHO!N44)+(REBANHO!N45*REBANHO!N46)</f>
        <v>52428</v>
      </c>
      <c r="M112" s="806">
        <f>(REBANHO!O43*REBANHO!O44)+(REBANHO!O45*REBANHO!O46)</f>
        <v>0</v>
      </c>
      <c r="N112" s="806">
        <f>(REBANHO!P43*REBANHO!P44)+(REBANHO!P45*REBANHO!P46)</f>
        <v>0</v>
      </c>
      <c r="O112" s="806"/>
    </row>
    <row r="113" spans="2:15" s="799" customFormat="1" hidden="1" x14ac:dyDescent="0.2">
      <c r="B113" s="807" t="s">
        <v>352</v>
      </c>
      <c r="C113" s="808">
        <f>ENTRADAS!D12*ENTRADAS!D13</f>
        <v>0</v>
      </c>
      <c r="D113" s="808">
        <f>ENTRADAS!E12*ENTRADAS!E13</f>
        <v>0</v>
      </c>
      <c r="E113" s="808">
        <f>ENTRADAS!F12*ENTRADAS!F13</f>
        <v>0</v>
      </c>
      <c r="F113" s="808">
        <f>ENTRADAS!G12*ENTRADAS!G13</f>
        <v>458</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458</v>
      </c>
    </row>
    <row r="114" spans="2:15" s="799" customFormat="1" ht="11.25" hidden="1" x14ac:dyDescent="0.2">
      <c r="B114" s="807" t="s">
        <v>353</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280</v>
      </c>
      <c r="L114" s="808">
        <f>REBANHO!N69*REBANHO!N70</f>
        <v>0</v>
      </c>
      <c r="M114" s="808">
        <f>REBANHO!O69*REBANHO!O70</f>
        <v>0</v>
      </c>
      <c r="N114" s="808">
        <f>REBANHO!P69*REBANHO!P70</f>
        <v>0</v>
      </c>
      <c r="O114" s="806"/>
    </row>
    <row r="115" spans="2:15" s="799" customFormat="1" ht="11.25" hidden="1" x14ac:dyDescent="0.2">
      <c r="B115" s="807" t="s">
        <v>354</v>
      </c>
      <c r="C115" s="808">
        <f>IF(C108=0,0,(C$111/C$110)*C108)</f>
        <v>0</v>
      </c>
      <c r="D115" s="808">
        <f t="shared" ref="D115:N115" si="35">IF(D108=0,0,(D$111/D$110)*D108)</f>
        <v>0</v>
      </c>
      <c r="E115" s="808">
        <f t="shared" si="35"/>
        <v>0</v>
      </c>
      <c r="F115" s="808">
        <f t="shared" si="35"/>
        <v>15228.255319148937</v>
      </c>
      <c r="G115" s="808">
        <f t="shared" si="35"/>
        <v>13879.548936170211</v>
      </c>
      <c r="H115" s="808">
        <f t="shared" si="35"/>
        <v>13879.548936170211</v>
      </c>
      <c r="I115" s="808">
        <f t="shared" si="35"/>
        <v>19076.727272727276</v>
      </c>
      <c r="J115" s="808">
        <f t="shared" si="35"/>
        <v>19447.787610619471</v>
      </c>
      <c r="K115" s="808">
        <f t="shared" si="35"/>
        <v>20785.065088757394</v>
      </c>
      <c r="L115" s="808">
        <f t="shared" si="35"/>
        <v>20785.065088757394</v>
      </c>
      <c r="M115" s="808">
        <f t="shared" si="35"/>
        <v>52428</v>
      </c>
      <c r="N115" s="808">
        <f t="shared" si="35"/>
        <v>52428</v>
      </c>
      <c r="O115" s="806"/>
    </row>
    <row r="116" spans="2:15" s="799" customFormat="1" ht="11.25" hidden="1" x14ac:dyDescent="0.2">
      <c r="B116" s="807" t="s">
        <v>355</v>
      </c>
      <c r="C116" s="808">
        <f>SUM(C113:C115)</f>
        <v>0</v>
      </c>
      <c r="D116" s="808">
        <f t="shared" ref="D116:N116" si="36">SUM(D113:D115)</f>
        <v>0</v>
      </c>
      <c r="E116" s="808">
        <f t="shared" si="36"/>
        <v>0</v>
      </c>
      <c r="F116" s="808">
        <f t="shared" si="36"/>
        <v>15686.255319148937</v>
      </c>
      <c r="G116" s="808">
        <f t="shared" si="36"/>
        <v>13879.548936170211</v>
      </c>
      <c r="H116" s="808">
        <f t="shared" si="36"/>
        <v>13879.548936170211</v>
      </c>
      <c r="I116" s="808">
        <f t="shared" si="36"/>
        <v>19076.727272727276</v>
      </c>
      <c r="J116" s="808">
        <f t="shared" si="36"/>
        <v>19447.787610619471</v>
      </c>
      <c r="K116" s="808">
        <f t="shared" si="36"/>
        <v>21065.065088757394</v>
      </c>
      <c r="L116" s="808">
        <f t="shared" si="36"/>
        <v>20785.065088757394</v>
      </c>
      <c r="M116" s="808">
        <f t="shared" si="36"/>
        <v>52428</v>
      </c>
      <c r="N116" s="808">
        <f t="shared" si="36"/>
        <v>52428</v>
      </c>
      <c r="O116" s="806"/>
    </row>
    <row r="117" spans="2:15" s="799" customFormat="1" ht="11.25" hidden="1" x14ac:dyDescent="0.2">
      <c r="B117" s="807" t="s">
        <v>356</v>
      </c>
      <c r="C117" s="808">
        <f>C116</f>
        <v>0</v>
      </c>
      <c r="D117" s="808">
        <f t="shared" ref="D117:N117" si="37">D116</f>
        <v>0</v>
      </c>
      <c r="E117" s="808">
        <f t="shared" si="37"/>
        <v>0</v>
      </c>
      <c r="F117" s="808">
        <f t="shared" si="37"/>
        <v>15686.255319148937</v>
      </c>
      <c r="G117" s="808">
        <f t="shared" si="37"/>
        <v>13879.548936170211</v>
      </c>
      <c r="H117" s="808">
        <f t="shared" si="37"/>
        <v>13879.548936170211</v>
      </c>
      <c r="I117" s="808">
        <f t="shared" si="37"/>
        <v>19076.727272727276</v>
      </c>
      <c r="J117" s="808">
        <f t="shared" si="37"/>
        <v>19447.787610619471</v>
      </c>
      <c r="K117" s="808">
        <f t="shared" si="37"/>
        <v>21065.065088757394</v>
      </c>
      <c r="L117" s="808">
        <f t="shared" si="37"/>
        <v>20785.065088757394</v>
      </c>
      <c r="M117" s="808">
        <f t="shared" si="37"/>
        <v>52428</v>
      </c>
      <c r="N117" s="808">
        <f t="shared" si="37"/>
        <v>52428</v>
      </c>
      <c r="O117" s="806"/>
    </row>
    <row r="118" spans="2:15" s="799" customFormat="1" ht="11.25" hidden="1" x14ac:dyDescent="0.2">
      <c r="B118" s="809" t="s">
        <v>351</v>
      </c>
      <c r="C118" s="810">
        <f>C112+C117</f>
        <v>50005</v>
      </c>
      <c r="D118" s="810">
        <f t="shared" ref="D118:N118" si="38">D112+D117</f>
        <v>50005</v>
      </c>
      <c r="E118" s="810">
        <f t="shared" si="38"/>
        <v>68676</v>
      </c>
      <c r="F118" s="810">
        <f t="shared" si="38"/>
        <v>47926.255319148935</v>
      </c>
      <c r="G118" s="810">
        <f t="shared" si="38"/>
        <v>38220.548936170213</v>
      </c>
      <c r="H118" s="810">
        <f t="shared" si="38"/>
        <v>38220.548936170213</v>
      </c>
      <c r="I118" s="810">
        <f t="shared" si="38"/>
        <v>62924.727272727279</v>
      </c>
      <c r="J118" s="810">
        <f t="shared" si="38"/>
        <v>68647.787610619474</v>
      </c>
      <c r="K118" s="810">
        <f t="shared" si="38"/>
        <v>73493.065088757401</v>
      </c>
      <c r="L118" s="810">
        <f t="shared" si="38"/>
        <v>73213.065088757401</v>
      </c>
      <c r="M118" s="810">
        <f t="shared" si="38"/>
        <v>52428</v>
      </c>
      <c r="N118" s="810">
        <f t="shared" si="38"/>
        <v>52428</v>
      </c>
      <c r="O118" s="810">
        <f>LARGE(C118:N118,1)</f>
        <v>73493.065088757401</v>
      </c>
    </row>
    <row r="119" spans="2:15" s="799" customFormat="1" ht="11.25" hidden="1" x14ac:dyDescent="0.2">
      <c r="B119" s="807" t="s">
        <v>364</v>
      </c>
      <c r="C119" s="808">
        <f>SUM(C113:C114)</f>
        <v>0</v>
      </c>
      <c r="D119" s="808">
        <f t="shared" ref="D119:N119" si="39">SUM(D113:D114)</f>
        <v>0</v>
      </c>
      <c r="E119" s="808">
        <f t="shared" si="39"/>
        <v>0</v>
      </c>
      <c r="F119" s="808">
        <f t="shared" si="39"/>
        <v>458</v>
      </c>
      <c r="G119" s="808">
        <f t="shared" si="39"/>
        <v>0</v>
      </c>
      <c r="H119" s="808">
        <f t="shared" si="39"/>
        <v>0</v>
      </c>
      <c r="I119" s="808">
        <f t="shared" si="39"/>
        <v>0</v>
      </c>
      <c r="J119" s="808">
        <f t="shared" si="39"/>
        <v>0</v>
      </c>
      <c r="K119" s="808">
        <f t="shared" si="39"/>
        <v>280</v>
      </c>
      <c r="L119" s="808">
        <f t="shared" si="39"/>
        <v>0</v>
      </c>
      <c r="M119" s="808">
        <f t="shared" si="39"/>
        <v>0</v>
      </c>
      <c r="N119" s="808">
        <f t="shared" si="39"/>
        <v>0</v>
      </c>
      <c r="O119" s="806"/>
    </row>
    <row r="120" spans="2:15" s="799" customFormat="1" ht="11.25" hidden="1" x14ac:dyDescent="0.2">
      <c r="B120" s="807" t="s">
        <v>365</v>
      </c>
      <c r="C120" s="808">
        <f>C119</f>
        <v>0</v>
      </c>
      <c r="D120" s="808">
        <f>C120+D119</f>
        <v>0</v>
      </c>
      <c r="E120" s="808">
        <f t="shared" ref="E120:N120" si="40">D120+E119</f>
        <v>0</v>
      </c>
      <c r="F120" s="808">
        <f t="shared" si="40"/>
        <v>458</v>
      </c>
      <c r="G120" s="808">
        <f t="shared" si="40"/>
        <v>458</v>
      </c>
      <c r="H120" s="808">
        <f t="shared" si="40"/>
        <v>458</v>
      </c>
      <c r="I120" s="808">
        <f t="shared" si="40"/>
        <v>458</v>
      </c>
      <c r="J120" s="808">
        <f t="shared" si="40"/>
        <v>458</v>
      </c>
      <c r="K120" s="808">
        <f t="shared" si="40"/>
        <v>738</v>
      </c>
      <c r="L120" s="808">
        <f t="shared" si="40"/>
        <v>738</v>
      </c>
      <c r="M120" s="808">
        <f t="shared" si="40"/>
        <v>738</v>
      </c>
      <c r="N120" s="808">
        <f t="shared" si="40"/>
        <v>738</v>
      </c>
      <c r="O120" s="806"/>
    </row>
    <row r="121" spans="2:15" s="799" customFormat="1" ht="11.25" hidden="1" x14ac:dyDescent="0.2">
      <c r="B121" s="809" t="s">
        <v>366</v>
      </c>
      <c r="C121" s="810">
        <f t="shared" ref="C121:N121" si="41">C112+C120</f>
        <v>50005</v>
      </c>
      <c r="D121" s="810">
        <f t="shared" si="41"/>
        <v>50005</v>
      </c>
      <c r="E121" s="810">
        <f t="shared" si="41"/>
        <v>68676</v>
      </c>
      <c r="F121" s="810">
        <f t="shared" si="41"/>
        <v>32698</v>
      </c>
      <c r="G121" s="810">
        <f t="shared" si="41"/>
        <v>24799</v>
      </c>
      <c r="H121" s="810">
        <f t="shared" si="41"/>
        <v>24799</v>
      </c>
      <c r="I121" s="810">
        <f t="shared" si="41"/>
        <v>44306</v>
      </c>
      <c r="J121" s="810">
        <f t="shared" si="41"/>
        <v>49658</v>
      </c>
      <c r="K121" s="810">
        <f t="shared" si="41"/>
        <v>53166</v>
      </c>
      <c r="L121" s="810">
        <f t="shared" si="41"/>
        <v>53166</v>
      </c>
      <c r="M121" s="810">
        <f t="shared" si="41"/>
        <v>738</v>
      </c>
      <c r="N121" s="810">
        <f t="shared" si="41"/>
        <v>738</v>
      </c>
      <c r="O121" s="810">
        <f>IF(SUM(C112:N112)=0,0,LARGE(C121:N121,1))</f>
        <v>68676</v>
      </c>
    </row>
    <row r="122" spans="2:15" hidden="1" x14ac:dyDescent="0.25"/>
    <row r="123" spans="2:15" hidden="1" x14ac:dyDescent="0.25">
      <c r="B123" s="460" t="s">
        <v>307</v>
      </c>
    </row>
    <row r="124" spans="2:15" hidden="1" x14ac:dyDescent="0.25">
      <c r="B124" s="460" t="s">
        <v>323</v>
      </c>
      <c r="C124" s="499">
        <f>IF(REBANHO!E52="",0,REBANHO!E52)</f>
        <v>0</v>
      </c>
      <c r="D124" s="499">
        <f>IF(REBANHO!F52="",0,REBANHO!F52)</f>
        <v>0</v>
      </c>
      <c r="E124" s="499">
        <f>IF(REBANHO!G52="",0,REBANHO!G52)</f>
        <v>0</v>
      </c>
      <c r="F124" s="499">
        <f>IF(REBANHO!H52="",0,REBANHO!H52)</f>
        <v>111</v>
      </c>
      <c r="G124" s="499">
        <f>IF(REBANHO!I52="",0,REBANHO!I52)</f>
        <v>134</v>
      </c>
      <c r="H124" s="499">
        <f>IF(REBANHO!J52="",0,REBANHO!J52)</f>
        <v>134</v>
      </c>
      <c r="I124" s="499">
        <f>IF(REBANHO!K52="",0,REBANHO!K52)</f>
        <v>23</v>
      </c>
      <c r="J124" s="499">
        <f>IF(REBANHO!L52="",0,REBANHO!L52)</f>
        <v>23</v>
      </c>
      <c r="K124" s="499">
        <f>IF(REBANHO!M52="",0,REBANHO!M52)</f>
        <v>0</v>
      </c>
      <c r="L124" s="499">
        <f>IF(REBANHO!N52="",0,REBANHO!N52)</f>
        <v>0</v>
      </c>
      <c r="M124" s="499">
        <f>IF(REBANHO!O52="",0,REBANHO!O52)</f>
        <v>0</v>
      </c>
      <c r="N124" s="499">
        <f>IF(REBANHO!P52="",0,REBANHO!P52)</f>
        <v>0</v>
      </c>
    </row>
    <row r="125" spans="2:15" hidden="1" x14ac:dyDescent="0.25">
      <c r="B125" s="511" t="s">
        <v>304</v>
      </c>
      <c r="C125" s="510">
        <f>C109</f>
        <v>0</v>
      </c>
      <c r="D125" s="510">
        <f t="shared" ref="D125:N125" si="42">D109</f>
        <v>0</v>
      </c>
      <c r="E125" s="510">
        <f t="shared" si="42"/>
        <v>0</v>
      </c>
      <c r="F125" s="510">
        <f t="shared" si="42"/>
        <v>111</v>
      </c>
      <c r="G125" s="510">
        <f t="shared" si="42"/>
        <v>23</v>
      </c>
      <c r="H125" s="510">
        <f t="shared" si="42"/>
        <v>0</v>
      </c>
      <c r="I125" s="510">
        <f t="shared" si="42"/>
        <v>0</v>
      </c>
      <c r="J125" s="510">
        <f t="shared" si="42"/>
        <v>0</v>
      </c>
      <c r="K125" s="510">
        <f t="shared" si="42"/>
        <v>0</v>
      </c>
      <c r="L125" s="510">
        <f t="shared" si="42"/>
        <v>0</v>
      </c>
      <c r="M125" s="510">
        <f t="shared" si="42"/>
        <v>204</v>
      </c>
      <c r="N125" s="510">
        <f t="shared" si="42"/>
        <v>0</v>
      </c>
    </row>
    <row r="126" spans="2:15" hidden="1" x14ac:dyDescent="0.25">
      <c r="B126" s="460" t="s">
        <v>325</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326</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344</v>
      </c>
      <c r="C128" s="227">
        <f>ENTRADAS!D31</f>
        <v>0</v>
      </c>
      <c r="D128" s="227">
        <f>ENTRADAS!E31</f>
        <v>0</v>
      </c>
      <c r="E128" s="227">
        <f>ENTRADAS!F31</f>
        <v>0</v>
      </c>
      <c r="F128" s="227">
        <f>ENTRADAS!G31</f>
        <v>0</v>
      </c>
      <c r="G128" s="227">
        <f>ENTRADAS!H31</f>
        <v>0</v>
      </c>
      <c r="H128" s="227">
        <f>ENTRADAS!I31</f>
        <v>0</v>
      </c>
      <c r="I128" s="227">
        <f>ENTRADAS!J31</f>
        <v>111</v>
      </c>
      <c r="J128" s="227">
        <f>ENTRADAS!K31</f>
        <v>0</v>
      </c>
      <c r="K128" s="227">
        <f>ENTRADAS!L31</f>
        <v>23</v>
      </c>
      <c r="L128" s="227">
        <f>ENTRADAS!M31</f>
        <v>0</v>
      </c>
      <c r="M128" s="227">
        <f>ENTRADAS!N31</f>
        <v>0</v>
      </c>
      <c r="N128" s="227">
        <f>ENTRADAS!O31</f>
        <v>0</v>
      </c>
      <c r="O128" s="227">
        <f>SUM(C128:N128)</f>
        <v>134</v>
      </c>
    </row>
    <row r="129" spans="2:15" hidden="1" x14ac:dyDescent="0.25">
      <c r="B129" s="460" t="s">
        <v>327</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328</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0</v>
      </c>
      <c r="K130" s="501">
        <f t="shared" si="43"/>
        <v>0</v>
      </c>
      <c r="L130" s="501">
        <f t="shared" si="43"/>
        <v>0</v>
      </c>
      <c r="M130" s="501">
        <f t="shared" si="43"/>
        <v>204</v>
      </c>
      <c r="N130" s="501">
        <f t="shared" si="43"/>
        <v>204</v>
      </c>
    </row>
    <row r="131" spans="2:15" hidden="1" x14ac:dyDescent="0.25">
      <c r="B131" s="500" t="s">
        <v>338</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0</v>
      </c>
      <c r="K131" s="512">
        <f t="shared" si="44"/>
        <v>0</v>
      </c>
      <c r="L131" s="512">
        <f t="shared" si="44"/>
        <v>0</v>
      </c>
      <c r="M131" s="512">
        <f t="shared" si="44"/>
        <v>204</v>
      </c>
      <c r="N131" s="512">
        <f t="shared" si="44"/>
        <v>0</v>
      </c>
      <c r="O131" s="499">
        <f>SUM(C131:N131)</f>
        <v>204</v>
      </c>
    </row>
    <row r="132" spans="2:15" s="799" customFormat="1" ht="11.25" hidden="1" x14ac:dyDescent="0.2">
      <c r="B132" s="804" t="s">
        <v>329</v>
      </c>
      <c r="C132" s="805">
        <f>SAÍDAS!C15+C125+C126-C127-C128-C129</f>
        <v>0</v>
      </c>
      <c r="D132" s="805">
        <f>C132+D125+D126-D127-D128-D129</f>
        <v>0</v>
      </c>
      <c r="E132" s="805">
        <f t="shared" ref="E132:N132" si="45">D132+E125+E126-E127-E128-E129</f>
        <v>0</v>
      </c>
      <c r="F132" s="805">
        <f t="shared" si="45"/>
        <v>111</v>
      </c>
      <c r="G132" s="805">
        <f t="shared" si="45"/>
        <v>134</v>
      </c>
      <c r="H132" s="805">
        <f t="shared" si="45"/>
        <v>134</v>
      </c>
      <c r="I132" s="805">
        <f t="shared" si="45"/>
        <v>23</v>
      </c>
      <c r="J132" s="805">
        <f t="shared" si="45"/>
        <v>23</v>
      </c>
      <c r="K132" s="805">
        <f t="shared" si="45"/>
        <v>0</v>
      </c>
      <c r="L132" s="805">
        <f t="shared" si="45"/>
        <v>0</v>
      </c>
      <c r="M132" s="805">
        <f t="shared" si="45"/>
        <v>204</v>
      </c>
      <c r="N132" s="805">
        <f t="shared" si="45"/>
        <v>204</v>
      </c>
    </row>
    <row r="133" spans="2:15" s="799" customFormat="1" ht="11.25" hidden="1" x14ac:dyDescent="0.2">
      <c r="B133" s="799" t="s">
        <v>349</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50061</v>
      </c>
      <c r="G133" s="806">
        <f>IF(G124=0,F133,(REBANHO!I48*REBANHO!I49)+(REBANHO!I50*REBANHO!I51))</f>
        <v>60434</v>
      </c>
      <c r="H133" s="806">
        <f>IF(H124=0,G133,(REBANHO!J48*REBANHO!J49)+(REBANHO!J50*REBANHO!J51))</f>
        <v>60434</v>
      </c>
      <c r="I133" s="806">
        <f>IF(I124=0,H133,(REBANHO!K48*REBANHO!K49)+(REBANHO!K50*REBANHO!K51))</f>
        <v>10373</v>
      </c>
      <c r="J133" s="806">
        <f>IF(J124=0,I133,(REBANHO!L48*REBANHO!L49)+(REBANHO!L50*REBANHO!L51))</f>
        <v>10373</v>
      </c>
      <c r="K133" s="806">
        <f>IF(K124=0,J133,(REBANHO!M48*REBANHO!M49)+(REBANHO!M50*REBANHO!M51))</f>
        <v>10373</v>
      </c>
      <c r="L133" s="806">
        <f>IF(L124=0,K133,(REBANHO!N48*REBANHO!N49)+(REBANHO!N50*REBANHO!N51))</f>
        <v>10373</v>
      </c>
      <c r="M133" s="806">
        <f>IF(M124=0,L133,(REBANHO!O48*REBANHO!O49)+(REBANHO!O50*REBANHO!O51))</f>
        <v>10373</v>
      </c>
      <c r="N133" s="806">
        <f>IF(N124=0,M133,(REBANHO!P48*REBANHO!P49)+(REBANHO!P50*REBANHO!P51))</f>
        <v>10373</v>
      </c>
      <c r="O133" s="806"/>
    </row>
    <row r="134" spans="2:15" s="799" customFormat="1" ht="11.25" hidden="1" x14ac:dyDescent="0.2">
      <c r="B134" s="799" t="s">
        <v>358</v>
      </c>
      <c r="C134" s="806">
        <f>(REBANHO!E48*REBANHO!E49)+(REBANHO!E50*REBANHO!E51)</f>
        <v>0</v>
      </c>
      <c r="D134" s="806">
        <f>(REBANHO!F48*REBANHO!F49)+(REBANHO!F50*REBANHO!F51)</f>
        <v>0</v>
      </c>
      <c r="E134" s="806">
        <f>(REBANHO!G48*REBANHO!G49)+(REBANHO!G50*REBANHO!G51)</f>
        <v>0</v>
      </c>
      <c r="F134" s="806">
        <f>(REBANHO!H48*REBANHO!H49)+(REBANHO!H50*REBANHO!H51)</f>
        <v>50061</v>
      </c>
      <c r="G134" s="806">
        <f>(REBANHO!I48*REBANHO!I49)+(REBANHO!I50*REBANHO!I51)</f>
        <v>60434</v>
      </c>
      <c r="H134" s="806">
        <f>(REBANHO!J48*REBANHO!J49)+(REBANHO!J50*REBANHO!J51)</f>
        <v>60434</v>
      </c>
      <c r="I134" s="806">
        <f>(REBANHO!K48*REBANHO!K49)+(REBANHO!K50*REBANHO!K51)</f>
        <v>10373</v>
      </c>
      <c r="J134" s="806">
        <f>(REBANHO!L48*REBANHO!L49)+(REBANHO!L50*REBANHO!L51)</f>
        <v>10373</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350</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65157</v>
      </c>
      <c r="J135" s="808">
        <f>ENTRADAS!K31*ENTRADAS!K32</f>
        <v>0</v>
      </c>
      <c r="K135" s="808">
        <f>ENTRADAS!L31*ENTRADAS!L32</f>
        <v>11684</v>
      </c>
      <c r="L135" s="808">
        <f>ENTRADAS!M31*ENTRADAS!M32</f>
        <v>0</v>
      </c>
      <c r="M135" s="808">
        <f>ENTRADAS!N31*ENTRADAS!N32</f>
        <v>0</v>
      </c>
      <c r="N135" s="808">
        <f>ENTRADAS!O31*ENTRADAS!O32</f>
        <v>0</v>
      </c>
      <c r="O135" s="326">
        <f>SUM(C135:N135)</f>
        <v>76841</v>
      </c>
    </row>
    <row r="136" spans="2:15" s="799" customFormat="1" hidden="1" x14ac:dyDescent="0.2">
      <c r="B136" s="807" t="s">
        <v>352</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353</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354</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10373</v>
      </c>
      <c r="N138" s="808">
        <f t="shared" si="46"/>
        <v>10373</v>
      </c>
      <c r="O138" s="806"/>
    </row>
    <row r="139" spans="2:15" s="799" customFormat="1" ht="11.25" hidden="1" x14ac:dyDescent="0.2">
      <c r="B139" s="807" t="s">
        <v>355</v>
      </c>
      <c r="C139" s="808">
        <f>SUM(C135:C138)</f>
        <v>0</v>
      </c>
      <c r="D139" s="808">
        <f t="shared" ref="D139:N139" si="47">SUM(D135:D138)</f>
        <v>0</v>
      </c>
      <c r="E139" s="808">
        <f t="shared" si="47"/>
        <v>0</v>
      </c>
      <c r="F139" s="808">
        <f t="shared" si="47"/>
        <v>0</v>
      </c>
      <c r="G139" s="808">
        <f t="shared" si="47"/>
        <v>0</v>
      </c>
      <c r="H139" s="808">
        <f t="shared" si="47"/>
        <v>0</v>
      </c>
      <c r="I139" s="808">
        <f t="shared" si="47"/>
        <v>65157</v>
      </c>
      <c r="J139" s="808">
        <f t="shared" si="47"/>
        <v>0</v>
      </c>
      <c r="K139" s="808">
        <f t="shared" si="47"/>
        <v>11684</v>
      </c>
      <c r="L139" s="808">
        <f t="shared" si="47"/>
        <v>0</v>
      </c>
      <c r="M139" s="808">
        <f t="shared" si="47"/>
        <v>10373</v>
      </c>
      <c r="N139" s="808">
        <f t="shared" si="47"/>
        <v>10373</v>
      </c>
      <c r="O139" s="806"/>
    </row>
    <row r="140" spans="2:15" s="799" customFormat="1" ht="11.25" hidden="1" x14ac:dyDescent="0.2">
      <c r="B140" s="807" t="s">
        <v>356</v>
      </c>
      <c r="C140" s="808">
        <f>C139</f>
        <v>0</v>
      </c>
      <c r="D140" s="808">
        <f t="shared" ref="D140:N140" si="48">C140+D139</f>
        <v>0</v>
      </c>
      <c r="E140" s="808">
        <f t="shared" si="48"/>
        <v>0</v>
      </c>
      <c r="F140" s="808">
        <f t="shared" si="48"/>
        <v>0</v>
      </c>
      <c r="G140" s="808">
        <f t="shared" si="48"/>
        <v>0</v>
      </c>
      <c r="H140" s="808">
        <f t="shared" si="48"/>
        <v>0</v>
      </c>
      <c r="I140" s="808">
        <f t="shared" si="48"/>
        <v>65157</v>
      </c>
      <c r="J140" s="808">
        <f t="shared" si="48"/>
        <v>65157</v>
      </c>
      <c r="K140" s="808">
        <f t="shared" si="48"/>
        <v>76841</v>
      </c>
      <c r="L140" s="808">
        <f t="shared" si="48"/>
        <v>76841</v>
      </c>
      <c r="M140" s="808">
        <f t="shared" si="48"/>
        <v>87214</v>
      </c>
      <c r="N140" s="808">
        <f t="shared" si="48"/>
        <v>97587</v>
      </c>
      <c r="O140" s="806"/>
    </row>
    <row r="141" spans="2:15" s="799" customFormat="1" ht="11.25" hidden="1" x14ac:dyDescent="0.2">
      <c r="B141" s="809" t="s">
        <v>351</v>
      </c>
      <c r="C141" s="810">
        <f>C134+C140</f>
        <v>0</v>
      </c>
      <c r="D141" s="810">
        <f t="shared" ref="D141:N141" si="49">D134+D140</f>
        <v>0</v>
      </c>
      <c r="E141" s="810">
        <f t="shared" si="49"/>
        <v>0</v>
      </c>
      <c r="F141" s="810">
        <f t="shared" si="49"/>
        <v>50061</v>
      </c>
      <c r="G141" s="810">
        <f t="shared" si="49"/>
        <v>60434</v>
      </c>
      <c r="H141" s="810">
        <f t="shared" si="49"/>
        <v>60434</v>
      </c>
      <c r="I141" s="810">
        <f t="shared" si="49"/>
        <v>75530</v>
      </c>
      <c r="J141" s="810">
        <f t="shared" si="49"/>
        <v>75530</v>
      </c>
      <c r="K141" s="810">
        <f t="shared" si="49"/>
        <v>76841</v>
      </c>
      <c r="L141" s="810">
        <f t="shared" si="49"/>
        <v>76841</v>
      </c>
      <c r="M141" s="810">
        <f t="shared" si="49"/>
        <v>87214</v>
      </c>
      <c r="N141" s="810">
        <f t="shared" si="49"/>
        <v>97587</v>
      </c>
      <c r="O141" s="810">
        <f>LARGE(C141:N141,1)</f>
        <v>97587</v>
      </c>
    </row>
    <row r="142" spans="2:15" s="799" customFormat="1" ht="11.25" hidden="1" x14ac:dyDescent="0.2">
      <c r="B142" s="807" t="s">
        <v>364</v>
      </c>
      <c r="C142" s="808">
        <f>SUM(C135:C137)</f>
        <v>0</v>
      </c>
      <c r="D142" s="808">
        <f t="shared" ref="D142:N142" si="50">SUM(D135:D137)</f>
        <v>0</v>
      </c>
      <c r="E142" s="808">
        <f t="shared" si="50"/>
        <v>0</v>
      </c>
      <c r="F142" s="808">
        <f t="shared" si="50"/>
        <v>0</v>
      </c>
      <c r="G142" s="808">
        <f t="shared" si="50"/>
        <v>0</v>
      </c>
      <c r="H142" s="808">
        <f t="shared" si="50"/>
        <v>0</v>
      </c>
      <c r="I142" s="808">
        <f t="shared" si="50"/>
        <v>65157</v>
      </c>
      <c r="J142" s="808">
        <f t="shared" si="50"/>
        <v>0</v>
      </c>
      <c r="K142" s="808">
        <f t="shared" si="50"/>
        <v>11684</v>
      </c>
      <c r="L142" s="808">
        <f t="shared" si="50"/>
        <v>0</v>
      </c>
      <c r="M142" s="808">
        <f t="shared" si="50"/>
        <v>0</v>
      </c>
      <c r="N142" s="808">
        <f t="shared" si="50"/>
        <v>0</v>
      </c>
      <c r="O142" s="806"/>
    </row>
    <row r="143" spans="2:15" s="799" customFormat="1" ht="11.25" hidden="1" x14ac:dyDescent="0.2">
      <c r="B143" s="807" t="s">
        <v>365</v>
      </c>
      <c r="C143" s="808">
        <f>C142</f>
        <v>0</v>
      </c>
      <c r="D143" s="808">
        <f>C143+D142</f>
        <v>0</v>
      </c>
      <c r="E143" s="808">
        <f t="shared" ref="E143:N143" si="51">D143+E142</f>
        <v>0</v>
      </c>
      <c r="F143" s="808">
        <f t="shared" si="51"/>
        <v>0</v>
      </c>
      <c r="G143" s="808">
        <f t="shared" si="51"/>
        <v>0</v>
      </c>
      <c r="H143" s="808">
        <f t="shared" si="51"/>
        <v>0</v>
      </c>
      <c r="I143" s="808">
        <f t="shared" si="51"/>
        <v>65157</v>
      </c>
      <c r="J143" s="808">
        <f t="shared" si="51"/>
        <v>65157</v>
      </c>
      <c r="K143" s="808">
        <f t="shared" si="51"/>
        <v>76841</v>
      </c>
      <c r="L143" s="808">
        <f t="shared" si="51"/>
        <v>76841</v>
      </c>
      <c r="M143" s="808">
        <f t="shared" si="51"/>
        <v>76841</v>
      </c>
      <c r="N143" s="808">
        <f t="shared" si="51"/>
        <v>76841</v>
      </c>
      <c r="O143" s="806"/>
    </row>
    <row r="144" spans="2:15" s="799" customFormat="1" ht="11.25" hidden="1" x14ac:dyDescent="0.2">
      <c r="B144" s="809" t="s">
        <v>366</v>
      </c>
      <c r="C144" s="810">
        <f t="shared" ref="C144:N144" si="52">C135+C143</f>
        <v>0</v>
      </c>
      <c r="D144" s="810">
        <f t="shared" si="52"/>
        <v>0</v>
      </c>
      <c r="E144" s="810">
        <f t="shared" si="52"/>
        <v>0</v>
      </c>
      <c r="F144" s="810">
        <f t="shared" si="52"/>
        <v>0</v>
      </c>
      <c r="G144" s="810">
        <f t="shared" si="52"/>
        <v>0</v>
      </c>
      <c r="H144" s="810">
        <f t="shared" si="52"/>
        <v>0</v>
      </c>
      <c r="I144" s="810">
        <f t="shared" si="52"/>
        <v>130314</v>
      </c>
      <c r="J144" s="810">
        <f t="shared" si="52"/>
        <v>65157</v>
      </c>
      <c r="K144" s="810">
        <f t="shared" si="52"/>
        <v>88525</v>
      </c>
      <c r="L144" s="810">
        <f t="shared" si="52"/>
        <v>76841</v>
      </c>
      <c r="M144" s="810">
        <f t="shared" si="52"/>
        <v>76841</v>
      </c>
      <c r="N144" s="810">
        <f t="shared" si="52"/>
        <v>76841</v>
      </c>
      <c r="O144" s="810">
        <f>IF(SUM(C134:N134)=0,0,LARGE(C144:N144,1))</f>
        <v>130314</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Junior Paulossi</cp:lastModifiedBy>
  <cp:lastPrinted>2014-11-12T18:43:35Z</cp:lastPrinted>
  <dcterms:created xsi:type="dcterms:W3CDTF">2014-09-16T19:51:39Z</dcterms:created>
  <dcterms:modified xsi:type="dcterms:W3CDTF">2016-12-27T15:03:54Z</dcterms:modified>
</cp:coreProperties>
</file>