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Users\sophi\OneDrive\Documentos\ACV\Planilha corte\"/>
    </mc:Choice>
  </mc:AlternateContent>
  <xr:revisionPtr revIDLastSave="0" documentId="13_ncr:1_{033AE39A-96DC-4677-BD41-563FCEE2C504}" xr6:coauthVersionLast="47" xr6:coauthVersionMax="47" xr10:uidLastSave="{00000000-0000-0000-0000-000000000000}"/>
  <bookViews>
    <workbookView xWindow="-120" yWindow="-120" windowWidth="20730" windowHeight="11160" firstSheet="1" activeTab="1" xr2:uid="{00000000-000D-0000-FFFF-FFFF00000000}"/>
  </bookViews>
  <sheets>
    <sheet name="Entradas Rebanho" sheetId="1" r:id="rId1"/>
    <sheet name="Entradas Alimentação" sheetId="2" r:id="rId2"/>
    <sheet name="Lista Suspensa" sheetId="3" r:id="rId3"/>
    <sheet name="Cálculos" sheetId="4" r:id="rId4"/>
    <sheet name="Default" sheetId="5" r:id="rId5"/>
    <sheet name="Equações" sheetId="6" r:id="rId6"/>
    <sheet name="Saída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nvIp2ZczD22DwBLtqVgbdNZIgHizX5gwLEsczab2UyM="/>
    </ext>
  </extLst>
</workbook>
</file>

<file path=xl/calcChain.xml><?xml version="1.0" encoding="utf-8"?>
<calcChain xmlns="http://schemas.openxmlformats.org/spreadsheetml/2006/main">
  <c r="CQ36" i="2" l="1"/>
  <c r="D677" i="4" l="1"/>
  <c r="D10" i="1"/>
  <c r="D9" i="1" l="1"/>
  <c r="B8" i="7" s="1"/>
  <c r="D8" i="1"/>
  <c r="B7" i="7" s="1"/>
  <c r="B11" i="7"/>
  <c r="B10" i="7"/>
  <c r="B6" i="7"/>
  <c r="B4" i="7"/>
  <c r="B5" i="7"/>
  <c r="B3" i="7"/>
  <c r="CP6" i="2"/>
  <c r="CO6" i="2" s="1"/>
  <c r="CP7" i="2"/>
  <c r="CO7" i="2" s="1"/>
  <c r="CP8" i="2"/>
  <c r="CO8" i="2" s="1"/>
  <c r="CP9" i="2"/>
  <c r="CP10" i="2"/>
  <c r="CO10" i="2" s="1"/>
  <c r="CP11" i="2"/>
  <c r="CO11" i="2" s="1"/>
  <c r="CP12" i="2"/>
  <c r="CP13" i="2"/>
  <c r="CO13" i="2" s="1"/>
  <c r="CP14" i="2"/>
  <c r="CP15" i="2"/>
  <c r="CP16" i="2"/>
  <c r="CO16" i="2" s="1"/>
  <c r="CP17" i="2"/>
  <c r="CP18" i="2"/>
  <c r="CO18" i="2" s="1"/>
  <c r="CP19" i="2"/>
  <c r="CO19" i="2" s="1"/>
  <c r="CP20" i="2"/>
  <c r="CP21" i="2"/>
  <c r="CO21" i="2" s="1"/>
  <c r="CP22" i="2"/>
  <c r="CP23" i="2"/>
  <c r="CP24" i="2"/>
  <c r="CO24" i="2" s="1"/>
  <c r="CP25" i="2"/>
  <c r="CP26" i="2"/>
  <c r="CO26" i="2" s="1"/>
  <c r="CP27" i="2"/>
  <c r="CO27" i="2" s="1"/>
  <c r="CP28" i="2"/>
  <c r="CP29" i="2"/>
  <c r="CO29" i="2" s="1"/>
  <c r="CP30" i="2"/>
  <c r="CP31" i="2"/>
  <c r="CP32" i="2"/>
  <c r="CO32" i="2" s="1"/>
  <c r="CP33" i="2"/>
  <c r="CP34" i="2"/>
  <c r="CO34" i="2" s="1"/>
  <c r="CO9" i="2"/>
  <c r="CO12" i="2"/>
  <c r="CO14" i="2"/>
  <c r="CO15" i="2"/>
  <c r="CO17" i="2"/>
  <c r="CO20" i="2"/>
  <c r="CO22" i="2"/>
  <c r="CO23" i="2"/>
  <c r="CO25" i="2"/>
  <c r="CO28" i="2"/>
  <c r="CO30" i="2"/>
  <c r="CO31" i="2"/>
  <c r="CO33" i="2"/>
  <c r="CJ5" i="2"/>
  <c r="CP5" i="2"/>
  <c r="CO5" i="2" s="1"/>
  <c r="B9" i="7" l="1"/>
  <c r="C39" i="7"/>
  <c r="C38" i="7"/>
  <c r="C37" i="7"/>
  <c r="C36" i="7"/>
  <c r="C35" i="7"/>
  <c r="B36" i="7"/>
  <c r="B37" i="7"/>
  <c r="B38" i="7"/>
  <c r="B39" i="7"/>
  <c r="D39" i="7" s="1"/>
  <c r="B40" i="7"/>
  <c r="B41" i="7"/>
  <c r="B35" i="7"/>
  <c r="D35" i="7" s="1"/>
  <c r="D699" i="4"/>
  <c r="D700" i="4"/>
  <c r="D701" i="4"/>
  <c r="D696" i="4"/>
  <c r="P747" i="4"/>
  <c r="O747" i="4"/>
  <c r="N747" i="4"/>
  <c r="M747" i="4"/>
  <c r="L747" i="4"/>
  <c r="K747" i="4"/>
  <c r="J747" i="4"/>
  <c r="I747" i="4"/>
  <c r="H747" i="4"/>
  <c r="P746" i="4"/>
  <c r="P745" i="4"/>
  <c r="P744" i="4"/>
  <c r="P743" i="4"/>
  <c r="P742" i="4"/>
  <c r="P741" i="4"/>
  <c r="P740" i="4"/>
  <c r="P739" i="4"/>
  <c r="P736" i="4"/>
  <c r="O736" i="4"/>
  <c r="N736" i="4"/>
  <c r="M736" i="4"/>
  <c r="L736" i="4"/>
  <c r="K736" i="4"/>
  <c r="J736" i="4"/>
  <c r="I736" i="4"/>
  <c r="H736" i="4"/>
  <c r="P735" i="4"/>
  <c r="P734" i="4"/>
  <c r="P733" i="4"/>
  <c r="P732" i="4"/>
  <c r="P731" i="4"/>
  <c r="P730" i="4"/>
  <c r="P729" i="4"/>
  <c r="P728" i="4"/>
  <c r="P725" i="4"/>
  <c r="O725" i="4"/>
  <c r="N725" i="4"/>
  <c r="M725" i="4"/>
  <c r="L725" i="4"/>
  <c r="K725" i="4"/>
  <c r="J725" i="4"/>
  <c r="I725" i="4"/>
  <c r="H725" i="4"/>
  <c r="P724" i="4"/>
  <c r="P723" i="4"/>
  <c r="P722" i="4"/>
  <c r="P721" i="4"/>
  <c r="P720" i="4"/>
  <c r="P719" i="4"/>
  <c r="P718" i="4"/>
  <c r="P717" i="4"/>
  <c r="P714" i="4"/>
  <c r="O714" i="4"/>
  <c r="N714" i="4"/>
  <c r="M714" i="4"/>
  <c r="L714" i="4"/>
  <c r="K714" i="4"/>
  <c r="J714" i="4"/>
  <c r="I714" i="4"/>
  <c r="H714" i="4"/>
  <c r="P713" i="4"/>
  <c r="P712" i="4"/>
  <c r="P711" i="4"/>
  <c r="P710" i="4"/>
  <c r="P709" i="4"/>
  <c r="P708" i="4"/>
  <c r="P707" i="4"/>
  <c r="P706" i="4"/>
  <c r="P703" i="4"/>
  <c r="O703" i="4"/>
  <c r="N703" i="4"/>
  <c r="M703" i="4"/>
  <c r="L703" i="4"/>
  <c r="K703" i="4"/>
  <c r="J703" i="4"/>
  <c r="I703" i="4"/>
  <c r="H703" i="4"/>
  <c r="P702" i="4"/>
  <c r="P701" i="4"/>
  <c r="P700" i="4"/>
  <c r="P699" i="4"/>
  <c r="P698" i="4"/>
  <c r="P697" i="4"/>
  <c r="P696" i="4"/>
  <c r="P695" i="4"/>
  <c r="P692" i="4"/>
  <c r="O692" i="4"/>
  <c r="N692" i="4"/>
  <c r="M692" i="4"/>
  <c r="L692" i="4"/>
  <c r="K692" i="4"/>
  <c r="J692" i="4"/>
  <c r="I692" i="4"/>
  <c r="H692" i="4"/>
  <c r="P691" i="4"/>
  <c r="P690" i="4"/>
  <c r="P689" i="4"/>
  <c r="P688" i="4"/>
  <c r="P687" i="4"/>
  <c r="P686" i="4"/>
  <c r="P685" i="4"/>
  <c r="P684" i="4"/>
  <c r="O746" i="4"/>
  <c r="N746" i="4"/>
  <c r="M746" i="4"/>
  <c r="L746" i="4"/>
  <c r="K746" i="4"/>
  <c r="J746" i="4"/>
  <c r="I746" i="4"/>
  <c r="H746" i="4"/>
  <c r="O745" i="4"/>
  <c r="O744" i="4"/>
  <c r="O743" i="4"/>
  <c r="O742" i="4"/>
  <c r="O741" i="4"/>
  <c r="O740" i="4"/>
  <c r="O739" i="4"/>
  <c r="O735" i="4"/>
  <c r="N735" i="4"/>
  <c r="M735" i="4"/>
  <c r="L735" i="4"/>
  <c r="K735" i="4"/>
  <c r="J735" i="4"/>
  <c r="I735" i="4"/>
  <c r="H735" i="4"/>
  <c r="O734" i="4"/>
  <c r="O733" i="4"/>
  <c r="O732" i="4"/>
  <c r="O731" i="4"/>
  <c r="O730" i="4"/>
  <c r="O729" i="4"/>
  <c r="O728" i="4"/>
  <c r="O724" i="4"/>
  <c r="N724" i="4"/>
  <c r="M724" i="4"/>
  <c r="L724" i="4"/>
  <c r="K724" i="4"/>
  <c r="J724" i="4"/>
  <c r="I724" i="4"/>
  <c r="H724" i="4"/>
  <c r="O723" i="4"/>
  <c r="O722" i="4"/>
  <c r="O721" i="4"/>
  <c r="O720" i="4"/>
  <c r="O719" i="4"/>
  <c r="O718" i="4"/>
  <c r="O717" i="4"/>
  <c r="O713" i="4"/>
  <c r="N713" i="4"/>
  <c r="M713" i="4"/>
  <c r="L713" i="4"/>
  <c r="K713" i="4"/>
  <c r="J713" i="4"/>
  <c r="I713" i="4"/>
  <c r="H713" i="4"/>
  <c r="O712" i="4"/>
  <c r="O711" i="4"/>
  <c r="O710" i="4"/>
  <c r="O709" i="4"/>
  <c r="O708" i="4"/>
  <c r="O707" i="4"/>
  <c r="O706" i="4"/>
  <c r="O702" i="4"/>
  <c r="N702" i="4"/>
  <c r="M702" i="4"/>
  <c r="L702" i="4"/>
  <c r="K702" i="4"/>
  <c r="J702" i="4"/>
  <c r="I702" i="4"/>
  <c r="H702" i="4"/>
  <c r="O701" i="4"/>
  <c r="O700" i="4"/>
  <c r="O699" i="4"/>
  <c r="O698" i="4"/>
  <c r="O697" i="4"/>
  <c r="O696" i="4"/>
  <c r="O695" i="4"/>
  <c r="O691" i="4"/>
  <c r="N691" i="4"/>
  <c r="M691" i="4"/>
  <c r="L691" i="4"/>
  <c r="K691" i="4"/>
  <c r="J691" i="4"/>
  <c r="I691" i="4"/>
  <c r="H691" i="4"/>
  <c r="O690" i="4"/>
  <c r="O689" i="4"/>
  <c r="O688" i="4"/>
  <c r="O687" i="4"/>
  <c r="O686" i="4"/>
  <c r="O685" i="4"/>
  <c r="O684" i="4"/>
  <c r="N745" i="4"/>
  <c r="M745" i="4"/>
  <c r="L745" i="4"/>
  <c r="K745" i="4"/>
  <c r="J745" i="4"/>
  <c r="I745" i="4"/>
  <c r="H745" i="4"/>
  <c r="N744" i="4"/>
  <c r="N743" i="4"/>
  <c r="N742" i="4"/>
  <c r="N741" i="4"/>
  <c r="N740" i="4"/>
  <c r="N739" i="4"/>
  <c r="N734" i="4"/>
  <c r="M734" i="4"/>
  <c r="L734" i="4"/>
  <c r="K734" i="4"/>
  <c r="J734" i="4"/>
  <c r="I734" i="4"/>
  <c r="H734" i="4"/>
  <c r="N733" i="4"/>
  <c r="N732" i="4"/>
  <c r="N731" i="4"/>
  <c r="N730" i="4"/>
  <c r="N729" i="4"/>
  <c r="N728" i="4"/>
  <c r="N723" i="4"/>
  <c r="M723" i="4"/>
  <c r="L723" i="4"/>
  <c r="K723" i="4"/>
  <c r="J723" i="4"/>
  <c r="I723" i="4"/>
  <c r="H723" i="4"/>
  <c r="N722" i="4"/>
  <c r="N721" i="4"/>
  <c r="N720" i="4"/>
  <c r="N719" i="4"/>
  <c r="N718" i="4"/>
  <c r="N717" i="4"/>
  <c r="N712" i="4"/>
  <c r="M712" i="4"/>
  <c r="L712" i="4"/>
  <c r="K712" i="4"/>
  <c r="J712" i="4"/>
  <c r="I712" i="4"/>
  <c r="H712" i="4"/>
  <c r="N711" i="4"/>
  <c r="N710" i="4"/>
  <c r="N709" i="4"/>
  <c r="N708" i="4"/>
  <c r="N707" i="4"/>
  <c r="N706" i="4"/>
  <c r="N701" i="4"/>
  <c r="M701" i="4"/>
  <c r="L701" i="4"/>
  <c r="K701" i="4"/>
  <c r="J701" i="4"/>
  <c r="I701" i="4"/>
  <c r="H701" i="4"/>
  <c r="N700" i="4"/>
  <c r="N699" i="4"/>
  <c r="N698" i="4"/>
  <c r="N697" i="4"/>
  <c r="N696" i="4"/>
  <c r="N695" i="4"/>
  <c r="N690" i="4"/>
  <c r="M690" i="4"/>
  <c r="L690" i="4"/>
  <c r="K690" i="4"/>
  <c r="J690" i="4"/>
  <c r="I690" i="4"/>
  <c r="H690" i="4"/>
  <c r="N689" i="4"/>
  <c r="N688" i="4"/>
  <c r="N687" i="4"/>
  <c r="N686" i="4"/>
  <c r="N685" i="4"/>
  <c r="N684" i="4"/>
  <c r="M744" i="4"/>
  <c r="L744" i="4"/>
  <c r="K744" i="4"/>
  <c r="J744" i="4"/>
  <c r="I744" i="4"/>
  <c r="H744" i="4"/>
  <c r="M743" i="4"/>
  <c r="M742" i="4"/>
  <c r="M741" i="4"/>
  <c r="M740" i="4"/>
  <c r="M739" i="4"/>
  <c r="M733" i="4"/>
  <c r="L733" i="4"/>
  <c r="K733" i="4"/>
  <c r="J733" i="4"/>
  <c r="I733" i="4"/>
  <c r="H733" i="4"/>
  <c r="M732" i="4"/>
  <c r="M731" i="4"/>
  <c r="M730" i="4"/>
  <c r="M729" i="4"/>
  <c r="M728" i="4"/>
  <c r="M722" i="4"/>
  <c r="L722" i="4"/>
  <c r="K722" i="4"/>
  <c r="J722" i="4"/>
  <c r="I722" i="4"/>
  <c r="H722" i="4"/>
  <c r="M721" i="4"/>
  <c r="M720" i="4"/>
  <c r="M719" i="4"/>
  <c r="M718" i="4"/>
  <c r="M717" i="4"/>
  <c r="M711" i="4"/>
  <c r="L711" i="4"/>
  <c r="K711" i="4"/>
  <c r="J711" i="4"/>
  <c r="I711" i="4"/>
  <c r="H711" i="4"/>
  <c r="M710" i="4"/>
  <c r="M709" i="4"/>
  <c r="M708" i="4"/>
  <c r="M707" i="4"/>
  <c r="M706" i="4"/>
  <c r="M700" i="4"/>
  <c r="L700" i="4"/>
  <c r="K700" i="4"/>
  <c r="J700" i="4"/>
  <c r="I700" i="4"/>
  <c r="H700" i="4"/>
  <c r="M699" i="4"/>
  <c r="M698" i="4"/>
  <c r="M697" i="4"/>
  <c r="M696" i="4"/>
  <c r="M695" i="4"/>
  <c r="M689" i="4"/>
  <c r="L689" i="4"/>
  <c r="K689" i="4"/>
  <c r="J689" i="4"/>
  <c r="I689" i="4"/>
  <c r="H689" i="4"/>
  <c r="M688" i="4"/>
  <c r="M687" i="4"/>
  <c r="M686" i="4"/>
  <c r="M685" i="4"/>
  <c r="M684" i="4"/>
  <c r="L743" i="4"/>
  <c r="K743" i="4"/>
  <c r="J743" i="4"/>
  <c r="I743" i="4"/>
  <c r="H743" i="4"/>
  <c r="L742" i="4"/>
  <c r="L741" i="4"/>
  <c r="L740" i="4"/>
  <c r="L739" i="4"/>
  <c r="L732" i="4"/>
  <c r="K732" i="4"/>
  <c r="J732" i="4"/>
  <c r="I732" i="4"/>
  <c r="H732" i="4"/>
  <c r="L731" i="4"/>
  <c r="L730" i="4"/>
  <c r="L729" i="4"/>
  <c r="L728" i="4"/>
  <c r="L721" i="4"/>
  <c r="K721" i="4"/>
  <c r="J721" i="4"/>
  <c r="I721" i="4"/>
  <c r="H721" i="4"/>
  <c r="L720" i="4"/>
  <c r="L719" i="4"/>
  <c r="L718" i="4"/>
  <c r="L717" i="4"/>
  <c r="L710" i="4"/>
  <c r="K710" i="4"/>
  <c r="J710" i="4"/>
  <c r="I710" i="4"/>
  <c r="H710" i="4"/>
  <c r="L709" i="4"/>
  <c r="L708" i="4"/>
  <c r="L707" i="4"/>
  <c r="L706" i="4"/>
  <c r="L699" i="4"/>
  <c r="K699" i="4"/>
  <c r="J699" i="4"/>
  <c r="I699" i="4"/>
  <c r="H699" i="4"/>
  <c r="L698" i="4"/>
  <c r="L697" i="4"/>
  <c r="L696" i="4"/>
  <c r="L695" i="4"/>
  <c r="L688" i="4"/>
  <c r="K688" i="4"/>
  <c r="J688" i="4"/>
  <c r="I688" i="4"/>
  <c r="H688" i="4"/>
  <c r="L687" i="4"/>
  <c r="L686" i="4"/>
  <c r="L685" i="4"/>
  <c r="L684" i="4"/>
  <c r="CJ6" i="2"/>
  <c r="CJ7" i="2"/>
  <c r="CJ8" i="2"/>
  <c r="CJ9" i="2"/>
  <c r="CJ10" i="2"/>
  <c r="CJ11" i="2"/>
  <c r="CJ12" i="2"/>
  <c r="CJ13" i="2"/>
  <c r="CJ14" i="2"/>
  <c r="CJ15" i="2"/>
  <c r="CJ16" i="2"/>
  <c r="CJ17" i="2"/>
  <c r="CJ18" i="2"/>
  <c r="CJ19" i="2"/>
  <c r="CJ20" i="2"/>
  <c r="CJ21" i="2"/>
  <c r="CJ22" i="2"/>
  <c r="CJ23" i="2"/>
  <c r="CJ24" i="2"/>
  <c r="CJ25" i="2"/>
  <c r="CJ26" i="2"/>
  <c r="CJ27" i="2"/>
  <c r="CJ28" i="2"/>
  <c r="CJ29" i="2"/>
  <c r="CJ30" i="2"/>
  <c r="CJ31" i="2"/>
  <c r="CJ32" i="2"/>
  <c r="CJ33" i="2"/>
  <c r="CJ34" i="2"/>
  <c r="CD6" i="2"/>
  <c r="CD7" i="2"/>
  <c r="CD8" i="2"/>
  <c r="CD9" i="2"/>
  <c r="CD10" i="2"/>
  <c r="CD11" i="2"/>
  <c r="CD12" i="2"/>
  <c r="CD13" i="2"/>
  <c r="CD14" i="2"/>
  <c r="CD15" i="2"/>
  <c r="CD16" i="2"/>
  <c r="CD17" i="2"/>
  <c r="CD18" i="2"/>
  <c r="CD19" i="2"/>
  <c r="CD20" i="2"/>
  <c r="CD21" i="2"/>
  <c r="CD22" i="2"/>
  <c r="CD23" i="2"/>
  <c r="CD24" i="2"/>
  <c r="CD25" i="2"/>
  <c r="CD26" i="2"/>
  <c r="CD27" i="2"/>
  <c r="CD28" i="2"/>
  <c r="CD29" i="2"/>
  <c r="CD30" i="2"/>
  <c r="CD31" i="2"/>
  <c r="CD32" i="2"/>
  <c r="CD33" i="2"/>
  <c r="CD34" i="2"/>
  <c r="CD5" i="2"/>
  <c r="BX5" i="2"/>
  <c r="BX6" i="2"/>
  <c r="BX7" i="2"/>
  <c r="BX8" i="2"/>
  <c r="BX9" i="2"/>
  <c r="BX10" i="2"/>
  <c r="BX11" i="2"/>
  <c r="BX12" i="2"/>
  <c r="BX13" i="2"/>
  <c r="BX14" i="2"/>
  <c r="BX15" i="2"/>
  <c r="BX16" i="2"/>
  <c r="BX17" i="2"/>
  <c r="BX18" i="2"/>
  <c r="BX19" i="2"/>
  <c r="BX20" i="2"/>
  <c r="BX21" i="2"/>
  <c r="BX22" i="2"/>
  <c r="BX23" i="2"/>
  <c r="BX24" i="2"/>
  <c r="BX25" i="2"/>
  <c r="BX26" i="2"/>
  <c r="BX27" i="2"/>
  <c r="BX28" i="2"/>
  <c r="BX29" i="2"/>
  <c r="BX30" i="2"/>
  <c r="BX31" i="2"/>
  <c r="BX32" i="2"/>
  <c r="BX33" i="2"/>
  <c r="BX34" i="2"/>
  <c r="BR5" i="2"/>
  <c r="BR6" i="2"/>
  <c r="BR7" i="2"/>
  <c r="BR8" i="2"/>
  <c r="BR9" i="2"/>
  <c r="BR10" i="2"/>
  <c r="BR11" i="2"/>
  <c r="BR12" i="2"/>
  <c r="BR13" i="2"/>
  <c r="BR14" i="2"/>
  <c r="BR15" i="2"/>
  <c r="BR16" i="2"/>
  <c r="BR17" i="2"/>
  <c r="BR18" i="2"/>
  <c r="BR19" i="2"/>
  <c r="BR20" i="2"/>
  <c r="BR21" i="2"/>
  <c r="BR22" i="2"/>
  <c r="BR23" i="2"/>
  <c r="BR24" i="2"/>
  <c r="BR25" i="2"/>
  <c r="BR26" i="2"/>
  <c r="BR27" i="2"/>
  <c r="BR28" i="2"/>
  <c r="BR29" i="2"/>
  <c r="BR30" i="2"/>
  <c r="BR31" i="2"/>
  <c r="BR32" i="2"/>
  <c r="BR33" i="2"/>
  <c r="BR34" i="2"/>
  <c r="BL5" i="2"/>
  <c r="BL6" i="2"/>
  <c r="BL7" i="2"/>
  <c r="BL8" i="2"/>
  <c r="BL9" i="2"/>
  <c r="BL10" i="2"/>
  <c r="BL11" i="2"/>
  <c r="BL12" i="2"/>
  <c r="BL13" i="2"/>
  <c r="BL14" i="2"/>
  <c r="BL15" i="2"/>
  <c r="BL16" i="2"/>
  <c r="BL17" i="2"/>
  <c r="BL18" i="2"/>
  <c r="BL19" i="2"/>
  <c r="BL20" i="2"/>
  <c r="BL21" i="2"/>
  <c r="BL22" i="2"/>
  <c r="BL23" i="2"/>
  <c r="BL24" i="2"/>
  <c r="BL25" i="2"/>
  <c r="BL26" i="2"/>
  <c r="BL27" i="2"/>
  <c r="BL28" i="2"/>
  <c r="BL29" i="2"/>
  <c r="BL30" i="2"/>
  <c r="BL31" i="2"/>
  <c r="BL32" i="2"/>
  <c r="BL33" i="2"/>
  <c r="BL34" i="2"/>
  <c r="BF6" i="2"/>
  <c r="BF7" i="2"/>
  <c r="BF8" i="2"/>
  <c r="BF9" i="2"/>
  <c r="BF10" i="2"/>
  <c r="BF11" i="2"/>
  <c r="BF12" i="2"/>
  <c r="BF13" i="2"/>
  <c r="BF14" i="2"/>
  <c r="BF15" i="2"/>
  <c r="BF16" i="2"/>
  <c r="BF17" i="2"/>
  <c r="BF18" i="2"/>
  <c r="BF19" i="2"/>
  <c r="BF20" i="2"/>
  <c r="BF21" i="2"/>
  <c r="BF22" i="2"/>
  <c r="BF23" i="2"/>
  <c r="BF24" i="2"/>
  <c r="BF25" i="2"/>
  <c r="BF26" i="2"/>
  <c r="BF27" i="2"/>
  <c r="BF28" i="2"/>
  <c r="BF29" i="2"/>
  <c r="BF30" i="2"/>
  <c r="BF31" i="2"/>
  <c r="BF32" i="2"/>
  <c r="BF33" i="2"/>
  <c r="BF34" i="2"/>
  <c r="BF5" i="2"/>
  <c r="AZ6" i="2"/>
  <c r="AZ7" i="2"/>
  <c r="AZ8" i="2"/>
  <c r="AZ9" i="2"/>
  <c r="AZ10" i="2"/>
  <c r="AZ11" i="2"/>
  <c r="AZ12" i="2"/>
  <c r="AZ13" i="2"/>
  <c r="AZ14" i="2"/>
  <c r="AZ15" i="2"/>
  <c r="AZ16" i="2"/>
  <c r="AZ17" i="2"/>
  <c r="AZ18" i="2"/>
  <c r="AZ19" i="2"/>
  <c r="AZ20" i="2"/>
  <c r="AZ21" i="2"/>
  <c r="AZ22" i="2"/>
  <c r="AZ23" i="2"/>
  <c r="AZ24" i="2"/>
  <c r="AZ25" i="2"/>
  <c r="AZ26" i="2"/>
  <c r="AZ27" i="2"/>
  <c r="AZ28" i="2"/>
  <c r="AZ29" i="2"/>
  <c r="AZ30" i="2"/>
  <c r="AZ31" i="2"/>
  <c r="AZ32" i="2"/>
  <c r="AZ33" i="2"/>
  <c r="AZ34" i="2"/>
  <c r="AZ5" i="2"/>
  <c r="AT5" i="2"/>
  <c r="AS5" i="2" s="1"/>
  <c r="AW5" i="2" s="1"/>
  <c r="AT6" i="2"/>
  <c r="AT7" i="2"/>
  <c r="AT8" i="2"/>
  <c r="AT9" i="2"/>
  <c r="AT10" i="2"/>
  <c r="AT11" i="2"/>
  <c r="AT12" i="2"/>
  <c r="AT13" i="2"/>
  <c r="AT14" i="2"/>
  <c r="AT15" i="2"/>
  <c r="AT16" i="2"/>
  <c r="AT17" i="2"/>
  <c r="AT18" i="2"/>
  <c r="AT19" i="2"/>
  <c r="AT20" i="2"/>
  <c r="AT21" i="2"/>
  <c r="AT22" i="2"/>
  <c r="AT23" i="2"/>
  <c r="AT24" i="2"/>
  <c r="AT25" i="2"/>
  <c r="AT26" i="2"/>
  <c r="AT27" i="2"/>
  <c r="AT28" i="2"/>
  <c r="AT29" i="2"/>
  <c r="AT30" i="2"/>
  <c r="AT31" i="2"/>
  <c r="AT32" i="2"/>
  <c r="AT33" i="2"/>
  <c r="AT34" i="2"/>
  <c r="AN6" i="2"/>
  <c r="AN7" i="2"/>
  <c r="AN8" i="2"/>
  <c r="AN9" i="2"/>
  <c r="AN10" i="2"/>
  <c r="AN11" i="2"/>
  <c r="AN12" i="2"/>
  <c r="AN13" i="2"/>
  <c r="AN14" i="2"/>
  <c r="AN15" i="2"/>
  <c r="AN16" i="2"/>
  <c r="AN17" i="2"/>
  <c r="AN18" i="2"/>
  <c r="AN19" i="2"/>
  <c r="AN20" i="2"/>
  <c r="AN21" i="2"/>
  <c r="AN22" i="2"/>
  <c r="AN23" i="2"/>
  <c r="AN24" i="2"/>
  <c r="AN25" i="2"/>
  <c r="AN26" i="2"/>
  <c r="AN27" i="2"/>
  <c r="AN28" i="2"/>
  <c r="AN29" i="2"/>
  <c r="AN30" i="2"/>
  <c r="AN31" i="2"/>
  <c r="AN32" i="2"/>
  <c r="AN33" i="2"/>
  <c r="AN34" i="2"/>
  <c r="AN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5" i="2"/>
  <c r="AG5" i="2" s="1"/>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5"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5" i="2"/>
  <c r="I5" i="2" s="1"/>
  <c r="L5" i="2" s="1"/>
  <c r="D6" i="2"/>
  <c r="C6" i="2" s="1"/>
  <c r="D7" i="2"/>
  <c r="C7" i="2" s="1"/>
  <c r="E7" i="2" s="1"/>
  <c r="D8" i="2"/>
  <c r="C8" i="2" s="1"/>
  <c r="D9" i="2"/>
  <c r="C9" i="2" s="1"/>
  <c r="D10" i="2"/>
  <c r="C10" i="2" s="1"/>
  <c r="D11" i="2"/>
  <c r="C11" i="2" s="1"/>
  <c r="E11" i="2" s="1"/>
  <c r="D12" i="2"/>
  <c r="C12" i="2" s="1"/>
  <c r="D13" i="2"/>
  <c r="C13" i="2" s="1"/>
  <c r="F13" i="2" s="1"/>
  <c r="D14" i="2"/>
  <c r="C14" i="2" s="1"/>
  <c r="D15" i="2"/>
  <c r="C15" i="2" s="1"/>
  <c r="E15" i="2" s="1"/>
  <c r="D16" i="2"/>
  <c r="C16" i="2" s="1"/>
  <c r="D17" i="2"/>
  <c r="C17" i="2" s="1"/>
  <c r="D18" i="2"/>
  <c r="D19" i="2"/>
  <c r="C19" i="2" s="1"/>
  <c r="G19" i="2" s="1"/>
  <c r="D20" i="2"/>
  <c r="D21" i="2"/>
  <c r="C21" i="2" s="1"/>
  <c r="G21" i="2" s="1"/>
  <c r="D22" i="2"/>
  <c r="C22" i="2" s="1"/>
  <c r="G22" i="2" s="1"/>
  <c r="D23" i="2"/>
  <c r="C23" i="2" s="1"/>
  <c r="E23" i="2" s="1"/>
  <c r="D24" i="2"/>
  <c r="D25" i="2"/>
  <c r="C25" i="2" s="1"/>
  <c r="D26" i="2"/>
  <c r="C26" i="2" s="1"/>
  <c r="D27" i="2"/>
  <c r="C27" i="2" s="1"/>
  <c r="G27" i="2" s="1"/>
  <c r="D28" i="2"/>
  <c r="D29" i="2"/>
  <c r="C29" i="2" s="1"/>
  <c r="G29" i="2" s="1"/>
  <c r="D30" i="2"/>
  <c r="C30" i="2" s="1"/>
  <c r="D31" i="2"/>
  <c r="C31" i="2" s="1"/>
  <c r="E31" i="2" s="1"/>
  <c r="D32" i="2"/>
  <c r="C32" i="2" s="1"/>
  <c r="F32" i="2" s="1"/>
  <c r="D33" i="2"/>
  <c r="C33" i="2" s="1"/>
  <c r="D34" i="2"/>
  <c r="C34" i="2" s="1"/>
  <c r="C18" i="2"/>
  <c r="G18" i="2" s="1"/>
  <c r="C20" i="2"/>
  <c r="G20" i="2" s="1"/>
  <c r="C24" i="2"/>
  <c r="F24" i="2" s="1"/>
  <c r="C28" i="2"/>
  <c r="G28" i="2" s="1"/>
  <c r="D5" i="2"/>
  <c r="C5" i="2" s="1"/>
  <c r="E5" i="2" s="1"/>
  <c r="D36" i="7" l="1"/>
  <c r="D42" i="7" s="1"/>
  <c r="D43" i="7"/>
  <c r="G30" i="2"/>
  <c r="E30" i="2"/>
  <c r="G24" i="2"/>
  <c r="E22" i="2"/>
  <c r="E20" i="2"/>
  <c r="F31" i="2"/>
  <c r="F23" i="2"/>
  <c r="G32" i="2"/>
  <c r="CQ5" i="2"/>
  <c r="D38" i="7"/>
  <c r="D37" i="7"/>
  <c r="G34" i="2"/>
  <c r="F34" i="2"/>
  <c r="E34" i="2"/>
  <c r="G33" i="2"/>
  <c r="F33" i="2"/>
  <c r="E33" i="2"/>
  <c r="G25" i="2"/>
  <c r="F25" i="2"/>
  <c r="E25" i="2"/>
  <c r="G26" i="2"/>
  <c r="F26" i="2"/>
  <c r="E26" i="2"/>
  <c r="E29" i="2"/>
  <c r="E21" i="2"/>
  <c r="F30" i="2"/>
  <c r="F22" i="2"/>
  <c r="G31" i="2"/>
  <c r="G23" i="2"/>
  <c r="E28" i="2"/>
  <c r="F29" i="2"/>
  <c r="F21" i="2"/>
  <c r="E27" i="2"/>
  <c r="E19" i="2"/>
  <c r="F28" i="2"/>
  <c r="F20" i="2"/>
  <c r="E18" i="2"/>
  <c r="F27" i="2"/>
  <c r="F19" i="2"/>
  <c r="F18" i="2"/>
  <c r="E32" i="2"/>
  <c r="E24" i="2"/>
  <c r="AU5" i="2"/>
  <c r="AV5" i="2"/>
  <c r="AJ5" i="2"/>
  <c r="AI5" i="2"/>
  <c r="AK5" i="2"/>
  <c r="M5" i="2"/>
  <c r="K5" i="2"/>
  <c r="E17" i="2"/>
  <c r="G17" i="2"/>
  <c r="F17" i="2"/>
  <c r="E16" i="2"/>
  <c r="G16" i="2"/>
  <c r="F16" i="2"/>
  <c r="F15" i="2"/>
  <c r="G15" i="2"/>
  <c r="F14" i="2"/>
  <c r="E14" i="2"/>
  <c r="G14" i="2"/>
  <c r="E13" i="2"/>
  <c r="G13" i="2"/>
  <c r="E12" i="2"/>
  <c r="F12" i="2"/>
  <c r="G12" i="2"/>
  <c r="G11" i="2"/>
  <c r="F11" i="2"/>
  <c r="G10" i="2"/>
  <c r="F10" i="2"/>
  <c r="E10" i="2"/>
  <c r="E9" i="2"/>
  <c r="G9" i="2"/>
  <c r="F9" i="2"/>
  <c r="E8" i="2"/>
  <c r="G8" i="2"/>
  <c r="F8" i="2"/>
  <c r="F7" i="2"/>
  <c r="G7" i="2"/>
  <c r="F6" i="2"/>
  <c r="G6" i="2"/>
  <c r="E6" i="2"/>
  <c r="G5" i="2"/>
  <c r="F5" i="2"/>
  <c r="D103" i="1" l="1"/>
  <c r="D104" i="1"/>
  <c r="D105" i="1"/>
  <c r="D106" i="1"/>
  <c r="D107" i="1"/>
  <c r="D102" i="1"/>
  <c r="CN36" i="2" l="1"/>
  <c r="C21" i="4"/>
  <c r="C22" i="4"/>
  <c r="C9" i="4"/>
  <c r="C10" i="4"/>
  <c r="C11" i="4"/>
  <c r="C12" i="4"/>
  <c r="C13" i="4"/>
  <c r="C14" i="4"/>
  <c r="C15" i="4"/>
  <c r="C16" i="4"/>
  <c r="C17" i="4"/>
  <c r="C18" i="4"/>
  <c r="C19" i="4"/>
  <c r="C20" i="4"/>
  <c r="C8" i="4"/>
  <c r="C61" i="4"/>
  <c r="C60" i="4"/>
  <c r="C59" i="4"/>
  <c r="C56" i="4"/>
  <c r="C53" i="4"/>
  <c r="C50" i="4"/>
  <c r="C697" i="4"/>
  <c r="C698" i="4"/>
  <c r="C699" i="4"/>
  <c r="C700" i="4"/>
  <c r="C701" i="4"/>
  <c r="C696" i="4"/>
  <c r="B697" i="4"/>
  <c r="D697" i="4" s="1"/>
  <c r="B698" i="4"/>
  <c r="D698" i="4" s="1"/>
  <c r="B699" i="4"/>
  <c r="B700" i="4"/>
  <c r="B701" i="4"/>
  <c r="B696" i="4"/>
  <c r="E313" i="5"/>
  <c r="F313" i="5" s="1"/>
  <c r="G313" i="5" s="1"/>
  <c r="G311" i="5"/>
  <c r="F311" i="5"/>
  <c r="G310" i="5"/>
  <c r="H310" i="5" s="1"/>
  <c r="F310" i="5"/>
  <c r="G308" i="5"/>
  <c r="H308" i="5" s="1"/>
  <c r="F308" i="5"/>
  <c r="G307" i="5"/>
  <c r="H306" i="5" s="1"/>
  <c r="F307" i="5"/>
  <c r="G306" i="5"/>
  <c r="F306" i="5"/>
  <c r="C366" i="4"/>
  <c r="E697" i="4" l="1"/>
  <c r="E701" i="4"/>
  <c r="E700" i="4"/>
  <c r="E698" i="4"/>
  <c r="E699" i="4"/>
  <c r="E696" i="4"/>
  <c r="E702" i="4" s="1"/>
  <c r="E703" i="4" s="1"/>
  <c r="B116" i="7" s="1"/>
  <c r="H313" i="5"/>
  <c r="H311" i="5"/>
  <c r="C81" i="4"/>
  <c r="C62" i="4"/>
  <c r="C364" i="4"/>
  <c r="C58" i="4"/>
  <c r="C363" i="4" s="1"/>
  <c r="C57" i="4"/>
  <c r="C362" i="4" s="1"/>
  <c r="C361" i="4"/>
  <c r="C55" i="4"/>
  <c r="C360" i="4" s="1"/>
  <c r="C54" i="4"/>
  <c r="C359" i="4" s="1"/>
  <c r="C358" i="4"/>
  <c r="C52" i="4"/>
  <c r="C357" i="4" s="1"/>
  <c r="C51" i="4"/>
  <c r="C356" i="4" s="1"/>
  <c r="C355" i="4"/>
  <c r="C49" i="4"/>
  <c r="C354" i="4" s="1"/>
  <c r="C48" i="4"/>
  <c r="C353" i="4" s="1"/>
  <c r="C35" i="4"/>
  <c r="C36" i="4"/>
  <c r="C39" i="4"/>
  <c r="C120" i="4"/>
  <c r="C28" i="4"/>
  <c r="C29" i="4" l="1"/>
  <c r="C37" i="4"/>
  <c r="C121" i="4"/>
  <c r="C30" i="4"/>
  <c r="C38" i="4"/>
  <c r="C32" i="4"/>
  <c r="C40" i="4"/>
  <c r="C31" i="4"/>
  <c r="C33" i="4"/>
  <c r="C41" i="4"/>
  <c r="C34" i="4"/>
  <c r="C42" i="4"/>
  <c r="C96" i="4" l="1"/>
  <c r="CQ7" i="2"/>
  <c r="CQ11" i="2"/>
  <c r="CQ13" i="2"/>
  <c r="CQ16" i="2"/>
  <c r="CQ19" i="2"/>
  <c r="CQ21" i="2"/>
  <c r="CQ23" i="2"/>
  <c r="CI24" i="2"/>
  <c r="CQ32" i="2"/>
  <c r="CC6" i="2"/>
  <c r="CC7" i="2"/>
  <c r="CC8" i="2"/>
  <c r="CC9" i="2"/>
  <c r="CC10" i="2"/>
  <c r="CC13" i="2"/>
  <c r="CC14" i="2"/>
  <c r="CC15" i="2"/>
  <c r="CC17" i="2"/>
  <c r="CC18" i="2"/>
  <c r="CC21" i="2"/>
  <c r="CC22" i="2"/>
  <c r="CC23" i="2"/>
  <c r="CC25" i="2"/>
  <c r="CC26" i="2"/>
  <c r="CC29" i="2"/>
  <c r="CC30" i="2"/>
  <c r="CC31" i="2"/>
  <c r="CC34" i="2"/>
  <c r="BW6" i="2"/>
  <c r="BW10" i="2"/>
  <c r="BW11" i="2"/>
  <c r="BW13" i="2"/>
  <c r="BW14" i="2"/>
  <c r="BW18" i="2"/>
  <c r="BW19" i="2"/>
  <c r="BW21" i="2"/>
  <c r="BW22" i="2"/>
  <c r="BW26" i="2"/>
  <c r="BW27" i="2"/>
  <c r="BW29" i="2"/>
  <c r="BW30" i="2"/>
  <c r="BW34" i="2"/>
  <c r="BQ6" i="2"/>
  <c r="BQ7" i="2"/>
  <c r="BQ8" i="2"/>
  <c r="BQ9" i="2"/>
  <c r="BQ10" i="2"/>
  <c r="BQ13" i="2"/>
  <c r="BQ14" i="2"/>
  <c r="BQ17" i="2"/>
  <c r="BQ21" i="2"/>
  <c r="BQ22" i="2"/>
  <c r="BQ23" i="2"/>
  <c r="BQ25" i="2"/>
  <c r="BQ29" i="2"/>
  <c r="BQ30" i="2"/>
  <c r="BQ31" i="2"/>
  <c r="BQ33" i="2"/>
  <c r="CC5" i="2"/>
  <c r="BQ5" i="2"/>
  <c r="BK6" i="2"/>
  <c r="BK7" i="2"/>
  <c r="BK8" i="2"/>
  <c r="BK9" i="2"/>
  <c r="BK13" i="2"/>
  <c r="BK14" i="2"/>
  <c r="BK15" i="2"/>
  <c r="BK17" i="2"/>
  <c r="BK18" i="2"/>
  <c r="BK21" i="2"/>
  <c r="BK22" i="2"/>
  <c r="BK23" i="2"/>
  <c r="BK25" i="2"/>
  <c r="BK26" i="2"/>
  <c r="BK30" i="2"/>
  <c r="BK31" i="2"/>
  <c r="BK33" i="2"/>
  <c r="BK34" i="2"/>
  <c r="BE10" i="2"/>
  <c r="BE11" i="2"/>
  <c r="BE13" i="2"/>
  <c r="BE14" i="2"/>
  <c r="BE18" i="2"/>
  <c r="BE21" i="2"/>
  <c r="BE26" i="2"/>
  <c r="BE27" i="2"/>
  <c r="BE29" i="2"/>
  <c r="BE30" i="2"/>
  <c r="BE31" i="2"/>
  <c r="BE34" i="2"/>
  <c r="AY6" i="2"/>
  <c r="AY7" i="2"/>
  <c r="AY8" i="2"/>
  <c r="AY9" i="2"/>
  <c r="AY10" i="2"/>
  <c r="AY13" i="2"/>
  <c r="AY14" i="2"/>
  <c r="AY15" i="2"/>
  <c r="AY17" i="2"/>
  <c r="AY18" i="2"/>
  <c r="AY22" i="2"/>
  <c r="AY23" i="2"/>
  <c r="AY25" i="2"/>
  <c r="AY26" i="2"/>
  <c r="AY29" i="2"/>
  <c r="AY30" i="2"/>
  <c r="AY31" i="2"/>
  <c r="AY33" i="2"/>
  <c r="AY34" i="2"/>
  <c r="BK5" i="2"/>
  <c r="AY5" i="2"/>
  <c r="AS6" i="2"/>
  <c r="AS7" i="2"/>
  <c r="AS9" i="2"/>
  <c r="AS10" i="2"/>
  <c r="AS13" i="2"/>
  <c r="AS14" i="2"/>
  <c r="AS15" i="2"/>
  <c r="AS17" i="2"/>
  <c r="AS18" i="2"/>
  <c r="AS21" i="2"/>
  <c r="AS22" i="2"/>
  <c r="AS23" i="2"/>
  <c r="AS25" i="2"/>
  <c r="AS26" i="2"/>
  <c r="AS30" i="2"/>
  <c r="AS31" i="2"/>
  <c r="AS33" i="2"/>
  <c r="AS34" i="2"/>
  <c r="AM6" i="2"/>
  <c r="AM7" i="2"/>
  <c r="AM10" i="2"/>
  <c r="AM11" i="2"/>
  <c r="AM12" i="2"/>
  <c r="AM13" i="2"/>
  <c r="AM15" i="2"/>
  <c r="AM18" i="2"/>
  <c r="AM19" i="2"/>
  <c r="AM20" i="2"/>
  <c r="AM21" i="2"/>
  <c r="AM22" i="2"/>
  <c r="AM23" i="2"/>
  <c r="AM26" i="2"/>
  <c r="AM27" i="2"/>
  <c r="AM29" i="2"/>
  <c r="AM30" i="2"/>
  <c r="AM31" i="2"/>
  <c r="AM34" i="2"/>
  <c r="AG6" i="2"/>
  <c r="AG7" i="2"/>
  <c r="AG8" i="2"/>
  <c r="AG9" i="2"/>
  <c r="AG10" i="2"/>
  <c r="AG13" i="2"/>
  <c r="AG14" i="2"/>
  <c r="AG15" i="2"/>
  <c r="AG16" i="2"/>
  <c r="AG17" i="2"/>
  <c r="AG18" i="2"/>
  <c r="AG21" i="2"/>
  <c r="AG22" i="2"/>
  <c r="AG23" i="2"/>
  <c r="AG24" i="2"/>
  <c r="AG25" i="2"/>
  <c r="AG29" i="2"/>
  <c r="AG30" i="2"/>
  <c r="AG31" i="2"/>
  <c r="AG33" i="2"/>
  <c r="AA6" i="2"/>
  <c r="AA7" i="2"/>
  <c r="AA8" i="2"/>
  <c r="AA9" i="2"/>
  <c r="AA12" i="2"/>
  <c r="AA13" i="2"/>
  <c r="AA14" i="2"/>
  <c r="AA15" i="2"/>
  <c r="AA16" i="2"/>
  <c r="AA17" i="2"/>
  <c r="AA20" i="2"/>
  <c r="AA21" i="2"/>
  <c r="AA22" i="2"/>
  <c r="AA23" i="2"/>
  <c r="AA25" i="2"/>
  <c r="AA26" i="2"/>
  <c r="AA28" i="2"/>
  <c r="AA29" i="2"/>
  <c r="AA30" i="2"/>
  <c r="AA31" i="2"/>
  <c r="AA32" i="2"/>
  <c r="AA33" i="2"/>
  <c r="AA34" i="2"/>
  <c r="U34" i="2"/>
  <c r="U6" i="2"/>
  <c r="U7" i="2"/>
  <c r="U9" i="2"/>
  <c r="U10" i="2"/>
  <c r="U11" i="2"/>
  <c r="U12" i="2"/>
  <c r="U13" i="2"/>
  <c r="U15" i="2"/>
  <c r="U17" i="2"/>
  <c r="U18" i="2"/>
  <c r="U19" i="2"/>
  <c r="U20" i="2"/>
  <c r="U21" i="2"/>
  <c r="U23" i="2"/>
  <c r="U25" i="2"/>
  <c r="U26" i="2"/>
  <c r="U27" i="2"/>
  <c r="U28" i="2"/>
  <c r="U29" i="2"/>
  <c r="U33" i="2"/>
  <c r="O6" i="2"/>
  <c r="O7" i="2"/>
  <c r="O8" i="2"/>
  <c r="O9" i="2"/>
  <c r="O10" i="2"/>
  <c r="O14" i="2"/>
  <c r="O16" i="2"/>
  <c r="O17" i="2"/>
  <c r="O18" i="2"/>
  <c r="O20" i="2"/>
  <c r="O21" i="2"/>
  <c r="O22" i="2"/>
  <c r="O23" i="2"/>
  <c r="O24" i="2"/>
  <c r="O25" i="2"/>
  <c r="O26" i="2"/>
  <c r="O28" i="2"/>
  <c r="O29" i="2"/>
  <c r="O30" i="2"/>
  <c r="O31" i="2"/>
  <c r="O32" i="2"/>
  <c r="O33" i="2"/>
  <c r="O34" i="2"/>
  <c r="AA5" i="2"/>
  <c r="O5" i="2"/>
  <c r="I6" i="2"/>
  <c r="I7" i="2"/>
  <c r="I8" i="2"/>
  <c r="I9" i="2"/>
  <c r="I10" i="2"/>
  <c r="I12" i="2"/>
  <c r="I13" i="2"/>
  <c r="I14" i="2"/>
  <c r="I15" i="2"/>
  <c r="I16" i="2"/>
  <c r="I17" i="2"/>
  <c r="I18" i="2"/>
  <c r="I20" i="2"/>
  <c r="I21" i="2"/>
  <c r="I22" i="2"/>
  <c r="I23" i="2"/>
  <c r="I24" i="2"/>
  <c r="I25" i="2"/>
  <c r="I26" i="2"/>
  <c r="I28" i="2"/>
  <c r="I29" i="2"/>
  <c r="I30" i="2"/>
  <c r="I31" i="2"/>
  <c r="I32" i="2"/>
  <c r="I33" i="2"/>
  <c r="I34" i="2"/>
  <c r="K742" i="4"/>
  <c r="J742" i="4"/>
  <c r="I742" i="4"/>
  <c r="H742" i="4"/>
  <c r="K741" i="4"/>
  <c r="J741" i="4"/>
  <c r="I741" i="4"/>
  <c r="H741" i="4"/>
  <c r="K740" i="4"/>
  <c r="J740" i="4"/>
  <c r="I740" i="4"/>
  <c r="H740" i="4"/>
  <c r="K739" i="4"/>
  <c r="J739" i="4"/>
  <c r="I739" i="4"/>
  <c r="H739" i="4"/>
  <c r="K731" i="4"/>
  <c r="J731" i="4"/>
  <c r="I731" i="4"/>
  <c r="H731" i="4"/>
  <c r="K730" i="4"/>
  <c r="J730" i="4"/>
  <c r="I730" i="4"/>
  <c r="H730" i="4"/>
  <c r="K729" i="4"/>
  <c r="J729" i="4"/>
  <c r="I729" i="4"/>
  <c r="H729" i="4"/>
  <c r="K728" i="4"/>
  <c r="J728" i="4"/>
  <c r="I728" i="4"/>
  <c r="H728" i="4"/>
  <c r="K720" i="4"/>
  <c r="J720" i="4"/>
  <c r="I720" i="4"/>
  <c r="H720" i="4"/>
  <c r="K719" i="4"/>
  <c r="J719" i="4"/>
  <c r="I719" i="4"/>
  <c r="H719" i="4"/>
  <c r="K718" i="4"/>
  <c r="J718" i="4"/>
  <c r="I718" i="4"/>
  <c r="H718" i="4"/>
  <c r="K717" i="4"/>
  <c r="J717" i="4"/>
  <c r="I717" i="4"/>
  <c r="H717" i="4"/>
  <c r="B679" i="4"/>
  <c r="K709" i="4"/>
  <c r="J709" i="4"/>
  <c r="I709" i="4"/>
  <c r="H709" i="4"/>
  <c r="K708" i="4"/>
  <c r="J708" i="4"/>
  <c r="I708" i="4"/>
  <c r="H708" i="4"/>
  <c r="K707" i="4"/>
  <c r="J707" i="4"/>
  <c r="I707" i="4"/>
  <c r="H707" i="4"/>
  <c r="K706" i="4"/>
  <c r="J706" i="4"/>
  <c r="I706" i="4"/>
  <c r="H706" i="4"/>
  <c r="K698" i="4"/>
  <c r="J698" i="4"/>
  <c r="I698" i="4"/>
  <c r="H698" i="4"/>
  <c r="K697" i="4"/>
  <c r="J697" i="4"/>
  <c r="I697" i="4"/>
  <c r="H697" i="4"/>
  <c r="K696" i="4"/>
  <c r="J696" i="4"/>
  <c r="I696" i="4"/>
  <c r="H696" i="4"/>
  <c r="K695" i="4"/>
  <c r="J695" i="4"/>
  <c r="I695" i="4"/>
  <c r="H695" i="4"/>
  <c r="B690" i="4"/>
  <c r="B689" i="4"/>
  <c r="B688" i="4"/>
  <c r="K687" i="4"/>
  <c r="J687" i="4"/>
  <c r="I687" i="4"/>
  <c r="H687" i="4"/>
  <c r="B687" i="4"/>
  <c r="K686" i="4"/>
  <c r="J686" i="4"/>
  <c r="I686" i="4"/>
  <c r="H686" i="4"/>
  <c r="B686" i="4"/>
  <c r="K685" i="4"/>
  <c r="J685" i="4"/>
  <c r="I685" i="4"/>
  <c r="H685" i="4"/>
  <c r="B685" i="4"/>
  <c r="K684" i="4"/>
  <c r="J684" i="4"/>
  <c r="I684" i="4"/>
  <c r="H684" i="4"/>
  <c r="L296" i="4"/>
  <c r="L295" i="4"/>
  <c r="L294" i="4"/>
  <c r="C118" i="4"/>
  <c r="C117" i="4"/>
  <c r="C115" i="4"/>
  <c r="C110" i="4"/>
  <c r="C109" i="4"/>
  <c r="C98" i="4"/>
  <c r="C97" i="4"/>
  <c r="C95" i="4"/>
  <c r="C90" i="4"/>
  <c r="C89" i="4"/>
  <c r="C88" i="4"/>
  <c r="BQ34" i="2"/>
  <c r="AG34" i="2"/>
  <c r="CQ33" i="2"/>
  <c r="CI33" i="2"/>
  <c r="CC33" i="2"/>
  <c r="BW33" i="2"/>
  <c r="BE33" i="2"/>
  <c r="AM33" i="2"/>
  <c r="CC32" i="2"/>
  <c r="BW32" i="2"/>
  <c r="BQ32" i="2"/>
  <c r="BK32" i="2"/>
  <c r="BE32" i="2"/>
  <c r="AY32" i="2"/>
  <c r="AS32" i="2"/>
  <c r="AM32" i="2"/>
  <c r="AG32" i="2"/>
  <c r="U32" i="2"/>
  <c r="BW31" i="2"/>
  <c r="U31" i="2"/>
  <c r="U30" i="2"/>
  <c r="BK29" i="2"/>
  <c r="AS29" i="2"/>
  <c r="CC28" i="2"/>
  <c r="BW28" i="2"/>
  <c r="BQ28" i="2"/>
  <c r="BK28" i="2"/>
  <c r="BE28" i="2"/>
  <c r="AY28" i="2"/>
  <c r="AS28" i="2"/>
  <c r="AM28" i="2"/>
  <c r="AG28" i="2"/>
  <c r="CC27" i="2"/>
  <c r="BQ27" i="2"/>
  <c r="BK27" i="2"/>
  <c r="AY27" i="2"/>
  <c r="AS27" i="2"/>
  <c r="AG27" i="2"/>
  <c r="AA27" i="2"/>
  <c r="O27" i="2"/>
  <c r="I27" i="2"/>
  <c r="BQ26" i="2"/>
  <c r="AG26" i="2"/>
  <c r="CQ25" i="2"/>
  <c r="CI25" i="2"/>
  <c r="BW25" i="2"/>
  <c r="BE25" i="2"/>
  <c r="AM25" i="2"/>
  <c r="CC24" i="2"/>
  <c r="BW24" i="2"/>
  <c r="BQ24" i="2"/>
  <c r="BK24" i="2"/>
  <c r="BE24" i="2"/>
  <c r="AY24" i="2"/>
  <c r="AS24" i="2"/>
  <c r="AM24" i="2"/>
  <c r="AA24" i="2"/>
  <c r="U24" i="2"/>
  <c r="BW23" i="2"/>
  <c r="BE23" i="2"/>
  <c r="BE22" i="2"/>
  <c r="U22" i="2"/>
  <c r="AY21" i="2"/>
  <c r="CQ20" i="2"/>
  <c r="CI20" i="2"/>
  <c r="CC20" i="2"/>
  <c r="BW20" i="2"/>
  <c r="BQ20" i="2"/>
  <c r="BK20" i="2"/>
  <c r="BE20" i="2"/>
  <c r="AY20" i="2"/>
  <c r="AS20" i="2"/>
  <c r="AG20" i="2"/>
  <c r="CC19" i="2"/>
  <c r="BQ19" i="2"/>
  <c r="BK19" i="2"/>
  <c r="BE19" i="2"/>
  <c r="AY19" i="2"/>
  <c r="AS19" i="2"/>
  <c r="AG19" i="2"/>
  <c r="AA19" i="2"/>
  <c r="O19" i="2"/>
  <c r="I19" i="2"/>
  <c r="CQ18" i="2"/>
  <c r="BQ18" i="2"/>
  <c r="AA18" i="2"/>
  <c r="BW17" i="2"/>
  <c r="BE17" i="2"/>
  <c r="AM17" i="2"/>
  <c r="CC16" i="2"/>
  <c r="BW16" i="2"/>
  <c r="BQ16" i="2"/>
  <c r="BK16" i="2"/>
  <c r="BE16" i="2"/>
  <c r="AY16" i="2"/>
  <c r="AS16" i="2"/>
  <c r="AM16" i="2"/>
  <c r="U16" i="2"/>
  <c r="BW15" i="2"/>
  <c r="BQ15" i="2"/>
  <c r="BE15" i="2"/>
  <c r="O15" i="2"/>
  <c r="CQ14" i="2"/>
  <c r="AM14" i="2"/>
  <c r="U14" i="2"/>
  <c r="O13" i="2"/>
  <c r="CC12" i="2"/>
  <c r="BW12" i="2"/>
  <c r="BQ12" i="2"/>
  <c r="BK12" i="2"/>
  <c r="BE12" i="2"/>
  <c r="AY12" i="2"/>
  <c r="AS12" i="2"/>
  <c r="AG12" i="2"/>
  <c r="O12" i="2"/>
  <c r="CC11" i="2"/>
  <c r="BQ11" i="2"/>
  <c r="BK11" i="2"/>
  <c r="AY11" i="2"/>
  <c r="AS11" i="2"/>
  <c r="AG11" i="2"/>
  <c r="AA11" i="2"/>
  <c r="O11" i="2"/>
  <c r="I11" i="2"/>
  <c r="BK10" i="2"/>
  <c r="AA10" i="2"/>
  <c r="BW9" i="2"/>
  <c r="BE9" i="2"/>
  <c r="AM9" i="2"/>
  <c r="BW8" i="2"/>
  <c r="BE8" i="2"/>
  <c r="AS8" i="2"/>
  <c r="AM8" i="2"/>
  <c r="U8" i="2"/>
  <c r="BW7" i="2"/>
  <c r="BE7" i="2"/>
  <c r="CQ6" i="2"/>
  <c r="BE6" i="2"/>
  <c r="BW5" i="2"/>
  <c r="BY5" i="2" s="1"/>
  <c r="BE5" i="2"/>
  <c r="AM5" i="2"/>
  <c r="U5" i="2"/>
  <c r="I34" i="1"/>
  <c r="C690" i="4" l="1"/>
  <c r="D690" i="4" s="1"/>
  <c r="E690" i="4" s="1"/>
  <c r="C689" i="4"/>
  <c r="D689" i="4" s="1"/>
  <c r="E689" i="4" s="1"/>
  <c r="C685" i="4"/>
  <c r="D685" i="4" s="1"/>
  <c r="E685" i="4" s="1"/>
  <c r="BU12" i="2"/>
  <c r="BT12" i="2"/>
  <c r="BS12" i="2"/>
  <c r="BI24" i="2"/>
  <c r="BH24" i="2"/>
  <c r="BG24" i="2"/>
  <c r="BI32" i="2"/>
  <c r="BH32" i="2"/>
  <c r="BG32" i="2"/>
  <c r="S32" i="2"/>
  <c r="R32" i="2"/>
  <c r="Q32" i="2"/>
  <c r="AE16" i="2"/>
  <c r="AD16" i="2"/>
  <c r="AC16" i="2"/>
  <c r="AW34" i="2"/>
  <c r="AV34" i="2"/>
  <c r="AU34" i="2"/>
  <c r="BI31" i="2"/>
  <c r="BH31" i="2"/>
  <c r="BG31" i="2"/>
  <c r="BU31" i="2"/>
  <c r="BT31" i="2"/>
  <c r="BS31" i="2"/>
  <c r="CE29" i="2"/>
  <c r="CF29" i="2"/>
  <c r="CG29" i="2"/>
  <c r="L11" i="2"/>
  <c r="K11" i="2"/>
  <c r="M11" i="2"/>
  <c r="CA12" i="2"/>
  <c r="BZ12" i="2"/>
  <c r="BY12" i="2"/>
  <c r="BU15" i="2"/>
  <c r="BT15" i="2"/>
  <c r="BS15" i="2"/>
  <c r="BU16" i="2"/>
  <c r="BT16" i="2"/>
  <c r="BS16" i="2"/>
  <c r="BM19" i="2"/>
  <c r="BN19" i="2"/>
  <c r="BO19" i="2"/>
  <c r="BU20" i="2"/>
  <c r="BT20" i="2"/>
  <c r="BS20" i="2"/>
  <c r="BI23" i="2"/>
  <c r="BH23" i="2"/>
  <c r="BG23" i="2"/>
  <c r="BM24" i="2"/>
  <c r="BN24" i="2"/>
  <c r="BO24" i="2"/>
  <c r="BC27" i="2"/>
  <c r="BB27" i="2"/>
  <c r="BA27" i="2"/>
  <c r="BI28" i="2"/>
  <c r="BH28" i="2"/>
  <c r="BG28" i="2"/>
  <c r="Y31" i="2"/>
  <c r="X31" i="2"/>
  <c r="W31" i="2"/>
  <c r="BM32" i="2"/>
  <c r="BN32" i="2"/>
  <c r="BO32" i="2"/>
  <c r="CM33" i="2"/>
  <c r="CL33" i="2"/>
  <c r="CK33" i="2"/>
  <c r="L26" i="2"/>
  <c r="K26" i="2"/>
  <c r="M26" i="2"/>
  <c r="L17" i="2"/>
  <c r="K17" i="2"/>
  <c r="M17" i="2"/>
  <c r="S31" i="2"/>
  <c r="R31" i="2"/>
  <c r="Q31" i="2"/>
  <c r="S22" i="2"/>
  <c r="R22" i="2"/>
  <c r="Q22" i="2"/>
  <c r="Y26" i="2"/>
  <c r="X26" i="2"/>
  <c r="W26" i="2"/>
  <c r="Y15" i="2"/>
  <c r="X15" i="2"/>
  <c r="W15" i="2"/>
  <c r="Y34" i="2"/>
  <c r="W34" i="2"/>
  <c r="X34" i="2"/>
  <c r="AE26" i="2"/>
  <c r="AD26" i="2"/>
  <c r="AC26" i="2"/>
  <c r="AE15" i="2"/>
  <c r="AD15" i="2"/>
  <c r="AC15" i="2"/>
  <c r="AK33" i="2"/>
  <c r="AJ33" i="2"/>
  <c r="AI33" i="2"/>
  <c r="AK21" i="2"/>
  <c r="AJ21" i="2"/>
  <c r="AI21" i="2"/>
  <c r="AQ27" i="2"/>
  <c r="AP27" i="2"/>
  <c r="AO27" i="2"/>
  <c r="AQ15" i="2"/>
  <c r="AP15" i="2"/>
  <c r="AO15" i="2"/>
  <c r="AW33" i="2"/>
  <c r="AV33" i="2"/>
  <c r="AU33" i="2"/>
  <c r="AW18" i="2"/>
  <c r="AV18" i="2"/>
  <c r="AU18" i="2"/>
  <c r="BC26" i="2"/>
  <c r="BB26" i="2"/>
  <c r="BA26" i="2"/>
  <c r="BC13" i="2"/>
  <c r="BB13" i="2"/>
  <c r="BA13" i="2"/>
  <c r="BI30" i="2"/>
  <c r="BH30" i="2"/>
  <c r="BG30" i="2"/>
  <c r="BI11" i="2"/>
  <c r="BH11" i="2"/>
  <c r="BG11" i="2"/>
  <c r="BN23" i="2"/>
  <c r="BO23" i="2"/>
  <c r="BM23" i="2"/>
  <c r="BU30" i="2"/>
  <c r="BT30" i="2"/>
  <c r="BS30" i="2"/>
  <c r="BU13" i="2"/>
  <c r="BT13" i="2"/>
  <c r="BS13" i="2"/>
  <c r="CA29" i="2"/>
  <c r="BZ29" i="2"/>
  <c r="BY29" i="2"/>
  <c r="CA13" i="2"/>
  <c r="BZ13" i="2"/>
  <c r="BY13" i="2"/>
  <c r="CE26" i="2"/>
  <c r="CF26" i="2"/>
  <c r="CG26" i="2"/>
  <c r="CG14" i="2"/>
  <c r="CE14" i="2"/>
  <c r="CF14" i="2"/>
  <c r="CM24" i="2"/>
  <c r="CL24" i="2"/>
  <c r="CK24" i="2"/>
  <c r="BI22" i="2"/>
  <c r="BH22" i="2"/>
  <c r="BG22" i="2"/>
  <c r="CE33" i="2"/>
  <c r="CF33" i="2"/>
  <c r="CG33" i="2"/>
  <c r="L18" i="2"/>
  <c r="K18" i="2"/>
  <c r="M18" i="2"/>
  <c r="AQ29" i="2"/>
  <c r="AP29" i="2"/>
  <c r="AO29" i="2"/>
  <c r="AV21" i="2"/>
  <c r="AU21" i="2"/>
  <c r="AW21" i="2"/>
  <c r="BM25" i="2"/>
  <c r="BN25" i="2"/>
  <c r="BO25" i="2"/>
  <c r="CA14" i="2"/>
  <c r="BZ14" i="2"/>
  <c r="BY14" i="2"/>
  <c r="CE12" i="2"/>
  <c r="CF12" i="2"/>
  <c r="CG12" i="2"/>
  <c r="CA15" i="2"/>
  <c r="BZ15" i="2"/>
  <c r="BY15" i="2"/>
  <c r="BY16" i="2"/>
  <c r="CA16" i="2"/>
  <c r="BZ16" i="2"/>
  <c r="L19" i="2"/>
  <c r="K19" i="2"/>
  <c r="M19" i="2"/>
  <c r="BU19" i="2"/>
  <c r="BT19" i="2"/>
  <c r="BS19" i="2"/>
  <c r="CA20" i="2"/>
  <c r="BZ20" i="2"/>
  <c r="BY20" i="2"/>
  <c r="CA23" i="2"/>
  <c r="BZ23" i="2"/>
  <c r="BY23" i="2"/>
  <c r="BU24" i="2"/>
  <c r="BT24" i="2"/>
  <c r="BS24" i="2"/>
  <c r="AK26" i="2"/>
  <c r="AJ26" i="2"/>
  <c r="AI26" i="2"/>
  <c r="BM27" i="2"/>
  <c r="BN27" i="2"/>
  <c r="BO27" i="2"/>
  <c r="BM28" i="2"/>
  <c r="BN28" i="2"/>
  <c r="BO28" i="2"/>
  <c r="CA31" i="2"/>
  <c r="BZ31" i="2"/>
  <c r="BY31" i="2"/>
  <c r="BU32" i="2"/>
  <c r="BT32" i="2"/>
  <c r="BS32" i="2"/>
  <c r="L34" i="2"/>
  <c r="K34" i="2"/>
  <c r="M34" i="2"/>
  <c r="L25" i="2"/>
  <c r="K25" i="2"/>
  <c r="M25" i="2"/>
  <c r="L16" i="2"/>
  <c r="K16" i="2"/>
  <c r="M16" i="2"/>
  <c r="S30" i="2"/>
  <c r="R30" i="2"/>
  <c r="Q30" i="2"/>
  <c r="R21" i="2"/>
  <c r="S21" i="2"/>
  <c r="Q21" i="2"/>
  <c r="Y25" i="2"/>
  <c r="X25" i="2"/>
  <c r="W25" i="2"/>
  <c r="Y13" i="2"/>
  <c r="X13" i="2"/>
  <c r="W13" i="2"/>
  <c r="AE34" i="2"/>
  <c r="AD34" i="2"/>
  <c r="AC34" i="2"/>
  <c r="AE25" i="2"/>
  <c r="AC25" i="2"/>
  <c r="AD25" i="2"/>
  <c r="AE14" i="2"/>
  <c r="AD14" i="2"/>
  <c r="AC14" i="2"/>
  <c r="AK31" i="2"/>
  <c r="AI31" i="2"/>
  <c r="AJ31" i="2"/>
  <c r="AK18" i="2"/>
  <c r="AJ18" i="2"/>
  <c r="AI18" i="2"/>
  <c r="AQ26" i="2"/>
  <c r="AP26" i="2"/>
  <c r="AO26" i="2"/>
  <c r="AQ13" i="2"/>
  <c r="AP13" i="2"/>
  <c r="AO13" i="2"/>
  <c r="AW31" i="2"/>
  <c r="AV31" i="2"/>
  <c r="AU31" i="2"/>
  <c r="AW17" i="2"/>
  <c r="AV17" i="2"/>
  <c r="AU17" i="2"/>
  <c r="BC25" i="2"/>
  <c r="BB25" i="2"/>
  <c r="BA25" i="2"/>
  <c r="BI29" i="2"/>
  <c r="BH29" i="2"/>
  <c r="BG29" i="2"/>
  <c r="BO22" i="2"/>
  <c r="BM22" i="2"/>
  <c r="BN22" i="2"/>
  <c r="BU29" i="2"/>
  <c r="BT29" i="2"/>
  <c r="BS29" i="2"/>
  <c r="CA27" i="2"/>
  <c r="BZ27" i="2"/>
  <c r="BY27" i="2"/>
  <c r="CA11" i="2"/>
  <c r="BZ11" i="2"/>
  <c r="BY11" i="2"/>
  <c r="CE25" i="2"/>
  <c r="CF25" i="2"/>
  <c r="CG25" i="2"/>
  <c r="CE13" i="2"/>
  <c r="CF13" i="2"/>
  <c r="CG13" i="2"/>
  <c r="BI19" i="2"/>
  <c r="BH19" i="2"/>
  <c r="BG19" i="2"/>
  <c r="AW27" i="2"/>
  <c r="AV27" i="2"/>
  <c r="AU27" i="2"/>
  <c r="AK22" i="2"/>
  <c r="AJ22" i="2"/>
  <c r="AI22" i="2"/>
  <c r="BI13" i="2"/>
  <c r="BH13" i="2"/>
  <c r="BG13" i="2"/>
  <c r="S11" i="2"/>
  <c r="R11" i="2"/>
  <c r="Q11" i="2"/>
  <c r="S12" i="2"/>
  <c r="R12" i="2"/>
  <c r="Q12" i="2"/>
  <c r="AE11" i="2"/>
  <c r="AD11" i="2"/>
  <c r="AC11" i="2"/>
  <c r="AK12" i="2"/>
  <c r="AJ12" i="2"/>
  <c r="AI12" i="2"/>
  <c r="Q13" i="2"/>
  <c r="S13" i="2"/>
  <c r="R13" i="2"/>
  <c r="Y16" i="2"/>
  <c r="X16" i="2"/>
  <c r="W16" i="2"/>
  <c r="CE16" i="2"/>
  <c r="CF16" i="2"/>
  <c r="CG16" i="2"/>
  <c r="S19" i="2"/>
  <c r="R19" i="2"/>
  <c r="Q19" i="2"/>
  <c r="CE19" i="2"/>
  <c r="CF19" i="2"/>
  <c r="CG19" i="2"/>
  <c r="CE20" i="2"/>
  <c r="CF20" i="2"/>
  <c r="CG20" i="2"/>
  <c r="Y24" i="2"/>
  <c r="X24" i="2"/>
  <c r="W24" i="2"/>
  <c r="BY24" i="2"/>
  <c r="CA24" i="2"/>
  <c r="BZ24" i="2"/>
  <c r="BS26" i="2"/>
  <c r="BU26" i="2"/>
  <c r="BT26" i="2"/>
  <c r="BU27" i="2"/>
  <c r="BT27" i="2"/>
  <c r="BS27" i="2"/>
  <c r="BU28" i="2"/>
  <c r="BT28" i="2"/>
  <c r="BS28" i="2"/>
  <c r="Y32" i="2"/>
  <c r="X32" i="2"/>
  <c r="W32" i="2"/>
  <c r="BY32" i="2"/>
  <c r="CA32" i="2"/>
  <c r="BZ32" i="2"/>
  <c r="AK34" i="2"/>
  <c r="AJ34" i="2"/>
  <c r="AI34" i="2"/>
  <c r="L33" i="2"/>
  <c r="K33" i="2"/>
  <c r="M33" i="2"/>
  <c r="L24" i="2"/>
  <c r="K24" i="2"/>
  <c r="M24" i="2"/>
  <c r="M15" i="2"/>
  <c r="L15" i="2"/>
  <c r="K15" i="2"/>
  <c r="S29" i="2"/>
  <c r="R29" i="2"/>
  <c r="Q29" i="2"/>
  <c r="S20" i="2"/>
  <c r="R20" i="2"/>
  <c r="Q20" i="2"/>
  <c r="Y23" i="2"/>
  <c r="X23" i="2"/>
  <c r="W23" i="2"/>
  <c r="Y12" i="2"/>
  <c r="X12" i="2"/>
  <c r="W12" i="2"/>
  <c r="AC33" i="2"/>
  <c r="AE33" i="2"/>
  <c r="AD33" i="2"/>
  <c r="AE23" i="2"/>
  <c r="AD23" i="2"/>
  <c r="AC23" i="2"/>
  <c r="AE13" i="2"/>
  <c r="AD13" i="2"/>
  <c r="AC13" i="2"/>
  <c r="AK30" i="2"/>
  <c r="AJ30" i="2"/>
  <c r="AI30" i="2"/>
  <c r="AK17" i="2"/>
  <c r="AJ17" i="2"/>
  <c r="AI17" i="2"/>
  <c r="AQ23" i="2"/>
  <c r="AP23" i="2"/>
  <c r="AO23" i="2"/>
  <c r="AQ12" i="2"/>
  <c r="AP12" i="2"/>
  <c r="AO12" i="2"/>
  <c r="AW30" i="2"/>
  <c r="AV30" i="2"/>
  <c r="AU30" i="2"/>
  <c r="AW15" i="2"/>
  <c r="AV15" i="2"/>
  <c r="AU15" i="2"/>
  <c r="BC23" i="2"/>
  <c r="BB23" i="2"/>
  <c r="BA23" i="2"/>
  <c r="BI27" i="2"/>
  <c r="BH27" i="2"/>
  <c r="BG27" i="2"/>
  <c r="BM34" i="2"/>
  <c r="BN34" i="2"/>
  <c r="BO34" i="2"/>
  <c r="BM21" i="2"/>
  <c r="BN21" i="2"/>
  <c r="BO21" i="2"/>
  <c r="BU25" i="2"/>
  <c r="BT25" i="2"/>
  <c r="BS25" i="2"/>
  <c r="CA26" i="2"/>
  <c r="BZ26" i="2"/>
  <c r="BY26" i="2"/>
  <c r="CF23" i="2"/>
  <c r="CG23" i="2"/>
  <c r="CE23" i="2"/>
  <c r="BM16" i="2"/>
  <c r="BN16" i="2"/>
  <c r="BO16" i="2"/>
  <c r="Y27" i="2"/>
  <c r="X27" i="2"/>
  <c r="W27" i="2"/>
  <c r="AO16" i="2"/>
  <c r="AQ16" i="2"/>
  <c r="AP16" i="2"/>
  <c r="AK20" i="2"/>
  <c r="AJ20" i="2"/>
  <c r="AI20" i="2"/>
  <c r="CM20" i="2"/>
  <c r="CL20" i="2"/>
  <c r="CK20" i="2"/>
  <c r="AE24" i="2"/>
  <c r="AD24" i="2"/>
  <c r="AC24" i="2"/>
  <c r="CE24" i="2"/>
  <c r="CF24" i="2"/>
  <c r="CG24" i="2"/>
  <c r="L27" i="2"/>
  <c r="K27" i="2"/>
  <c r="M27" i="2"/>
  <c r="CE27" i="2"/>
  <c r="CF27" i="2"/>
  <c r="CG27" i="2"/>
  <c r="CA28" i="2"/>
  <c r="BZ28" i="2"/>
  <c r="BY28" i="2"/>
  <c r="AK32" i="2"/>
  <c r="AJ32" i="2"/>
  <c r="AI32" i="2"/>
  <c r="CE32" i="2"/>
  <c r="CF32" i="2"/>
  <c r="CG32" i="2"/>
  <c r="BS34" i="2"/>
  <c r="BU34" i="2"/>
  <c r="BT34" i="2"/>
  <c r="L32" i="2"/>
  <c r="K32" i="2"/>
  <c r="M32" i="2"/>
  <c r="K23" i="2"/>
  <c r="M23" i="2"/>
  <c r="L23" i="2"/>
  <c r="M14" i="2"/>
  <c r="L14" i="2"/>
  <c r="K14" i="2"/>
  <c r="S28" i="2"/>
  <c r="R28" i="2"/>
  <c r="Q28" i="2"/>
  <c r="S18" i="2"/>
  <c r="R18" i="2"/>
  <c r="Q18" i="2"/>
  <c r="Y21" i="2"/>
  <c r="X21" i="2"/>
  <c r="W21" i="2"/>
  <c r="Y11" i="2"/>
  <c r="X11" i="2"/>
  <c r="W11" i="2"/>
  <c r="AE32" i="2"/>
  <c r="AD32" i="2"/>
  <c r="AC32" i="2"/>
  <c r="AE22" i="2"/>
  <c r="AD22" i="2"/>
  <c r="AC22" i="2"/>
  <c r="AE12" i="2"/>
  <c r="AD12" i="2"/>
  <c r="AC12" i="2"/>
  <c r="AK29" i="2"/>
  <c r="AJ29" i="2"/>
  <c r="AI29" i="2"/>
  <c r="AK16" i="2"/>
  <c r="AJ16" i="2"/>
  <c r="AI16" i="2"/>
  <c r="AQ22" i="2"/>
  <c r="AP22" i="2"/>
  <c r="AO22" i="2"/>
  <c r="AQ11" i="2"/>
  <c r="AP11" i="2"/>
  <c r="AO11" i="2"/>
  <c r="AW26" i="2"/>
  <c r="AV26" i="2"/>
  <c r="AU26" i="2"/>
  <c r="AW14" i="2"/>
  <c r="AV14" i="2"/>
  <c r="AU14" i="2"/>
  <c r="BC34" i="2"/>
  <c r="BB34" i="2"/>
  <c r="BA34" i="2"/>
  <c r="BC22" i="2"/>
  <c r="BB22" i="2"/>
  <c r="BA22" i="2"/>
  <c r="BH26" i="2"/>
  <c r="BI26" i="2"/>
  <c r="BG26" i="2"/>
  <c r="BM33" i="2"/>
  <c r="BN33" i="2"/>
  <c r="BO33" i="2"/>
  <c r="BM18" i="2"/>
  <c r="BN18" i="2"/>
  <c r="BO18" i="2"/>
  <c r="BU23" i="2"/>
  <c r="BT23" i="2"/>
  <c r="BS23" i="2"/>
  <c r="CA22" i="2"/>
  <c r="BZ22" i="2"/>
  <c r="BY22" i="2"/>
  <c r="CG22" i="2"/>
  <c r="CE22" i="2"/>
  <c r="CF22" i="2"/>
  <c r="BU18" i="2"/>
  <c r="BS18" i="2"/>
  <c r="BT18" i="2"/>
  <c r="BB28" i="2"/>
  <c r="BC28" i="2"/>
  <c r="BA28" i="2"/>
  <c r="S23" i="2"/>
  <c r="R23" i="2"/>
  <c r="Q23" i="2"/>
  <c r="AE28" i="2"/>
  <c r="AD28" i="2"/>
  <c r="AC28" i="2"/>
  <c r="AQ18" i="2"/>
  <c r="AP18" i="2"/>
  <c r="AO18" i="2"/>
  <c r="BC14" i="2"/>
  <c r="BB14" i="2"/>
  <c r="BA14" i="2"/>
  <c r="BU14" i="2"/>
  <c r="BT14" i="2"/>
  <c r="BS14" i="2"/>
  <c r="CF15" i="2"/>
  <c r="CG15" i="2"/>
  <c r="CE15" i="2"/>
  <c r="AW12" i="2"/>
  <c r="AV12" i="2"/>
  <c r="AU12" i="2"/>
  <c r="Y14" i="2"/>
  <c r="X14" i="2"/>
  <c r="W14" i="2"/>
  <c r="AW11" i="2"/>
  <c r="AV11" i="2"/>
  <c r="AU11" i="2"/>
  <c r="BB12" i="2"/>
  <c r="BA12" i="2"/>
  <c r="BC12" i="2"/>
  <c r="AQ14" i="2"/>
  <c r="AP14" i="2"/>
  <c r="AO14" i="2"/>
  <c r="AW16" i="2"/>
  <c r="AV16" i="2"/>
  <c r="AU16" i="2"/>
  <c r="BI17" i="2"/>
  <c r="BH17" i="2"/>
  <c r="BG17" i="2"/>
  <c r="AK19" i="2"/>
  <c r="AJ19" i="2"/>
  <c r="AI19" i="2"/>
  <c r="AW20" i="2"/>
  <c r="AV20" i="2"/>
  <c r="AU20" i="2"/>
  <c r="AO24" i="2"/>
  <c r="AQ24" i="2"/>
  <c r="AP24" i="2"/>
  <c r="AQ25" i="2"/>
  <c r="AP25" i="2"/>
  <c r="AO25" i="2"/>
  <c r="S27" i="2"/>
  <c r="R27" i="2"/>
  <c r="Q27" i="2"/>
  <c r="AK28" i="2"/>
  <c r="AJ28" i="2"/>
  <c r="AI28" i="2"/>
  <c r="CE28" i="2"/>
  <c r="CF28" i="2"/>
  <c r="CG28" i="2"/>
  <c r="AP32" i="2"/>
  <c r="AO32" i="2"/>
  <c r="AQ32" i="2"/>
  <c r="AQ33" i="2"/>
  <c r="AP33" i="2"/>
  <c r="AO33" i="2"/>
  <c r="M31" i="2"/>
  <c r="K31" i="2"/>
  <c r="L31" i="2"/>
  <c r="M22" i="2"/>
  <c r="L22" i="2"/>
  <c r="K22" i="2"/>
  <c r="M13" i="2"/>
  <c r="L13" i="2"/>
  <c r="K13" i="2"/>
  <c r="S26" i="2"/>
  <c r="R26" i="2"/>
  <c r="Q26" i="2"/>
  <c r="S17" i="2"/>
  <c r="R17" i="2"/>
  <c r="Q17" i="2"/>
  <c r="Y33" i="2"/>
  <c r="X33" i="2"/>
  <c r="W33" i="2"/>
  <c r="Y20" i="2"/>
  <c r="X20" i="2"/>
  <c r="W20" i="2"/>
  <c r="AE31" i="2"/>
  <c r="AD31" i="2"/>
  <c r="AC31" i="2"/>
  <c r="AE21" i="2"/>
  <c r="AD21" i="2"/>
  <c r="AC21" i="2"/>
  <c r="AK25" i="2"/>
  <c r="AJ25" i="2"/>
  <c r="AI25" i="2"/>
  <c r="AK15" i="2"/>
  <c r="AJ15" i="2"/>
  <c r="AI15" i="2"/>
  <c r="AQ34" i="2"/>
  <c r="AP34" i="2"/>
  <c r="AO34" i="2"/>
  <c r="AQ21" i="2"/>
  <c r="AP21" i="2"/>
  <c r="AO21" i="2"/>
  <c r="AW25" i="2"/>
  <c r="AV25" i="2"/>
  <c r="AU25" i="2"/>
  <c r="AV13" i="2"/>
  <c r="AU13" i="2"/>
  <c r="AW13" i="2"/>
  <c r="BC33" i="2"/>
  <c r="BB33" i="2"/>
  <c r="BA33" i="2"/>
  <c r="BC18" i="2"/>
  <c r="BB18" i="2"/>
  <c r="BA18" i="2"/>
  <c r="BI21" i="2"/>
  <c r="BH21" i="2"/>
  <c r="BG21" i="2"/>
  <c r="BN31" i="2"/>
  <c r="BO31" i="2"/>
  <c r="BM31" i="2"/>
  <c r="BM17" i="2"/>
  <c r="BN17" i="2"/>
  <c r="BO17" i="2"/>
  <c r="BU22" i="2"/>
  <c r="BT22" i="2"/>
  <c r="BS22" i="2"/>
  <c r="CA21" i="2"/>
  <c r="BZ21" i="2"/>
  <c r="BY21" i="2"/>
  <c r="CE34" i="2"/>
  <c r="CF34" i="2"/>
  <c r="CG34" i="2"/>
  <c r="CE21" i="2"/>
  <c r="CF21" i="2"/>
  <c r="CG21" i="2"/>
  <c r="BI15" i="2"/>
  <c r="BH15" i="2"/>
  <c r="BG15" i="2"/>
  <c r="CM25" i="2"/>
  <c r="CL25" i="2"/>
  <c r="CK25" i="2"/>
  <c r="Y17" i="2"/>
  <c r="X17" i="2"/>
  <c r="W17" i="2"/>
  <c r="BM13" i="2"/>
  <c r="BN13" i="2"/>
  <c r="BO13" i="2"/>
  <c r="CA30" i="2"/>
  <c r="BZ30" i="2"/>
  <c r="BY30" i="2"/>
  <c r="AK11" i="2"/>
  <c r="AJ11" i="2"/>
  <c r="AI11" i="2"/>
  <c r="AQ17" i="2"/>
  <c r="AP17" i="2"/>
  <c r="AO17" i="2"/>
  <c r="BC16" i="2"/>
  <c r="BB16" i="2"/>
  <c r="BA16" i="2"/>
  <c r="CA17" i="2"/>
  <c r="BZ17" i="2"/>
  <c r="BY17" i="2"/>
  <c r="AW19" i="2"/>
  <c r="AV19" i="2"/>
  <c r="AU19" i="2"/>
  <c r="BB20" i="2"/>
  <c r="BA20" i="2"/>
  <c r="BC20" i="2"/>
  <c r="BC21" i="2"/>
  <c r="BB21" i="2"/>
  <c r="BA21" i="2"/>
  <c r="AW24" i="2"/>
  <c r="AV24" i="2"/>
  <c r="AU24" i="2"/>
  <c r="BI25" i="2"/>
  <c r="BH25" i="2"/>
  <c r="BG25" i="2"/>
  <c r="AE27" i="2"/>
  <c r="AD27" i="2"/>
  <c r="AC27" i="2"/>
  <c r="AQ28" i="2"/>
  <c r="AP28" i="2"/>
  <c r="AO28" i="2"/>
  <c r="AW29" i="2"/>
  <c r="AV29" i="2"/>
  <c r="AU29" i="2"/>
  <c r="AW32" i="2"/>
  <c r="AV32" i="2"/>
  <c r="AU32" i="2"/>
  <c r="BI33" i="2"/>
  <c r="BH33" i="2"/>
  <c r="BG33" i="2"/>
  <c r="M30" i="2"/>
  <c r="L30" i="2"/>
  <c r="K30" i="2"/>
  <c r="L21" i="2"/>
  <c r="K21" i="2"/>
  <c r="M21" i="2"/>
  <c r="L12" i="2"/>
  <c r="K12" i="2"/>
  <c r="M12" i="2"/>
  <c r="S34" i="2"/>
  <c r="R34" i="2"/>
  <c r="Q34" i="2"/>
  <c r="S25" i="2"/>
  <c r="R25" i="2"/>
  <c r="Q25" i="2"/>
  <c r="S16" i="2"/>
  <c r="R16" i="2"/>
  <c r="Q16" i="2"/>
  <c r="Y29" i="2"/>
  <c r="X29" i="2"/>
  <c r="W29" i="2"/>
  <c r="Y19" i="2"/>
  <c r="X19" i="2"/>
  <c r="W19" i="2"/>
  <c r="AE30" i="2"/>
  <c r="AD30" i="2"/>
  <c r="AC30" i="2"/>
  <c r="AE20" i="2"/>
  <c r="AD20" i="2"/>
  <c r="AC20" i="2"/>
  <c r="AK24" i="2"/>
  <c r="AJ24" i="2"/>
  <c r="AI24" i="2"/>
  <c r="AK14" i="2"/>
  <c r="AJ14" i="2"/>
  <c r="AI14" i="2"/>
  <c r="AQ31" i="2"/>
  <c r="AP31" i="2"/>
  <c r="AO31" i="2"/>
  <c r="AQ20" i="2"/>
  <c r="AP20" i="2"/>
  <c r="AO20" i="2"/>
  <c r="AW23" i="2"/>
  <c r="AV23" i="2"/>
  <c r="AU23" i="2"/>
  <c r="BC31" i="2"/>
  <c r="BB31" i="2"/>
  <c r="BA31" i="2"/>
  <c r="BC17" i="2"/>
  <c r="BB17" i="2"/>
  <c r="BA17" i="2"/>
  <c r="BH18" i="2"/>
  <c r="BG18" i="2"/>
  <c r="BI18" i="2"/>
  <c r="BO30" i="2"/>
  <c r="BM30" i="2"/>
  <c r="BN30" i="2"/>
  <c r="BN15" i="2"/>
  <c r="BO15" i="2"/>
  <c r="BM15" i="2"/>
  <c r="BU21" i="2"/>
  <c r="BT21" i="2"/>
  <c r="BS21" i="2"/>
  <c r="CA19" i="2"/>
  <c r="BZ19" i="2"/>
  <c r="BY19" i="2"/>
  <c r="CF31" i="2"/>
  <c r="CG31" i="2"/>
  <c r="CE31" i="2"/>
  <c r="CE18" i="2"/>
  <c r="CF18" i="2"/>
  <c r="CG18" i="2"/>
  <c r="BU11" i="2"/>
  <c r="BT11" i="2"/>
  <c r="BS11" i="2"/>
  <c r="BM20" i="2"/>
  <c r="BN20" i="2"/>
  <c r="BO20" i="2"/>
  <c r="Y30" i="2"/>
  <c r="X30" i="2"/>
  <c r="W30" i="2"/>
  <c r="L28" i="2"/>
  <c r="K28" i="2"/>
  <c r="M28" i="2"/>
  <c r="BC29" i="2"/>
  <c r="BB29" i="2"/>
  <c r="BA29" i="2"/>
  <c r="AE19" i="2"/>
  <c r="AD19" i="2"/>
  <c r="AC19" i="2"/>
  <c r="BC11" i="2"/>
  <c r="BB11" i="2"/>
  <c r="BA11" i="2"/>
  <c r="BI12" i="2"/>
  <c r="BH12" i="2"/>
  <c r="BG12" i="2"/>
  <c r="BM12" i="2"/>
  <c r="BN12" i="2"/>
  <c r="BO12" i="2"/>
  <c r="S15" i="2"/>
  <c r="R15" i="2"/>
  <c r="Q15" i="2"/>
  <c r="BI16" i="2"/>
  <c r="BH16" i="2"/>
  <c r="BG16" i="2"/>
  <c r="AE18" i="2"/>
  <c r="AD18" i="2"/>
  <c r="AC18" i="2"/>
  <c r="BC19" i="2"/>
  <c r="BB19" i="2"/>
  <c r="BA19" i="2"/>
  <c r="BI20" i="2"/>
  <c r="BH20" i="2"/>
  <c r="BG20" i="2"/>
  <c r="Y22" i="2"/>
  <c r="X22" i="2"/>
  <c r="W22" i="2"/>
  <c r="BC24" i="2"/>
  <c r="BB24" i="2"/>
  <c r="BA24" i="2"/>
  <c r="CA25" i="2"/>
  <c r="BZ25" i="2"/>
  <c r="BY25" i="2"/>
  <c r="AK27" i="2"/>
  <c r="AJ27" i="2"/>
  <c r="AI27" i="2"/>
  <c r="AW28" i="2"/>
  <c r="AV28" i="2"/>
  <c r="AU28" i="2"/>
  <c r="BM29" i="2"/>
  <c r="BN29" i="2"/>
  <c r="BO29" i="2"/>
  <c r="BC32" i="2"/>
  <c r="BB32" i="2"/>
  <c r="BA32" i="2"/>
  <c r="CA33" i="2"/>
  <c r="BZ33" i="2"/>
  <c r="BY33" i="2"/>
  <c r="M29" i="2"/>
  <c r="L29" i="2"/>
  <c r="K29" i="2"/>
  <c r="L20" i="2"/>
  <c r="K20" i="2"/>
  <c r="M20" i="2"/>
  <c r="S33" i="2"/>
  <c r="R33" i="2"/>
  <c r="Q33" i="2"/>
  <c r="S24" i="2"/>
  <c r="R24" i="2"/>
  <c r="Q24" i="2"/>
  <c r="S14" i="2"/>
  <c r="R14" i="2"/>
  <c r="Q14" i="2"/>
  <c r="Y28" i="2"/>
  <c r="X28" i="2"/>
  <c r="W28" i="2"/>
  <c r="Y18" i="2"/>
  <c r="W18" i="2"/>
  <c r="X18" i="2"/>
  <c r="AE29" i="2"/>
  <c r="AD29" i="2"/>
  <c r="AC29" i="2"/>
  <c r="AD17" i="2"/>
  <c r="AC17" i="2"/>
  <c r="AE17" i="2"/>
  <c r="AK23" i="2"/>
  <c r="AI23" i="2"/>
  <c r="AJ23" i="2"/>
  <c r="AK13" i="2"/>
  <c r="AJ13" i="2"/>
  <c r="AI13" i="2"/>
  <c r="AQ30" i="2"/>
  <c r="AP30" i="2"/>
  <c r="AO30" i="2"/>
  <c r="AQ19" i="2"/>
  <c r="AP19" i="2"/>
  <c r="AO19" i="2"/>
  <c r="AW22" i="2"/>
  <c r="AV22" i="2"/>
  <c r="AU22" i="2"/>
  <c r="BC30" i="2"/>
  <c r="BB30" i="2"/>
  <c r="BA30" i="2"/>
  <c r="BC15" i="2"/>
  <c r="BB15" i="2"/>
  <c r="BA15" i="2"/>
  <c r="BI34" i="2"/>
  <c r="BH34" i="2"/>
  <c r="BG34" i="2"/>
  <c r="BI14" i="2"/>
  <c r="BH14" i="2"/>
  <c r="BG14" i="2"/>
  <c r="BM26" i="2"/>
  <c r="BN26" i="2"/>
  <c r="BO26" i="2"/>
  <c r="BO14" i="2"/>
  <c r="BM14" i="2"/>
  <c r="BN14" i="2"/>
  <c r="BU33" i="2"/>
  <c r="BT33" i="2"/>
  <c r="BS33" i="2"/>
  <c r="BU17" i="2"/>
  <c r="BT17" i="2"/>
  <c r="BS17" i="2"/>
  <c r="CA34" i="2"/>
  <c r="BZ34" i="2"/>
  <c r="BY34" i="2"/>
  <c r="CA18" i="2"/>
  <c r="BZ18" i="2"/>
  <c r="BY18" i="2"/>
  <c r="CG30" i="2"/>
  <c r="CE30" i="2"/>
  <c r="CF30" i="2"/>
  <c r="CE17" i="2"/>
  <c r="CF17" i="2"/>
  <c r="CG17" i="2"/>
  <c r="CF11" i="2"/>
  <c r="CG11" i="2"/>
  <c r="CE11" i="2"/>
  <c r="CF10" i="2"/>
  <c r="CG10" i="2"/>
  <c r="CE10" i="2"/>
  <c r="CF9" i="2"/>
  <c r="CG9" i="2"/>
  <c r="CE9" i="2"/>
  <c r="CF8" i="2"/>
  <c r="CG8" i="2"/>
  <c r="CE8" i="2"/>
  <c r="CG5" i="2"/>
  <c r="CF5" i="2"/>
  <c r="CE5" i="2"/>
  <c r="CG7" i="2"/>
  <c r="CE7" i="2"/>
  <c r="CF7" i="2"/>
  <c r="CG6" i="2"/>
  <c r="CE6" i="2"/>
  <c r="CF6" i="2"/>
  <c r="BZ8" i="2"/>
  <c r="BY8" i="2"/>
  <c r="CA8" i="2"/>
  <c r="CA10" i="2"/>
  <c r="BZ10" i="2"/>
  <c r="BY10" i="2"/>
  <c r="CA6" i="2"/>
  <c r="BY6" i="2"/>
  <c r="BZ6" i="2"/>
  <c r="BZ9" i="2"/>
  <c r="CA9" i="2"/>
  <c r="BY9" i="2"/>
  <c r="CA7" i="2"/>
  <c r="BY7" i="2"/>
  <c r="BZ7" i="2"/>
  <c r="BT10" i="2"/>
  <c r="BS10" i="2"/>
  <c r="BU10" i="2"/>
  <c r="BT9" i="2"/>
  <c r="BU9" i="2"/>
  <c r="BS9" i="2"/>
  <c r="BT8" i="2"/>
  <c r="BU8" i="2"/>
  <c r="BS8" i="2"/>
  <c r="BT7" i="2"/>
  <c r="BU7" i="2"/>
  <c r="BS7" i="2"/>
  <c r="BU6" i="2"/>
  <c r="BS6" i="2"/>
  <c r="BT6" i="2"/>
  <c r="BU5" i="2"/>
  <c r="BS5" i="2"/>
  <c r="BT5" i="2"/>
  <c r="BN10" i="2"/>
  <c r="BM10" i="2"/>
  <c r="BO10" i="2"/>
  <c r="BN9" i="2"/>
  <c r="BO9" i="2"/>
  <c r="BM9" i="2"/>
  <c r="BN8" i="2"/>
  <c r="BO8" i="2"/>
  <c r="BM8" i="2"/>
  <c r="BM5" i="2"/>
  <c r="BO5" i="2"/>
  <c r="BN5" i="2"/>
  <c r="BN7" i="2"/>
  <c r="BO7" i="2"/>
  <c r="BM7" i="2"/>
  <c r="BO6" i="2"/>
  <c r="BM6" i="2"/>
  <c r="BN6" i="2"/>
  <c r="BM11" i="2"/>
  <c r="BN11" i="2"/>
  <c r="BO11" i="2"/>
  <c r="BI5" i="2"/>
  <c r="BH5" i="2"/>
  <c r="BG5" i="2"/>
  <c r="BI8" i="2"/>
  <c r="BG8" i="2"/>
  <c r="BH8" i="2"/>
  <c r="BI10" i="2"/>
  <c r="BG10" i="2"/>
  <c r="BH10" i="2"/>
  <c r="BH6" i="2"/>
  <c r="BG6" i="2"/>
  <c r="BI6" i="2"/>
  <c r="BI9" i="2"/>
  <c r="BG9" i="2"/>
  <c r="BH9" i="2"/>
  <c r="BG7" i="2"/>
  <c r="BH7" i="2"/>
  <c r="BI7" i="2"/>
  <c r="BC10" i="2"/>
  <c r="BA10" i="2"/>
  <c r="BB10" i="2"/>
  <c r="BC9" i="2"/>
  <c r="BA9" i="2"/>
  <c r="BB9" i="2"/>
  <c r="BA8" i="2"/>
  <c r="BB8" i="2"/>
  <c r="BC8" i="2"/>
  <c r="BA7" i="2"/>
  <c r="BB7" i="2"/>
  <c r="BC7" i="2"/>
  <c r="BB6" i="2"/>
  <c r="BA6" i="2"/>
  <c r="BC6" i="2"/>
  <c r="AW8" i="2"/>
  <c r="AU8" i="2"/>
  <c r="AV8" i="2"/>
  <c r="AU6" i="2"/>
  <c r="AV6" i="2"/>
  <c r="AW6" i="2"/>
  <c r="AU7" i="2"/>
  <c r="AW7" i="2"/>
  <c r="AV7" i="2"/>
  <c r="AW10" i="2"/>
  <c r="AV10" i="2"/>
  <c r="AU10" i="2"/>
  <c r="AW9" i="2"/>
  <c r="AU9" i="2"/>
  <c r="AV9" i="2"/>
  <c r="AP8" i="2"/>
  <c r="AQ8" i="2"/>
  <c r="AO8" i="2"/>
  <c r="AP5" i="2"/>
  <c r="AO5" i="2"/>
  <c r="AQ5" i="2"/>
  <c r="AP6" i="2"/>
  <c r="AO6" i="2"/>
  <c r="AQ6" i="2"/>
  <c r="AO9" i="2"/>
  <c r="AP9" i="2"/>
  <c r="AQ9" i="2"/>
  <c r="AO10" i="2"/>
  <c r="AP10" i="2"/>
  <c r="AQ10" i="2"/>
  <c r="AP7" i="2"/>
  <c r="AQ7" i="2"/>
  <c r="AO7" i="2"/>
  <c r="AI10" i="2"/>
  <c r="AJ10" i="2"/>
  <c r="AK10" i="2"/>
  <c r="AI9" i="2"/>
  <c r="AJ9" i="2"/>
  <c r="AK9" i="2"/>
  <c r="AJ8" i="2"/>
  <c r="AK8" i="2"/>
  <c r="AI8" i="2"/>
  <c r="AJ7" i="2"/>
  <c r="AK7" i="2"/>
  <c r="AI7" i="2"/>
  <c r="AJ6" i="2"/>
  <c r="AK6" i="2"/>
  <c r="AI6" i="2"/>
  <c r="AD6" i="2"/>
  <c r="AE6" i="2"/>
  <c r="AC6" i="2"/>
  <c r="AC9" i="2"/>
  <c r="AD9" i="2"/>
  <c r="AE9" i="2"/>
  <c r="AC8" i="2"/>
  <c r="AD8" i="2"/>
  <c r="AE8" i="2"/>
  <c r="AC10" i="2"/>
  <c r="AD10" i="2"/>
  <c r="AE10" i="2"/>
  <c r="AD7" i="2"/>
  <c r="AE7" i="2"/>
  <c r="AC7" i="2"/>
  <c r="Y6" i="2"/>
  <c r="W6" i="2"/>
  <c r="X6" i="2"/>
  <c r="Y10" i="2"/>
  <c r="X10" i="2"/>
  <c r="W10" i="2"/>
  <c r="Y9" i="2"/>
  <c r="X9" i="2"/>
  <c r="W9" i="2"/>
  <c r="Y5" i="2"/>
  <c r="X5" i="2"/>
  <c r="W5" i="2"/>
  <c r="Y8" i="2"/>
  <c r="W8" i="2"/>
  <c r="X8" i="2"/>
  <c r="Y7" i="2"/>
  <c r="W7" i="2"/>
  <c r="X7" i="2"/>
  <c r="Q10" i="2"/>
  <c r="S10" i="2"/>
  <c r="R10" i="2"/>
  <c r="Q9" i="2"/>
  <c r="R9" i="2"/>
  <c r="S9" i="2"/>
  <c r="Q8" i="2"/>
  <c r="R8" i="2"/>
  <c r="S8" i="2"/>
  <c r="R7" i="2"/>
  <c r="S7" i="2"/>
  <c r="Q7" i="2"/>
  <c r="S5" i="2"/>
  <c r="R5" i="2"/>
  <c r="Q5" i="2"/>
  <c r="R6" i="2"/>
  <c r="S6" i="2"/>
  <c r="Q6" i="2"/>
  <c r="K9" i="2"/>
  <c r="M9" i="2"/>
  <c r="L9" i="2"/>
  <c r="K8" i="2"/>
  <c r="M8" i="2"/>
  <c r="L8" i="2"/>
  <c r="M7" i="2"/>
  <c r="L7" i="2"/>
  <c r="K7" i="2"/>
  <c r="M6" i="2"/>
  <c r="L6" i="2"/>
  <c r="K6" i="2"/>
  <c r="K10" i="2"/>
  <c r="M10" i="2"/>
  <c r="L10" i="2"/>
  <c r="BZ5" i="2"/>
  <c r="CA5" i="2"/>
  <c r="BA5" i="2"/>
  <c r="BB5" i="2"/>
  <c r="BC5" i="2"/>
  <c r="AC5" i="2"/>
  <c r="AD5" i="2"/>
  <c r="AE5" i="2"/>
  <c r="AG36" i="2"/>
  <c r="B99" i="7" s="1"/>
  <c r="BW36" i="2"/>
  <c r="B106" i="7" s="1"/>
  <c r="U36" i="2"/>
  <c r="B97" i="7" s="1"/>
  <c r="O36" i="2"/>
  <c r="B96" i="7" s="1"/>
  <c r="BQ36" i="2"/>
  <c r="B105" i="7" s="1"/>
  <c r="AM36" i="2"/>
  <c r="B100" i="7" s="1"/>
  <c r="BE36" i="2"/>
  <c r="B103" i="7" s="1"/>
  <c r="AA36" i="2"/>
  <c r="B98" i="7" s="1"/>
  <c r="AS36" i="2"/>
  <c r="B101" i="7" s="1"/>
  <c r="BK36" i="2"/>
  <c r="B104" i="7" s="1"/>
  <c r="CC36" i="2"/>
  <c r="B107" i="7" s="1"/>
  <c r="I36" i="2"/>
  <c r="B95" i="7" s="1"/>
  <c r="AY36" i="2"/>
  <c r="B102" i="7" s="1"/>
  <c r="C688" i="4"/>
  <c r="C687" i="4"/>
  <c r="C686" i="4"/>
  <c r="C112" i="4"/>
  <c r="C92" i="4"/>
  <c r="CI23" i="2"/>
  <c r="C116" i="4"/>
  <c r="CI16" i="2"/>
  <c r="CI13" i="2"/>
  <c r="CI21" i="2"/>
  <c r="CQ9" i="2"/>
  <c r="CI9" i="2"/>
  <c r="CI7" i="2"/>
  <c r="CQ10" i="2"/>
  <c r="CI10" i="2"/>
  <c r="CQ8" i="2"/>
  <c r="CI8" i="2"/>
  <c r="CQ12" i="2"/>
  <c r="CI12" i="2"/>
  <c r="CI5" i="2"/>
  <c r="CI6" i="2"/>
  <c r="CI11" i="2"/>
  <c r="CQ15" i="2"/>
  <c r="CI15" i="2"/>
  <c r="CQ17" i="2"/>
  <c r="CI17" i="2"/>
  <c r="CQ28" i="2"/>
  <c r="CI28" i="2"/>
  <c r="CI14" i="2"/>
  <c r="CI18" i="2"/>
  <c r="CI19" i="2"/>
  <c r="CQ26" i="2"/>
  <c r="CI26" i="2"/>
  <c r="CQ27" i="2"/>
  <c r="CI27" i="2"/>
  <c r="CQ31" i="2"/>
  <c r="CI31" i="2"/>
  <c r="C113" i="4"/>
  <c r="C93" i="4"/>
  <c r="C101" i="4"/>
  <c r="CQ30" i="2"/>
  <c r="CI30" i="2"/>
  <c r="CQ22" i="2"/>
  <c r="CI22" i="2"/>
  <c r="CQ24" i="2"/>
  <c r="CQ29" i="2"/>
  <c r="CI29" i="2"/>
  <c r="CQ34" i="2"/>
  <c r="CI34" i="2"/>
  <c r="C94" i="4"/>
  <c r="C102" i="4"/>
  <c r="C99" i="4"/>
  <c r="CI32" i="2"/>
  <c r="C108" i="4"/>
  <c r="C91" i="4"/>
  <c r="C119" i="4"/>
  <c r="C111" i="4"/>
  <c r="C122" i="4"/>
  <c r="C100" i="4"/>
  <c r="C114" i="4"/>
  <c r="L36" i="2" l="1"/>
  <c r="D95" i="7" s="1"/>
  <c r="D686" i="4"/>
  <c r="E686" i="4" s="1"/>
  <c r="D687" i="4"/>
  <c r="E687" i="4" s="1"/>
  <c r="D688" i="4"/>
  <c r="E688" i="4" s="1"/>
  <c r="CM29" i="2"/>
  <c r="CL29" i="2"/>
  <c r="CK29" i="2"/>
  <c r="CK18" i="2"/>
  <c r="CM18" i="2"/>
  <c r="CL18" i="2"/>
  <c r="CM23" i="2"/>
  <c r="CL23" i="2"/>
  <c r="CK23" i="2"/>
  <c r="CM19" i="2"/>
  <c r="CL19" i="2"/>
  <c r="CK19" i="2"/>
  <c r="CM14" i="2"/>
  <c r="CL14" i="2"/>
  <c r="CK14" i="2"/>
  <c r="CM11" i="2"/>
  <c r="CL11" i="2"/>
  <c r="CK11" i="2"/>
  <c r="CM32" i="2"/>
  <c r="CL32" i="2"/>
  <c r="CK32" i="2"/>
  <c r="CM31" i="2"/>
  <c r="CL31" i="2"/>
  <c r="CK31" i="2"/>
  <c r="CM22" i="2"/>
  <c r="CL22" i="2"/>
  <c r="CK22" i="2"/>
  <c r="CM28" i="2"/>
  <c r="CL28" i="2"/>
  <c r="CK28" i="2"/>
  <c r="AJ36" i="2"/>
  <c r="D99" i="7" s="1"/>
  <c r="CM27" i="2"/>
  <c r="CL27" i="2"/>
  <c r="CK27" i="2"/>
  <c r="CM12" i="2"/>
  <c r="CL12" i="2"/>
  <c r="CK12" i="2"/>
  <c r="CM17" i="2"/>
  <c r="CL17" i="2"/>
  <c r="CK17" i="2"/>
  <c r="CM21" i="2"/>
  <c r="CL21" i="2"/>
  <c r="CK21" i="2"/>
  <c r="CM30" i="2"/>
  <c r="CL30" i="2"/>
  <c r="CK30" i="2"/>
  <c r="CL34" i="2"/>
  <c r="CK34" i="2"/>
  <c r="CM34" i="2"/>
  <c r="CK26" i="2"/>
  <c r="CM26" i="2"/>
  <c r="CL26" i="2"/>
  <c r="CM13" i="2"/>
  <c r="CL13" i="2"/>
  <c r="CK13" i="2"/>
  <c r="CM15" i="2"/>
  <c r="CL15" i="2"/>
  <c r="CK15" i="2"/>
  <c r="CM16" i="2"/>
  <c r="CL16" i="2"/>
  <c r="CK16" i="2"/>
  <c r="CM7" i="2"/>
  <c r="CK7" i="2"/>
  <c r="CL7" i="2"/>
  <c r="CL9" i="2"/>
  <c r="CK9" i="2"/>
  <c r="CM9" i="2"/>
  <c r="CM6" i="2"/>
  <c r="CL6" i="2"/>
  <c r="CK6" i="2"/>
  <c r="CL5" i="2"/>
  <c r="CK5" i="2"/>
  <c r="CM5" i="2"/>
  <c r="CM8" i="2"/>
  <c r="CK8" i="2"/>
  <c r="CL8" i="2"/>
  <c r="CL10" i="2"/>
  <c r="CM10" i="2"/>
  <c r="CK10" i="2"/>
  <c r="CO36" i="2"/>
  <c r="CA36" i="2"/>
  <c r="BT36" i="2"/>
  <c r="D105" i="7" s="1"/>
  <c r="BN36" i="2"/>
  <c r="D104" i="7" s="1"/>
  <c r="BH36" i="2"/>
  <c r="BB36" i="2"/>
  <c r="D102" i="7" s="1"/>
  <c r="AW36" i="2"/>
  <c r="AQ36" i="2"/>
  <c r="AE36" i="2"/>
  <c r="AV36" i="2"/>
  <c r="D101" i="7" s="1"/>
  <c r="BC36" i="2"/>
  <c r="AP36" i="2"/>
  <c r="D100" i="7" s="1"/>
  <c r="BO36" i="2"/>
  <c r="AD36" i="2"/>
  <c r="D98" i="7" s="1"/>
  <c r="BM36" i="2"/>
  <c r="C104" i="7" s="1"/>
  <c r="BY36" i="2"/>
  <c r="C106" i="7" s="1"/>
  <c r="BZ36" i="2"/>
  <c r="Q36" i="2"/>
  <c r="C96" i="7" s="1"/>
  <c r="CF36" i="2"/>
  <c r="D107" i="7" s="1"/>
  <c r="S36" i="2"/>
  <c r="AU36" i="2"/>
  <c r="C101" i="7" s="1"/>
  <c r="CG36" i="2"/>
  <c r="BI36" i="2"/>
  <c r="X36" i="2"/>
  <c r="D97" i="7" s="1"/>
  <c r="R36" i="2"/>
  <c r="D96" i="7" s="1"/>
  <c r="CI36" i="2"/>
  <c r="B108" i="7" s="1"/>
  <c r="BS36" i="2"/>
  <c r="C105" i="7" s="1"/>
  <c r="W36" i="2"/>
  <c r="C97" i="7" s="1"/>
  <c r="AI36" i="2"/>
  <c r="C99" i="7" s="1"/>
  <c r="CE36" i="2"/>
  <c r="C107" i="7" s="1"/>
  <c r="BG36" i="2"/>
  <c r="C103" i="7" s="1"/>
  <c r="M36" i="2"/>
  <c r="BA36" i="2"/>
  <c r="C102" i="7" s="1"/>
  <c r="K36" i="2"/>
  <c r="C95" i="7" s="1"/>
  <c r="AC36" i="2"/>
  <c r="C98" i="7" s="1"/>
  <c r="AO36" i="2"/>
  <c r="C100" i="7" s="1"/>
  <c r="BU36" i="2"/>
  <c r="Y36" i="2"/>
  <c r="AK36" i="2"/>
  <c r="C129" i="4" l="1"/>
  <c r="C149" i="4"/>
  <c r="D672" i="4"/>
  <c r="F104" i="7" s="1"/>
  <c r="E104" i="7"/>
  <c r="D664" i="4"/>
  <c r="F96" i="7" s="1"/>
  <c r="E96" i="7"/>
  <c r="D670" i="4"/>
  <c r="F102" i="7" s="1"/>
  <c r="E102" i="7"/>
  <c r="D673" i="4"/>
  <c r="F105" i="7" s="1"/>
  <c r="E105" i="7"/>
  <c r="C140" i="4"/>
  <c r="D106" i="7"/>
  <c r="D666" i="4"/>
  <c r="F98" i="7" s="1"/>
  <c r="E98" i="7"/>
  <c r="D675" i="4"/>
  <c r="F107" i="7" s="1"/>
  <c r="E107" i="7"/>
  <c r="C157" i="4"/>
  <c r="D103" i="7"/>
  <c r="D674" i="4"/>
  <c r="F106" i="7" s="1"/>
  <c r="E106" i="7"/>
  <c r="D663" i="4"/>
  <c r="F95" i="7" s="1"/>
  <c r="E95" i="7"/>
  <c r="D668" i="4"/>
  <c r="F100" i="7" s="1"/>
  <c r="E100" i="7"/>
  <c r="D665" i="4"/>
  <c r="F97" i="7" s="1"/>
  <c r="E97" i="7"/>
  <c r="D667" i="4"/>
  <c r="F99" i="7" s="1"/>
  <c r="E99" i="7"/>
  <c r="D671" i="4"/>
  <c r="F103" i="7" s="1"/>
  <c r="E103" i="7"/>
  <c r="D669" i="4"/>
  <c r="F101" i="7" s="1"/>
  <c r="E101" i="7"/>
  <c r="D679" i="4"/>
  <c r="D680" i="4" s="1"/>
  <c r="E691" i="4"/>
  <c r="E692" i="4" s="1"/>
  <c r="CL36" i="2"/>
  <c r="D108" i="7" s="1"/>
  <c r="C137" i="4"/>
  <c r="C160" i="4"/>
  <c r="C180" i="4" s="1"/>
  <c r="C203" i="4" s="1"/>
  <c r="B72" i="7" s="1"/>
  <c r="CM36" i="2"/>
  <c r="CK36" i="2"/>
  <c r="C108" i="7" s="1"/>
  <c r="C141" i="4"/>
  <c r="C161" i="4"/>
  <c r="C159" i="4"/>
  <c r="C139" i="4"/>
  <c r="C151" i="4"/>
  <c r="C131" i="4"/>
  <c r="C133" i="4"/>
  <c r="C153" i="4"/>
  <c r="C158" i="4"/>
  <c r="C138" i="4"/>
  <c r="C150" i="4"/>
  <c r="C130" i="4"/>
  <c r="C134" i="4"/>
  <c r="C154" i="4"/>
  <c r="C136" i="4"/>
  <c r="C156" i="4"/>
  <c r="C135" i="4"/>
  <c r="C155" i="4"/>
  <c r="C152" i="4"/>
  <c r="C132" i="4"/>
  <c r="C169" i="4" l="1"/>
  <c r="C192" i="4" s="1"/>
  <c r="B61" i="7" s="1"/>
  <c r="C177" i="4"/>
  <c r="C200" i="4" s="1"/>
  <c r="B69" i="7" s="1"/>
  <c r="B115" i="7"/>
  <c r="E704" i="4"/>
  <c r="B117" i="7" s="1"/>
  <c r="D676" i="4"/>
  <c r="F108" i="7" s="1"/>
  <c r="E108" i="7"/>
  <c r="C345" i="4"/>
  <c r="C385" i="4" s="1"/>
  <c r="C239" i="4"/>
  <c r="B89" i="7" s="1"/>
  <c r="C181" i="4"/>
  <c r="C175" i="4"/>
  <c r="C198" i="4" s="1"/>
  <c r="B67" i="7" s="1"/>
  <c r="C173" i="4"/>
  <c r="C196" i="4" s="1"/>
  <c r="B65" i="7" s="1"/>
  <c r="C176" i="4"/>
  <c r="C199" i="4" s="1"/>
  <c r="B68" i="7" s="1"/>
  <c r="C272" i="4"/>
  <c r="C179" i="4"/>
  <c r="C202" i="4" s="1"/>
  <c r="B71" i="7" s="1"/>
  <c r="C172" i="4"/>
  <c r="C195" i="4" s="1"/>
  <c r="B64" i="7" s="1"/>
  <c r="C178" i="4"/>
  <c r="C201" i="4" s="1"/>
  <c r="B70" i="7" s="1"/>
  <c r="C142" i="4"/>
  <c r="C162" i="4"/>
  <c r="C174" i="4"/>
  <c r="C197" i="4" s="1"/>
  <c r="B66" i="7" s="1"/>
  <c r="C170" i="4"/>
  <c r="C193" i="4" s="1"/>
  <c r="B62" i="7" s="1"/>
  <c r="C171" i="4"/>
  <c r="C194" i="4" s="1"/>
  <c r="B63" i="7" s="1"/>
  <c r="C342" i="4" l="1"/>
  <c r="C382" i="4" s="1"/>
  <c r="D69" i="7" s="1"/>
  <c r="C269" i="4"/>
  <c r="C289" i="4" s="1"/>
  <c r="C69" i="7" s="1"/>
  <c r="C236" i="4"/>
  <c r="B86" i="7" s="1"/>
  <c r="C228" i="4"/>
  <c r="B78" i="7" s="1"/>
  <c r="C261" i="4"/>
  <c r="C334" i="4"/>
  <c r="C374" i="4" s="1"/>
  <c r="C204" i="4"/>
  <c r="B73" i="7" s="1"/>
  <c r="C281" i="4"/>
  <c r="C61" i="7" s="1"/>
  <c r="C292" i="4"/>
  <c r="C72" i="7" s="1"/>
  <c r="D72" i="7"/>
  <c r="C531" i="4"/>
  <c r="C571" i="4" s="1"/>
  <c r="C520" i="4"/>
  <c r="D61" i="7"/>
  <c r="C30" i="7"/>
  <c r="B30" i="7" s="1"/>
  <c r="C428" i="4"/>
  <c r="C448" i="4" s="1"/>
  <c r="C408" i="4"/>
  <c r="C468" i="4"/>
  <c r="C488" i="4" s="1"/>
  <c r="C457" i="4"/>
  <c r="C477" i="4" s="1"/>
  <c r="C397" i="4"/>
  <c r="C417" i="4"/>
  <c r="C437" i="4" s="1"/>
  <c r="C346" i="4"/>
  <c r="C386" i="4" s="1"/>
  <c r="C267" i="4"/>
  <c r="C234" i="4"/>
  <c r="B84" i="7" s="1"/>
  <c r="C268" i="4"/>
  <c r="C235" i="4"/>
  <c r="B85" i="7" s="1"/>
  <c r="C273" i="4"/>
  <c r="C340" i="4"/>
  <c r="C380" i="4" s="1"/>
  <c r="C341" i="4"/>
  <c r="C381" i="4" s="1"/>
  <c r="C338" i="4"/>
  <c r="C378" i="4" s="1"/>
  <c r="C232" i="4"/>
  <c r="B82" i="7" s="1"/>
  <c r="C265" i="4"/>
  <c r="C344" i="4"/>
  <c r="C384" i="4" s="1"/>
  <c r="C238" i="4"/>
  <c r="B88" i="7" s="1"/>
  <c r="C271" i="4"/>
  <c r="C339" i="4"/>
  <c r="C379" i="4" s="1"/>
  <c r="C233" i="4"/>
  <c r="B83" i="7" s="1"/>
  <c r="C266" i="4"/>
  <c r="C231" i="4"/>
  <c r="B81" i="7" s="1"/>
  <c r="C264" i="4"/>
  <c r="C337" i="4"/>
  <c r="C377" i="4" s="1"/>
  <c r="C182" i="4"/>
  <c r="C205" i="4" s="1"/>
  <c r="B74" i="7" s="1"/>
  <c r="C262" i="4"/>
  <c r="C335" i="4"/>
  <c r="C375" i="4" s="1"/>
  <c r="C229" i="4"/>
  <c r="B79" i="7" s="1"/>
  <c r="C336" i="4"/>
  <c r="C376" i="4" s="1"/>
  <c r="C230" i="4"/>
  <c r="B80" i="7" s="1"/>
  <c r="C263" i="4"/>
  <c r="C343" i="4"/>
  <c r="C383" i="4" s="1"/>
  <c r="C237" i="4"/>
  <c r="B87" i="7" s="1"/>
  <c r="C270" i="4"/>
  <c r="C220" i="4"/>
  <c r="C212" i="4"/>
  <c r="C211" i="4"/>
  <c r="C223" i="4"/>
  <c r="C528" i="4" l="1"/>
  <c r="C568" i="4" s="1"/>
  <c r="C405" i="4"/>
  <c r="C425" i="4"/>
  <c r="C445" i="4" s="1"/>
  <c r="C465" i="4"/>
  <c r="C485" i="4" s="1"/>
  <c r="C216" i="4"/>
  <c r="C224" i="4"/>
  <c r="C312" i="4"/>
  <c r="C89" i="7" s="1"/>
  <c r="C240" i="4"/>
  <c r="B90" i="7" s="1"/>
  <c r="C529" i="4"/>
  <c r="D70" i="7"/>
  <c r="D64" i="7"/>
  <c r="C523" i="4"/>
  <c r="C293" i="4"/>
  <c r="C73" i="7" s="1"/>
  <c r="C301" i="4"/>
  <c r="C78" i="7" s="1"/>
  <c r="C283" i="4"/>
  <c r="C63" i="7" s="1"/>
  <c r="C284" i="4"/>
  <c r="C64" i="7" s="1"/>
  <c r="D71" i="7"/>
  <c r="C530" i="4"/>
  <c r="C290" i="4"/>
  <c r="C70" i="7" s="1"/>
  <c r="C526" i="4"/>
  <c r="C546" i="4" s="1"/>
  <c r="D67" i="7"/>
  <c r="C291" i="4"/>
  <c r="C71" i="7" s="1"/>
  <c r="C285" i="4"/>
  <c r="C65" i="7" s="1"/>
  <c r="C522" i="4"/>
  <c r="D63" i="7"/>
  <c r="C286" i="4"/>
  <c r="C66" i="7" s="1"/>
  <c r="D65" i="7"/>
  <c r="C524" i="4"/>
  <c r="C287" i="4"/>
  <c r="C67" i="7" s="1"/>
  <c r="C309" i="4"/>
  <c r="C86" i="7" s="1"/>
  <c r="C282" i="4"/>
  <c r="C62" i="7" s="1"/>
  <c r="C288" i="4"/>
  <c r="C68" i="7" s="1"/>
  <c r="C521" i="4"/>
  <c r="D62" i="7"/>
  <c r="D66" i="7"/>
  <c r="C525" i="4"/>
  <c r="C527" i="4"/>
  <c r="C567" i="4" s="1"/>
  <c r="D68" i="7"/>
  <c r="C532" i="4"/>
  <c r="C552" i="4" s="1"/>
  <c r="D73" i="7"/>
  <c r="C54" i="7"/>
  <c r="B54" i="7"/>
  <c r="D54" i="7"/>
  <c r="C418" i="4"/>
  <c r="C438" i="4" s="1"/>
  <c r="C398" i="4"/>
  <c r="C458" i="4"/>
  <c r="C478" i="4" s="1"/>
  <c r="C426" i="4"/>
  <c r="C446" i="4" s="1"/>
  <c r="C406" i="4"/>
  <c r="C466" i="4"/>
  <c r="C486" i="4" s="1"/>
  <c r="C420" i="4"/>
  <c r="C440" i="4" s="1"/>
  <c r="C400" i="4"/>
  <c r="C460" i="4"/>
  <c r="C480" i="4" s="1"/>
  <c r="C427" i="4"/>
  <c r="C447" i="4" s="1"/>
  <c r="C407" i="4"/>
  <c r="C467" i="4"/>
  <c r="C487" i="4" s="1"/>
  <c r="C429" i="4"/>
  <c r="C449" i="4" s="1"/>
  <c r="C409" i="4"/>
  <c r="C469" i="4"/>
  <c r="C489" i="4" s="1"/>
  <c r="C419" i="4"/>
  <c r="C439" i="4" s="1"/>
  <c r="C399" i="4"/>
  <c r="C459" i="4"/>
  <c r="C479" i="4" s="1"/>
  <c r="C422" i="4"/>
  <c r="C442" i="4" s="1"/>
  <c r="C402" i="4"/>
  <c r="C462" i="4"/>
  <c r="C482" i="4" s="1"/>
  <c r="C421" i="4"/>
  <c r="C441" i="4" s="1"/>
  <c r="C401" i="4"/>
  <c r="C461" i="4"/>
  <c r="C481" i="4" s="1"/>
  <c r="C424" i="4"/>
  <c r="C444" i="4" s="1"/>
  <c r="C404" i="4"/>
  <c r="C464" i="4"/>
  <c r="C484" i="4" s="1"/>
  <c r="C423" i="4"/>
  <c r="C443" i="4" s="1"/>
  <c r="C403" i="4"/>
  <c r="C463" i="4"/>
  <c r="C483" i="4" s="1"/>
  <c r="C551" i="4"/>
  <c r="C631" i="4" s="1"/>
  <c r="D89" i="7" s="1"/>
  <c r="C591" i="4"/>
  <c r="C611" i="4" s="1"/>
  <c r="C508" i="4"/>
  <c r="C588" i="4"/>
  <c r="C608" i="4" s="1"/>
  <c r="C548" i="4"/>
  <c r="C274" i="4"/>
  <c r="C294" i="4" s="1"/>
  <c r="C74" i="7" s="1"/>
  <c r="C347" i="4"/>
  <c r="C497" i="4"/>
  <c r="C540" i="4"/>
  <c r="C620" i="4" s="1"/>
  <c r="D78" i="7" s="1"/>
  <c r="C560" i="4"/>
  <c r="C580" i="4"/>
  <c r="C219" i="4"/>
  <c r="C215" i="4"/>
  <c r="C628" i="4" l="1"/>
  <c r="D86" i="7" s="1"/>
  <c r="C505" i="4"/>
  <c r="C308" i="4"/>
  <c r="C85" i="7" s="1"/>
  <c r="C313" i="4"/>
  <c r="C90" i="7" s="1"/>
  <c r="C303" i="4"/>
  <c r="C80" i="7" s="1"/>
  <c r="C302" i="4"/>
  <c r="C79" i="7" s="1"/>
  <c r="C306" i="4"/>
  <c r="C83" i="7" s="1"/>
  <c r="C310" i="4"/>
  <c r="C87" i="7" s="1"/>
  <c r="C592" i="4"/>
  <c r="C307" i="4"/>
  <c r="C84" i="7" s="1"/>
  <c r="C305" i="4"/>
  <c r="C82" i="7" s="1"/>
  <c r="C572" i="4"/>
  <c r="C387" i="4"/>
  <c r="D74" i="7" s="1"/>
  <c r="C311" i="4"/>
  <c r="C88" i="7" s="1"/>
  <c r="C304" i="4"/>
  <c r="C81" i="7" s="1"/>
  <c r="C632" i="4"/>
  <c r="D90" i="7" s="1"/>
  <c r="C653" i="4"/>
  <c r="E89" i="7" s="1"/>
  <c r="C509" i="4"/>
  <c r="C587" i="4"/>
  <c r="C607" i="4" s="1"/>
  <c r="C503" i="4"/>
  <c r="C504" i="4"/>
  <c r="C586" i="4"/>
  <c r="C626" i="4"/>
  <c r="D84" i="7" s="1"/>
  <c r="C241" i="4"/>
  <c r="B91" i="7" s="1"/>
  <c r="C314" i="4"/>
  <c r="C91" i="7" s="1"/>
  <c r="C650" i="4"/>
  <c r="E86" i="7" s="1"/>
  <c r="C566" i="4"/>
  <c r="C547" i="4"/>
  <c r="C627" i="4" s="1"/>
  <c r="D85" i="7" s="1"/>
  <c r="C507" i="4"/>
  <c r="C544" i="4"/>
  <c r="C624" i="4" s="1"/>
  <c r="D82" i="7" s="1"/>
  <c r="C584" i="4"/>
  <c r="C564" i="4"/>
  <c r="C501" i="4"/>
  <c r="C498" i="4"/>
  <c r="C600" i="4"/>
  <c r="C642" i="4" s="1"/>
  <c r="E78" i="7" s="1"/>
  <c r="C590" i="4"/>
  <c r="C550" i="4"/>
  <c r="C630" i="4" s="1"/>
  <c r="D88" i="7" s="1"/>
  <c r="C570" i="4"/>
  <c r="C499" i="4"/>
  <c r="C506" i="4"/>
  <c r="C500" i="4"/>
  <c r="C581" i="4"/>
  <c r="C561" i="4"/>
  <c r="C541" i="4"/>
  <c r="C621" i="4" s="1"/>
  <c r="D79" i="7" s="1"/>
  <c r="C542" i="4"/>
  <c r="C622" i="4" s="1"/>
  <c r="D80" i="7" s="1"/>
  <c r="C562" i="4"/>
  <c r="C582" i="4"/>
  <c r="C585" i="4"/>
  <c r="C545" i="4"/>
  <c r="C625" i="4" s="1"/>
  <c r="D83" i="7" s="1"/>
  <c r="C565" i="4"/>
  <c r="C563" i="4"/>
  <c r="C543" i="4"/>
  <c r="C623" i="4" s="1"/>
  <c r="D81" i="7" s="1"/>
  <c r="C583" i="4"/>
  <c r="C502" i="4"/>
  <c r="C569" i="4"/>
  <c r="C549" i="4"/>
  <c r="C629" i="4" s="1"/>
  <c r="D87" i="7" s="1"/>
  <c r="C589" i="4"/>
  <c r="C213" i="4"/>
  <c r="C221" i="4"/>
  <c r="C222" i="4"/>
  <c r="C214" i="4"/>
  <c r="C225" i="4"/>
  <c r="C612" i="4" l="1"/>
  <c r="C654" i="4" s="1"/>
  <c r="E90" i="7" s="1"/>
  <c r="C410" i="4"/>
  <c r="C470" i="4"/>
  <c r="C490" i="4" s="1"/>
  <c r="C533" i="4"/>
  <c r="C553" i="4" s="1"/>
  <c r="C430" i="4"/>
  <c r="C450" i="4" s="1"/>
  <c r="C510" i="4" s="1"/>
  <c r="C604" i="4"/>
  <c r="C646" i="4" s="1"/>
  <c r="E82" i="7" s="1"/>
  <c r="C649" i="4"/>
  <c r="E85" i="7" s="1"/>
  <c r="C606" i="4"/>
  <c r="C648" i="4" s="1"/>
  <c r="E84" i="7" s="1"/>
  <c r="C610" i="4"/>
  <c r="C652" i="4" s="1"/>
  <c r="E88" i="7" s="1"/>
  <c r="C602" i="4"/>
  <c r="C644" i="4" s="1"/>
  <c r="E80" i="7" s="1"/>
  <c r="C609" i="4"/>
  <c r="C651" i="4" s="1"/>
  <c r="E87" i="7" s="1"/>
  <c r="C603" i="4"/>
  <c r="C645" i="4" s="1"/>
  <c r="E81" i="7" s="1"/>
  <c r="C605" i="4"/>
  <c r="C647" i="4" s="1"/>
  <c r="E83" i="7" s="1"/>
  <c r="C601" i="4"/>
  <c r="C643" i="4" s="1"/>
  <c r="E79" i="7" s="1"/>
  <c r="C248" i="4"/>
  <c r="C217" i="4"/>
  <c r="C247" i="4" s="1"/>
  <c r="C633" i="4" l="1"/>
  <c r="D91" i="7" s="1"/>
  <c r="C593" i="4"/>
  <c r="C573" i="4"/>
  <c r="C613" i="4" l="1"/>
  <c r="C655" i="4" s="1"/>
  <c r="E91" i="7" s="1"/>
  <c r="C36" i="2"/>
  <c r="G36" i="2" l="1"/>
  <c r="E94" i="7" s="1"/>
  <c r="B94" i="7"/>
  <c r="F36" i="2"/>
  <c r="E36" i="2"/>
  <c r="C94" i="7" s="1"/>
  <c r="C128" i="4" l="1"/>
  <c r="D94" i="7"/>
  <c r="D662" i="4"/>
  <c r="C148" i="4"/>
  <c r="C168" i="4" s="1"/>
  <c r="E191" i="4" l="1"/>
  <c r="C191" i="4"/>
  <c r="B60" i="7" s="1"/>
  <c r="F94" i="7"/>
  <c r="F110" i="7"/>
  <c r="C333" i="4"/>
  <c r="C373" i="4" s="1"/>
  <c r="C260" i="4"/>
  <c r="C227" i="4" l="1"/>
  <c r="C249" i="4" s="1"/>
  <c r="B16" i="7" s="1"/>
  <c r="B23" i="7" s="1"/>
  <c r="C47" i="7" s="1"/>
  <c r="C280" i="4"/>
  <c r="C60" i="7" s="1"/>
  <c r="B25" i="7"/>
  <c r="C519" i="4"/>
  <c r="C559" i="4" s="1"/>
  <c r="D60" i="7"/>
  <c r="C416" i="4"/>
  <c r="C436" i="4" s="1"/>
  <c r="C456" i="4"/>
  <c r="C476" i="4" s="1"/>
  <c r="C396" i="4"/>
  <c r="B77" i="7" l="1"/>
  <c r="C49" i="7"/>
  <c r="B49" i="7"/>
  <c r="C25" i="7"/>
  <c r="D49" i="7"/>
  <c r="C300" i="4"/>
  <c r="D47" i="7"/>
  <c r="C23" i="7"/>
  <c r="B47" i="7"/>
  <c r="C496" i="4"/>
  <c r="C579" i="4"/>
  <c r="C599" i="4" s="1"/>
  <c r="C539" i="4"/>
  <c r="C619" i="4" s="1"/>
  <c r="C320" i="4" l="1"/>
  <c r="C77" i="7"/>
  <c r="C641" i="4"/>
  <c r="C656" i="4" s="1"/>
  <c r="B19" i="7" s="1"/>
  <c r="C634" i="4"/>
  <c r="B18" i="7" s="1"/>
  <c r="D77" i="7"/>
  <c r="B17" i="7" l="1"/>
  <c r="B24" i="7" s="1"/>
  <c r="C48" i="7" s="1"/>
  <c r="C321" i="4"/>
  <c r="E77" i="7"/>
  <c r="B29" i="7" l="1"/>
  <c r="C53" i="7" s="1"/>
  <c r="D48" i="7"/>
  <c r="C24" i="7"/>
  <c r="B48" i="7"/>
  <c r="B31" i="7" l="1"/>
  <c r="C31" i="7" s="1"/>
  <c r="D53" i="7"/>
  <c r="D55" i="7" s="1"/>
  <c r="C29" i="7"/>
  <c r="B53" i="7"/>
  <c r="B55" i="7" l="1"/>
  <c r="C5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6" authorId="0" shapeId="0" xr:uid="{00000000-0006-0000-0400-000001000000}">
      <text>
        <r>
          <rPr>
            <sz val="11"/>
            <color theme="1"/>
            <rFont val="Calibri"/>
            <family val="2"/>
            <scheme val="minor"/>
          </rPr>
          <t>======
ID#AAABNHrO8RU
tc={363330BF-E7A5-4847-AF8C-21204AC792BE}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4 - Equations</t>
        </r>
      </text>
    </comment>
    <comment ref="A45" authorId="0" shapeId="0" xr:uid="{00000000-0006-0000-0400-000007000000}">
      <text>
        <r>
          <rPr>
            <sz val="11"/>
            <color theme="1"/>
            <rFont val="Calibri"/>
            <family val="2"/>
            <scheme val="minor"/>
          </rPr>
          <t>======
ID#AAABNHrO8RM
tc={FB33A167-01A7-4296-968E-B4993EAA6126}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5 - Equations</t>
        </r>
      </text>
    </comment>
    <comment ref="A76" authorId="0" shapeId="0" xr:uid="{00000000-0006-0000-0400-000002000000}">
      <text>
        <r>
          <rPr>
            <sz val="11"/>
            <color theme="1"/>
            <rFont val="Calibri"/>
            <family val="2"/>
            <scheme val="minor"/>
          </rPr>
          <t>======
ID#AAABNHrO8Rs
tc={34A48065-3C10-45CF-9CC1-EE13F0974B99}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6 - Equations</t>
        </r>
      </text>
    </comment>
    <comment ref="A95" authorId="0" shapeId="0" xr:uid="{00000000-0006-0000-0400-000003000000}">
      <text>
        <r>
          <rPr>
            <sz val="11"/>
            <color theme="1"/>
            <rFont val="Calibri"/>
            <family val="2"/>
            <scheme val="minor"/>
          </rPr>
          <t>======
ID#AAABNHrO8Rc
tc={CDA3E273-448F-4D26-AC86-EAC09BB623EF}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9 - Equations</t>
        </r>
      </text>
    </comment>
    <comment ref="A103" authorId="0" shapeId="0" xr:uid="{00000000-0006-0000-0400-000006000000}">
      <text>
        <r>
          <rPr>
            <sz val="11"/>
            <color theme="1"/>
            <rFont val="Calibri"/>
            <family val="2"/>
            <scheme val="minor"/>
          </rPr>
          <t>======
ID#AAABNHrO8Rg
tc={C780D8C6-97C5-48CF-8FFF-3D7D24F8D530}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14 - Equations</t>
        </r>
      </text>
    </comment>
    <comment ref="A144" authorId="0" shapeId="0" xr:uid="{00000000-0006-0000-0400-000009000000}">
      <text>
        <r>
          <rPr>
            <sz val="11"/>
            <color theme="1"/>
            <rFont val="Calibri"/>
            <family val="2"/>
            <scheme val="minor"/>
          </rPr>
          <t>======
ID#AAABNHrO8RQ
tc={21218ED5-E771-4EE7-A87C-ABA9E83F0856}    (2024-01-22 11:58:23)
[Comentário encadeado]
Sua versão do Excel permite que você leia este comentário encadeado, no entanto, as edições serão removidas se o arquivo for aberto em uma versão mais recente do Excel. Saiba mais: https://go.microsoft.com/fwlink/?linkid=870924
Comentário:
    B0 - Equation 16 - Equations
(EU x GE) - Equation 17 - Equations
ASH - Equation 17 - Equations</t>
        </r>
      </text>
    </comment>
    <comment ref="A175" authorId="0" shapeId="0" xr:uid="{00000000-0006-0000-0400-000004000000}">
      <text>
        <r>
          <rPr>
            <sz val="11"/>
            <color theme="1"/>
            <rFont val="Calibri"/>
            <family val="2"/>
            <scheme val="minor"/>
          </rPr>
          <t>======
ID#AAABNHrO8RY
tc={97032BAE-D624-486E-BBD8-19B7BC6F5F8E}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16 - Equations</t>
        </r>
      </text>
    </comment>
    <comment ref="A213" authorId="0" shapeId="0" xr:uid="{00000000-0006-0000-0400-000005000000}">
      <text>
        <r>
          <rPr>
            <sz val="11"/>
            <color theme="1"/>
            <rFont val="Calibri"/>
            <family val="2"/>
            <scheme val="minor"/>
          </rPr>
          <t>======
ID#AAABNHrO8Rw
tc={47E173AB-D080-47DB-AB87-7F7049CFFD3C}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18 - Equations</t>
        </r>
      </text>
    </comment>
    <comment ref="A249" authorId="0" shapeId="0" xr:uid="{00000000-0006-0000-0400-000008000000}">
      <text>
        <r>
          <rPr>
            <sz val="11"/>
            <color theme="1"/>
            <rFont val="Calibri"/>
            <family val="2"/>
            <scheme val="minor"/>
          </rPr>
          <t>======
ID#AAABNHrO8Rk
tc={28AF86A8-8068-4D9F-802D-4124ABF9DEFD}    (2024-01-22 11:58:23)
[Comentário encadeado]
Sua versão do Excel permite que você leia este comentário encadeado, no entanto, as edições serão removidas se o arquivo for aberto em uma versão mais recente do Excel. Saiba mais: https://go.microsoft.com/fwlink/?linkid=870924
Comentário:
    Equation 22
 - Equations</t>
        </r>
      </text>
    </comment>
  </commentList>
  <extLst>
    <ext xmlns:r="http://schemas.openxmlformats.org/officeDocument/2006/relationships" uri="GoogleSheetsCustomDataVersion2">
      <go:sheetsCustomData xmlns:go="http://customooxmlschemas.google.com/" r:id="rId1" roundtripDataSignature="AMtx7mimLSI80ILnRJBH6fOCqJ77SrrI4w=="/>
    </ext>
  </extLst>
</comments>
</file>

<file path=xl/sharedStrings.xml><?xml version="1.0" encoding="utf-8"?>
<sst xmlns="http://schemas.openxmlformats.org/spreadsheetml/2006/main" count="3330" uniqueCount="1222">
  <si>
    <t>DESCRIÇÃO</t>
  </si>
  <si>
    <t>Estado</t>
  </si>
  <si>
    <t xml:space="preserve">Bioma </t>
  </si>
  <si>
    <t xml:space="preserve">Mata Atlântica </t>
  </si>
  <si>
    <t>Sistema de produção (principal)</t>
  </si>
  <si>
    <t>Recuperação e manejo sustentável da pastagem</t>
  </si>
  <si>
    <t>Área (própria + arrendada em hectare)</t>
  </si>
  <si>
    <t>Área pasto (própria + arrendada em hectare)</t>
  </si>
  <si>
    <t>Área produção de alimentos (própria + arrendada em hectare)</t>
  </si>
  <si>
    <t>Taxa média de lotação (UA/ha)</t>
  </si>
  <si>
    <t>Há venda de animais para outra propriedade?</t>
  </si>
  <si>
    <t>Sim</t>
  </si>
  <si>
    <t>Há compra de animais de outra propriedade?</t>
  </si>
  <si>
    <t>Não</t>
  </si>
  <si>
    <t>Raça predominante</t>
  </si>
  <si>
    <t>Categoria</t>
  </si>
  <si>
    <t>Número de animais produzidos</t>
  </si>
  <si>
    <t>Número de animais comprados</t>
  </si>
  <si>
    <t>Peso médio (kg)</t>
  </si>
  <si>
    <t>Ganho de peso médio diário  (kg/dia)</t>
  </si>
  <si>
    <t>Produção de leite (kg/animal/dia)</t>
  </si>
  <si>
    <t>Produção de leite na lactação (kg/animal/ano)</t>
  </si>
  <si>
    <t>Bezerros até 1 ano (inteiros)</t>
  </si>
  <si>
    <t>Bezerros até 1 ano (castrados)</t>
  </si>
  <si>
    <t>Bezerras até 1 ano</t>
  </si>
  <si>
    <t>Novilhos de 1 a 2 anos (inteiros)</t>
  </si>
  <si>
    <t>Novilhos de 1 a 2 anos (castrados)</t>
  </si>
  <si>
    <t xml:space="preserve">Novilhas de 1 a 2 anos </t>
  </si>
  <si>
    <t>Novilhos &gt; 2 anos (inteiros - não confinados)</t>
  </si>
  <si>
    <t>Novilhos &gt; 2 anos (castrados - não confinados)</t>
  </si>
  <si>
    <t>Novilhas &gt; 2 anos (não confinadas)</t>
  </si>
  <si>
    <t>Novilhos &gt; 2 anos (inteiros - confinados)</t>
  </si>
  <si>
    <t>Novilhos &gt; 2 anos (castrados - confinados)</t>
  </si>
  <si>
    <t xml:space="preserve">Novilhas &gt; 2 anos (confinadas) </t>
  </si>
  <si>
    <t>Vacas não lactantes (secas)</t>
  </si>
  <si>
    <t xml:space="preserve">Vacas lactantes </t>
  </si>
  <si>
    <t xml:space="preserve">Touros </t>
  </si>
  <si>
    <t>Sistema de produção (detalhamento)</t>
  </si>
  <si>
    <t>Situação alimentar</t>
  </si>
  <si>
    <t>Uso de aditivos</t>
  </si>
  <si>
    <t>A pasto</t>
  </si>
  <si>
    <t>Pastando grandes áreas</t>
  </si>
  <si>
    <t xml:space="preserve">&gt; 75% de forragem </t>
  </si>
  <si>
    <t>Manejo de dejetos 1</t>
  </si>
  <si>
    <t>% do dejeto  manejado 1</t>
  </si>
  <si>
    <t>Manejo de dejetos 2</t>
  </si>
  <si>
    <t>% do dejeto  manejado 2</t>
  </si>
  <si>
    <t>Manejo de dejetos 3</t>
  </si>
  <si>
    <t>% do dejeto  manejado 3</t>
  </si>
  <si>
    <t>Pastagem/área de pastoreio/piquete</t>
  </si>
  <si>
    <t xml:space="preserve">Quantidade </t>
  </si>
  <si>
    <t xml:space="preserve">Descrição                                  </t>
  </si>
  <si>
    <t>Tipo</t>
  </si>
  <si>
    <t>Consumo</t>
  </si>
  <si>
    <t>Área (hectares)</t>
  </si>
  <si>
    <t>Situação da área atual</t>
  </si>
  <si>
    <t>Vegetação natural</t>
  </si>
  <si>
    <t>Espécie</t>
  </si>
  <si>
    <t>Densidade (árvores/hectares)</t>
  </si>
  <si>
    <t>Total de árvores</t>
  </si>
  <si>
    <t>PRODUÇÃO E AQUISIÇÃO DE ALIMENTOS</t>
  </si>
  <si>
    <t>Ingredientes</t>
  </si>
  <si>
    <t>Novilhas de 1 a 2 anos</t>
  </si>
  <si>
    <t>Novilhas &gt; 2 anos (confinadas)</t>
  </si>
  <si>
    <t xml:space="preserve">Vacas não lactantes </t>
  </si>
  <si>
    <t>Período</t>
  </si>
  <si>
    <t>Mês</t>
  </si>
  <si>
    <t>Quantidade MO                     (kg MO)</t>
  </si>
  <si>
    <t>Quantidade MS              (kg MS)</t>
  </si>
  <si>
    <t>%MS</t>
  </si>
  <si>
    <t>%PB</t>
  </si>
  <si>
    <t>%DIG</t>
  </si>
  <si>
    <t>Quantidade MO               (kg MO)</t>
  </si>
  <si>
    <t>Quantidade MS                     (kg MS)</t>
  </si>
  <si>
    <t>Quantidade MO                      (kg MO)</t>
  </si>
  <si>
    <t>Quantidade MS               (kg MS)</t>
  </si>
  <si>
    <t>Quantidade MO              (kg MO)</t>
  </si>
  <si>
    <t>Quantidade MS                (kg MS)</t>
  </si>
  <si>
    <t>Quantidade MO                (kg MO)</t>
  </si>
  <si>
    <t>Quantidade MS                  (kg MS)</t>
  </si>
  <si>
    <t>Quantidade MO             (kg MO)</t>
  </si>
  <si>
    <t>Quantidade MS             (kg MS)</t>
  </si>
  <si>
    <t>Quantidade de MS             (kg MS)</t>
  </si>
  <si>
    <t>Quantidade MS          (kg MS)</t>
  </si>
  <si>
    <t>Quantidade MS                 (kg MS)</t>
  </si>
  <si>
    <t>Quantidade MO                              (kg MO)</t>
  </si>
  <si>
    <t>Quantidade MO                        (kg MO)</t>
  </si>
  <si>
    <t>Quantidade MS                       (kg MS)</t>
  </si>
  <si>
    <t>Quantidade MO                 (kg MO)</t>
  </si>
  <si>
    <t>Quantidade MO (kg MO)</t>
  </si>
  <si>
    <t>Quantidade MS (kg MS)</t>
  </si>
  <si>
    <t>Farelo de soja</t>
  </si>
  <si>
    <t>Milho moído grosso (quirera)</t>
  </si>
  <si>
    <t>Farelo de trigo</t>
  </si>
  <si>
    <t>Casca de soja</t>
  </si>
  <si>
    <t>Silagem de milho</t>
  </si>
  <si>
    <t>Dieta total</t>
  </si>
  <si>
    <t>Alimentos / Nutrientes</t>
  </si>
  <si>
    <t>MS (%)</t>
  </si>
  <si>
    <t>PB (%)</t>
  </si>
  <si>
    <t>DIG (%)</t>
  </si>
  <si>
    <t>(kg CO2 eq/un)</t>
  </si>
  <si>
    <t>Situação Alimentar</t>
  </si>
  <si>
    <t>Sistema de produção</t>
  </si>
  <si>
    <t>Bioma</t>
  </si>
  <si>
    <t>Situação do pasto/cultura há 20 anos</t>
  </si>
  <si>
    <t>Tipo de dieta</t>
  </si>
  <si>
    <t xml:space="preserve">Manejo de dejetos </t>
  </si>
  <si>
    <t>Período Alimentos</t>
  </si>
  <si>
    <t>Matriz de transição</t>
  </si>
  <si>
    <t>Pasto</t>
  </si>
  <si>
    <t>Estabulado</t>
  </si>
  <si>
    <t>Confinado</t>
  </si>
  <si>
    <t>Amazônia</t>
  </si>
  <si>
    <t>Degradado</t>
  </si>
  <si>
    <t>Confinamento (0 a 15% de forragem)</t>
  </si>
  <si>
    <t>Armazenamento sólido</t>
  </si>
  <si>
    <t>Dia</t>
  </si>
  <si>
    <t>Semiconfinado</t>
  </si>
  <si>
    <t>Integração - Lavoura - Pecuária</t>
  </si>
  <si>
    <t>Caatinga</t>
  </si>
  <si>
    <t>Alta lotação</t>
  </si>
  <si>
    <t>Confinamento (Milho flocado à vapor - 0 a 15% de forragem)</t>
  </si>
  <si>
    <t>Compostagem pilha estática (aeração forçada)</t>
  </si>
  <si>
    <t>Pastagem degradada</t>
  </si>
  <si>
    <t>Integração - Lavoura - Pecuária - Floresta</t>
  </si>
  <si>
    <t>Cerrado</t>
  </si>
  <si>
    <t>Baixa lotação</t>
  </si>
  <si>
    <t>Biodigestor (alta tecnologia)</t>
  </si>
  <si>
    <t>Ano</t>
  </si>
  <si>
    <t>Pastagem média produtividade</t>
  </si>
  <si>
    <t>Integração</t>
  </si>
  <si>
    <t>Biodigestor (convencional)</t>
  </si>
  <si>
    <t>Pastagem alta produtividade</t>
  </si>
  <si>
    <t>Pampa</t>
  </si>
  <si>
    <t>Irrigado</t>
  </si>
  <si>
    <t>Espalhamento diário</t>
  </si>
  <si>
    <t xml:space="preserve">Pantanal </t>
  </si>
  <si>
    <t>Lagoa anaeróbica descoberta</t>
  </si>
  <si>
    <t>Lote seco</t>
  </si>
  <si>
    <t>Sistema de gerenciamento com cama apresentando mistura</t>
  </si>
  <si>
    <t xml:space="preserve">Tratamento aeróbico </t>
  </si>
  <si>
    <t>Caroço de algodão</t>
  </si>
  <si>
    <t>Casca de algodão</t>
  </si>
  <si>
    <t>Farelo de arroz</t>
  </si>
  <si>
    <t>Farelo de algodão (28% PB)</t>
  </si>
  <si>
    <t>Farelo de algodão (38% PB)</t>
  </si>
  <si>
    <t>Farelo de amendoim</t>
  </si>
  <si>
    <t>Milho glúten (60 PB%)</t>
  </si>
  <si>
    <t>Grão úmidos de destilaria (WDG)</t>
  </si>
  <si>
    <t>Grãos secos de destilaria (DDG)</t>
  </si>
  <si>
    <t>Milho moído fino (fubá)</t>
  </si>
  <si>
    <t>Milho reidratado</t>
  </si>
  <si>
    <t>Polpa cítrica (peletizada)</t>
  </si>
  <si>
    <t>Refinasil (resíduo milho)</t>
  </si>
  <si>
    <t>Resíduo de soja</t>
  </si>
  <si>
    <t>Soja (grão)</t>
  </si>
  <si>
    <t>Sorgo (grão)</t>
  </si>
  <si>
    <t>Ureia</t>
  </si>
  <si>
    <t>Briquete de algodão</t>
  </si>
  <si>
    <t>Cana de açúcar recém picada</t>
  </si>
  <si>
    <t>Feno alfafa</t>
  </si>
  <si>
    <t>Pré-secado azevém</t>
  </si>
  <si>
    <t>Silagem capiaçu</t>
  </si>
  <si>
    <t>Silagem de cana</t>
  </si>
  <si>
    <t>Silagem de milheto</t>
  </si>
  <si>
    <t>Silagem de sorgo</t>
  </si>
  <si>
    <t>Leite integral</t>
  </si>
  <si>
    <t>Leite em pó bezerro (sucedâneo)</t>
  </si>
  <si>
    <t>Sal mineral comum</t>
  </si>
  <si>
    <t>LIVESTOCK</t>
  </si>
  <si>
    <t xml:space="preserve">GROSS ENERGY </t>
  </si>
  <si>
    <t>Equação 2 = Energia líquida da mantença (NEm)</t>
  </si>
  <si>
    <t xml:space="preserve"> NEm = Cfi×PV^0,75</t>
  </si>
  <si>
    <t xml:space="preserve">Categorias </t>
  </si>
  <si>
    <t>Resultado</t>
  </si>
  <si>
    <t>Unidade de medida</t>
  </si>
  <si>
    <t>Males calves up to 1 year (entire)</t>
  </si>
  <si>
    <t xml:space="preserve">MJ/dia </t>
  </si>
  <si>
    <t>Males calves up to 1 year (castrated)</t>
  </si>
  <si>
    <t>Females calves up to 1 year</t>
  </si>
  <si>
    <t>Steers 1 to 2 years old (entire)</t>
  </si>
  <si>
    <t>Steers 1 to 2 years old (castrated)</t>
  </si>
  <si>
    <t>Heifers 1 to 2 years old</t>
  </si>
  <si>
    <t>Steers &gt; 2 years old (entire - non-confined)</t>
  </si>
  <si>
    <t>Steers &gt; 2 years old (castrated - non-confined)</t>
  </si>
  <si>
    <t>Heifers &gt; 2 years old (non-confined)</t>
  </si>
  <si>
    <t>Steers &gt; 2 years old (entire - confined)</t>
  </si>
  <si>
    <t>Steers &gt; 2 years old (castrated - confined)</t>
  </si>
  <si>
    <t>Heifers &gt; 2 years old (confined)</t>
  </si>
  <si>
    <t>Non-lactating cows</t>
  </si>
  <si>
    <t>Lactating cows</t>
  </si>
  <si>
    <t>Bulls</t>
  </si>
  <si>
    <t>Equação 3 = Energia líquida da atividade (NEa)</t>
  </si>
  <si>
    <t>NEa = Ca x NEm</t>
  </si>
  <si>
    <t>Equação 4 = Energia líquida do crescimento (NEg)</t>
  </si>
  <si>
    <t>NEg = 22,02 x (BW/(C x MW))^0,75 x WG^1,097</t>
  </si>
  <si>
    <t>Equação 5 = Energia líquida para lactação (NEl)</t>
  </si>
  <si>
    <t>NEl = Milk x (1,47 + 0,40 x Fat)</t>
  </si>
  <si>
    <t>Equação 6 = Energia líquida para trabalho (NEwork)</t>
  </si>
  <si>
    <t>NEwork = 0,10 x NEm x Hours</t>
  </si>
  <si>
    <r>
      <rPr>
        <b/>
        <sz val="11"/>
        <color theme="1"/>
        <rFont val="Calibri"/>
        <family val="2"/>
      </rPr>
      <t>Equação 7 = Energia líquida para gestação</t>
    </r>
    <r>
      <rPr>
        <sz val="11"/>
        <color theme="1"/>
        <rFont val="Calibri"/>
        <family val="2"/>
      </rPr>
      <t xml:space="preserve"> </t>
    </r>
    <r>
      <rPr>
        <b/>
        <sz val="11"/>
        <color theme="1"/>
        <rFont val="Calibri"/>
        <family val="2"/>
      </rPr>
      <t>(NEp)</t>
    </r>
  </si>
  <si>
    <t>NEp = Cpregnancy x NEm</t>
  </si>
  <si>
    <t>Equação 8 = Taxa de energia líquida utilizada para mantença (REM)</t>
  </si>
  <si>
    <t>REM = [1,123 – (4,092 x 10^-3 x DE) + [1,126 x 10^-5 x (DE)^2] – (25,4/DE)]</t>
  </si>
  <si>
    <t>Equação 9 = Taxa de energia líquida utilizada para crescimento (REG)</t>
  </si>
  <si>
    <t>REG = [1,164 – (5,16 x 10^-3 x DE) + [1,308 x 10^-5 x (DE)^2] – (37,4/DE)]</t>
  </si>
  <si>
    <t>Equação 1 = Ingestão da energia bruta (GE)</t>
  </si>
  <si>
    <t>GE = ((NEm + NEa + NEl + NEwork + NEp)/REM) + (NEg/REG))/(DE/100)</t>
  </si>
  <si>
    <t>ENTERIC FERMENTATION</t>
  </si>
  <si>
    <t>Equação 10 = Fator de emissão (EF)</t>
  </si>
  <si>
    <t>EF(T) = (GE x (Ym/100) x 365)/55,65</t>
  </si>
  <si>
    <t>Equação 11 = Emissão metano entérico por categoria  (Emissions CH4 Enteric)</t>
  </si>
  <si>
    <r>
      <rPr>
        <b/>
        <sz val="11"/>
        <color theme="1"/>
        <rFont val="Calibri"/>
        <family val="2"/>
      </rPr>
      <t>Emissions CH4 Enteric = ∑</t>
    </r>
    <r>
      <rPr>
        <b/>
        <vertAlign val="subscript"/>
        <sz val="11"/>
        <color theme="1"/>
        <rFont val="Calibri"/>
        <family val="2"/>
      </rPr>
      <t>(P)</t>
    </r>
    <r>
      <rPr>
        <b/>
        <sz val="11"/>
        <color theme="1"/>
        <rFont val="Calibri"/>
        <family val="2"/>
      </rPr>
      <t xml:space="preserve"> EF</t>
    </r>
    <r>
      <rPr>
        <b/>
        <vertAlign val="subscript"/>
        <sz val="11"/>
        <color theme="1"/>
        <rFont val="Calibri"/>
        <family val="2"/>
      </rPr>
      <t>(T,P)</t>
    </r>
    <r>
      <rPr>
        <b/>
        <sz val="11"/>
        <color theme="1"/>
        <rFont val="Calibri"/>
        <family val="2"/>
      </rPr>
      <t xml:space="preserve"> x (N</t>
    </r>
    <r>
      <rPr>
        <b/>
        <vertAlign val="subscript"/>
        <sz val="11"/>
        <color theme="1"/>
        <rFont val="Calibri"/>
        <family val="2"/>
      </rPr>
      <t>(T,P)</t>
    </r>
    <r>
      <rPr>
        <b/>
        <sz val="11"/>
        <color theme="1"/>
        <rFont val="Calibri"/>
        <family val="2"/>
      </rPr>
      <t>/10</t>
    </r>
    <r>
      <rPr>
        <b/>
        <vertAlign val="superscript"/>
        <sz val="11"/>
        <color theme="1"/>
        <rFont val="Calibri"/>
        <family val="2"/>
      </rPr>
      <t>6</t>
    </r>
    <r>
      <rPr>
        <b/>
        <sz val="11"/>
        <color theme="1"/>
        <rFont val="Calibri"/>
        <family val="2"/>
      </rPr>
      <t>)</t>
    </r>
  </si>
  <si>
    <t>Bezerros em aleitamento</t>
  </si>
  <si>
    <r>
      <rPr>
        <sz val="11"/>
        <color theme="1"/>
        <rFont val="Calibri"/>
        <family val="2"/>
      </rPr>
      <t>Gg CH</t>
    </r>
    <r>
      <rPr>
        <vertAlign val="subscript"/>
        <sz val="11"/>
        <color theme="1"/>
        <rFont val="Calibri"/>
        <family val="2"/>
      </rPr>
      <t>4</t>
    </r>
    <r>
      <rPr>
        <sz val="11"/>
        <color theme="1"/>
        <rFont val="Calibri"/>
        <family val="2"/>
      </rPr>
      <t xml:space="preserve">/ano </t>
    </r>
  </si>
  <si>
    <t xml:space="preserve">Bezerras em aleitamento </t>
  </si>
  <si>
    <r>
      <rPr>
        <sz val="11"/>
        <color theme="1"/>
        <rFont val="Calibri"/>
        <family val="2"/>
      </rPr>
      <t>Gg CH</t>
    </r>
    <r>
      <rPr>
        <vertAlign val="subscript"/>
        <sz val="11"/>
        <color theme="1"/>
        <rFont val="Calibri"/>
        <family val="2"/>
      </rPr>
      <t>4</t>
    </r>
    <r>
      <rPr>
        <sz val="11"/>
        <color theme="1"/>
        <rFont val="Calibri"/>
        <family val="2"/>
      </rPr>
      <t xml:space="preserve">/ano </t>
    </r>
  </si>
  <si>
    <t xml:space="preserve">Bezerras desmamadas </t>
  </si>
  <si>
    <r>
      <rPr>
        <sz val="11"/>
        <color theme="1"/>
        <rFont val="Calibri"/>
        <family val="2"/>
      </rPr>
      <t>Gg CH</t>
    </r>
    <r>
      <rPr>
        <vertAlign val="subscript"/>
        <sz val="11"/>
        <color theme="1"/>
        <rFont val="Calibri"/>
        <family val="2"/>
      </rPr>
      <t>4</t>
    </r>
    <r>
      <rPr>
        <sz val="11"/>
        <color theme="1"/>
        <rFont val="Calibri"/>
        <family val="2"/>
      </rPr>
      <t xml:space="preserve">/ano </t>
    </r>
  </si>
  <si>
    <t xml:space="preserve">Novilhas </t>
  </si>
  <si>
    <r>
      <rPr>
        <sz val="11"/>
        <color theme="1"/>
        <rFont val="Calibri"/>
        <family val="2"/>
      </rPr>
      <t>Gg CH</t>
    </r>
    <r>
      <rPr>
        <vertAlign val="subscript"/>
        <sz val="11"/>
        <color theme="1"/>
        <rFont val="Calibri"/>
        <family val="2"/>
      </rPr>
      <t>4</t>
    </r>
    <r>
      <rPr>
        <sz val="11"/>
        <color theme="1"/>
        <rFont val="Calibri"/>
        <family val="2"/>
      </rPr>
      <t xml:space="preserve">/ano </t>
    </r>
  </si>
  <si>
    <r>
      <rPr>
        <sz val="11"/>
        <color theme="1"/>
        <rFont val="Calibri"/>
        <family val="2"/>
      </rPr>
      <t>Gg CH</t>
    </r>
    <r>
      <rPr>
        <vertAlign val="subscript"/>
        <sz val="11"/>
        <color theme="1"/>
        <rFont val="Calibri"/>
        <family val="2"/>
      </rPr>
      <t>4</t>
    </r>
    <r>
      <rPr>
        <sz val="11"/>
        <color theme="1"/>
        <rFont val="Calibri"/>
        <family val="2"/>
      </rPr>
      <t xml:space="preserve">/ano </t>
    </r>
  </si>
  <si>
    <r>
      <rPr>
        <sz val="11"/>
        <color theme="1"/>
        <rFont val="Calibri"/>
        <family val="2"/>
      </rPr>
      <t>Gg CH</t>
    </r>
    <r>
      <rPr>
        <vertAlign val="subscript"/>
        <sz val="11"/>
        <color theme="1"/>
        <rFont val="Calibri"/>
        <family val="2"/>
      </rPr>
      <t>4</t>
    </r>
    <r>
      <rPr>
        <sz val="11"/>
        <color theme="1"/>
        <rFont val="Calibri"/>
        <family val="2"/>
      </rPr>
      <t xml:space="preserve">/ano </t>
    </r>
  </si>
  <si>
    <r>
      <rPr>
        <sz val="11"/>
        <color theme="1"/>
        <rFont val="Calibri"/>
        <family val="2"/>
      </rPr>
      <t>Gg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</si>
  <si>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</si>
  <si>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</si>
  <si>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</si>
  <si>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</si>
  <si>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</si>
  <si>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</si>
  <si>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</si>
  <si>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t xml:space="preserve"> Emissão metano entérico total (Total CH4 Enteric)</t>
  </si>
  <si>
    <r>
      <rPr>
        <b/>
        <sz val="11"/>
        <color theme="1"/>
        <rFont val="Calibri"/>
        <family val="2"/>
      </rPr>
      <t>Total CH4Enteric = Ʃ</t>
    </r>
    <r>
      <rPr>
        <b/>
        <vertAlign val="subscript"/>
        <sz val="11"/>
        <color theme="1"/>
        <rFont val="Calibri"/>
        <family val="2"/>
      </rPr>
      <t>i,P</t>
    </r>
    <r>
      <rPr>
        <b/>
        <sz val="11"/>
        <color theme="1"/>
        <rFont val="Calibri"/>
        <family val="2"/>
      </rPr>
      <t xml:space="preserve"> E</t>
    </r>
    <r>
      <rPr>
        <b/>
        <vertAlign val="subscript"/>
        <sz val="11"/>
        <color theme="1"/>
        <rFont val="Calibri"/>
        <family val="2"/>
      </rPr>
      <t>i</t>
    </r>
    <r>
      <rPr>
        <b/>
        <sz val="11"/>
        <color theme="1"/>
        <rFont val="Calibri"/>
        <family val="2"/>
      </rPr>
      <t xml:space="preserve">, </t>
    </r>
    <r>
      <rPr>
        <b/>
        <vertAlign val="subscript"/>
        <sz val="11"/>
        <color theme="1"/>
        <rFont val="Calibri"/>
        <family val="2"/>
      </rPr>
      <t>P</t>
    </r>
  </si>
  <si>
    <t>Propriedade</t>
  </si>
  <si>
    <t>Total</t>
  </si>
  <si>
    <r>
      <rPr>
        <sz val="11"/>
        <color theme="1"/>
        <rFont val="Calibri"/>
        <family val="2"/>
      </rPr>
      <t>Gg CH</t>
    </r>
    <r>
      <rPr>
        <vertAlign val="subscript"/>
        <sz val="11"/>
        <color theme="1"/>
        <rFont val="Calibri"/>
        <family val="2"/>
      </rPr>
      <t>4</t>
    </r>
    <r>
      <rPr>
        <sz val="11"/>
        <color theme="1"/>
        <rFont val="Calibri"/>
        <family val="2"/>
      </rPr>
      <t xml:space="preserve">/ano </t>
    </r>
  </si>
  <si>
    <r>
      <rPr>
        <sz val="11"/>
        <color theme="1"/>
        <rFont val="Calibri"/>
        <family val="2"/>
      </rPr>
      <t>Ton CH</t>
    </r>
    <r>
      <rPr>
        <vertAlign val="subscript"/>
        <sz val="11"/>
        <color theme="1"/>
        <rFont val="Calibri"/>
        <family val="2"/>
      </rPr>
      <t>4</t>
    </r>
    <r>
      <rPr>
        <sz val="11"/>
        <color theme="1"/>
        <rFont val="Calibri"/>
        <family val="2"/>
      </rPr>
      <t xml:space="preserve">/ano </t>
    </r>
  </si>
  <si>
    <t xml:space="preserve">Nova nomenclatura </t>
  </si>
  <si>
    <r>
      <rPr>
        <sz val="11"/>
        <color theme="1"/>
        <rFont val="Calibri"/>
        <family val="2"/>
      </rPr>
      <t>Total CH</t>
    </r>
    <r>
      <rPr>
        <vertAlign val="subscript"/>
        <sz val="11"/>
        <color theme="1"/>
        <rFont val="Calibri"/>
        <family val="2"/>
      </rPr>
      <t>4 enteric</t>
    </r>
  </si>
  <si>
    <t>MANURE MANAGEMENT</t>
  </si>
  <si>
    <r>
      <rPr>
        <b/>
        <sz val="11"/>
        <color theme="0"/>
        <rFont val="Calibri"/>
        <family val="2"/>
      </rPr>
      <t>CH</t>
    </r>
    <r>
      <rPr>
        <b/>
        <vertAlign val="subscript"/>
        <sz val="11"/>
        <color theme="0"/>
        <rFont val="Calibri"/>
        <family val="2"/>
      </rPr>
      <t>4</t>
    </r>
    <r>
      <rPr>
        <b/>
        <sz val="11"/>
        <color theme="0"/>
        <rFont val="Calibri"/>
        <family val="2"/>
      </rPr>
      <t xml:space="preserve"> emissions</t>
    </r>
  </si>
  <si>
    <t>Equação 15 = Sólidos voláteis (VS)</t>
  </si>
  <si>
    <t>VS =[GE ×  (1- (DE/100))  + (UE ×  GE)]×  [(1- ASH)/18,45]</t>
  </si>
  <si>
    <t xml:space="preserve">kg VS/dia </t>
  </si>
  <si>
    <r>
      <rPr>
        <b/>
        <sz val="11"/>
        <color theme="1"/>
        <rFont val="Calibri"/>
        <family val="2"/>
      </rPr>
      <t>Equação 14 = Fator de emissão CH</t>
    </r>
    <r>
      <rPr>
        <b/>
        <vertAlign val="subscript"/>
        <sz val="11"/>
        <color theme="1"/>
        <rFont val="Calibri"/>
        <family val="2"/>
      </rPr>
      <t>4</t>
    </r>
    <r>
      <rPr>
        <b/>
        <sz val="11"/>
        <color theme="1"/>
        <rFont val="Calibri"/>
        <family val="2"/>
      </rPr>
      <t xml:space="preserve"> dejetos (EF</t>
    </r>
    <r>
      <rPr>
        <b/>
        <vertAlign val="subscript"/>
        <sz val="11"/>
        <color theme="1"/>
        <rFont val="Calibri"/>
        <family val="2"/>
      </rPr>
      <t>manure</t>
    </r>
    <r>
      <rPr>
        <b/>
        <sz val="11"/>
        <color theme="1"/>
        <rFont val="Calibri"/>
        <family val="2"/>
      </rPr>
      <t>)</t>
    </r>
  </si>
  <si>
    <r>
      <rPr>
        <b/>
        <sz val="11"/>
        <color theme="1"/>
        <rFont val="Calibri"/>
        <family val="2"/>
      </rPr>
      <t>EF</t>
    </r>
    <r>
      <rPr>
        <b/>
        <vertAlign val="subscript"/>
        <sz val="11"/>
        <color theme="1"/>
        <rFont val="Calibri"/>
        <family val="2"/>
      </rPr>
      <t>manure(T)</t>
    </r>
    <r>
      <rPr>
        <b/>
        <sz val="11"/>
        <color theme="1"/>
        <rFont val="Calibri"/>
        <family val="2"/>
      </rPr>
      <t>=(VS</t>
    </r>
    <r>
      <rPr>
        <b/>
        <vertAlign val="subscript"/>
        <sz val="11"/>
        <color theme="1"/>
        <rFont val="Calibri"/>
        <family val="2"/>
      </rPr>
      <t>(T)</t>
    </r>
    <r>
      <rPr>
        <b/>
        <sz val="11"/>
        <color theme="1"/>
        <rFont val="Calibri"/>
        <family val="2"/>
      </rPr>
      <t xml:space="preserve"> × 365)×[B0</t>
    </r>
    <r>
      <rPr>
        <b/>
        <vertAlign val="subscript"/>
        <sz val="11"/>
        <color theme="1"/>
        <rFont val="Calibri"/>
        <family val="2"/>
      </rPr>
      <t>(T)</t>
    </r>
    <r>
      <rPr>
        <b/>
        <sz val="11"/>
        <color theme="1"/>
        <rFont val="Calibri"/>
        <family val="2"/>
      </rPr>
      <t xml:space="preserve"> × 0,67 × ∑</t>
    </r>
    <r>
      <rPr>
        <b/>
        <vertAlign val="subscript"/>
        <sz val="11"/>
        <color theme="1"/>
        <rFont val="Calibri"/>
        <family val="2"/>
      </rPr>
      <t>(S,k)(</t>
    </r>
    <r>
      <rPr>
        <b/>
        <sz val="11"/>
        <color theme="1"/>
        <rFont val="Calibri"/>
        <family val="2"/>
      </rPr>
      <t>(MCF</t>
    </r>
    <r>
      <rPr>
        <b/>
        <vertAlign val="subscript"/>
        <sz val="11"/>
        <color theme="1"/>
        <rFont val="Calibri"/>
        <family val="2"/>
      </rPr>
      <t>(S,K)</t>
    </r>
    <r>
      <rPr>
        <b/>
        <sz val="11"/>
        <color theme="1"/>
        <rFont val="Calibri"/>
        <family val="2"/>
      </rPr>
      <t>/100) × AWMS</t>
    </r>
    <r>
      <rPr>
        <b/>
        <vertAlign val="subscript"/>
        <sz val="11"/>
        <color theme="1"/>
        <rFont val="Calibri"/>
        <family val="2"/>
      </rPr>
      <t>(T,S,k)</t>
    </r>
    <r>
      <rPr>
        <b/>
        <sz val="11"/>
        <color theme="1"/>
        <rFont val="Calibri"/>
        <family val="2"/>
      </rPr>
      <t>)]</t>
    </r>
  </si>
  <si>
    <r>
      <rPr>
        <b/>
        <sz val="11"/>
        <color theme="1"/>
        <rFont val="Calibri"/>
        <family val="2"/>
      </rPr>
      <t>Equação 13 = Emissão de CH</t>
    </r>
    <r>
      <rPr>
        <b/>
        <vertAlign val="subscript"/>
        <sz val="11"/>
        <color theme="1"/>
        <rFont val="Calibri"/>
        <family val="2"/>
      </rPr>
      <t>4</t>
    </r>
    <r>
      <rPr>
        <b/>
        <sz val="11"/>
        <color theme="1"/>
        <rFont val="Calibri"/>
        <family val="2"/>
      </rPr>
      <t xml:space="preserve"> do manejo de dejetos (EmissionsCH</t>
    </r>
    <r>
      <rPr>
        <b/>
        <vertAlign val="subscript"/>
        <sz val="11"/>
        <color theme="1"/>
        <rFont val="Calibri"/>
        <family val="2"/>
      </rPr>
      <t>₄manure</t>
    </r>
    <r>
      <rPr>
        <b/>
        <sz val="11"/>
        <color theme="1"/>
        <rFont val="Calibri"/>
        <family val="2"/>
      </rPr>
      <t>)</t>
    </r>
  </si>
  <si>
    <r>
      <rPr>
        <b/>
        <sz val="11"/>
        <color theme="1"/>
        <rFont val="Calibri"/>
        <family val="2"/>
      </rPr>
      <t>EmissionsCH₄</t>
    </r>
    <r>
      <rPr>
        <b/>
        <vertAlign val="subscript"/>
        <sz val="11"/>
        <color theme="1"/>
        <rFont val="Calibri"/>
        <family val="2"/>
      </rPr>
      <t>manure</t>
    </r>
    <r>
      <rPr>
        <b/>
        <sz val="11"/>
        <color theme="1"/>
        <rFont val="Calibri"/>
        <family val="2"/>
      </rPr>
      <t xml:space="preserve"> = (N</t>
    </r>
    <r>
      <rPr>
        <b/>
        <vertAlign val="subscript"/>
        <sz val="11"/>
        <color theme="1"/>
        <rFont val="Calibri"/>
        <family val="2"/>
      </rPr>
      <t>(T, S)</t>
    </r>
    <r>
      <rPr>
        <b/>
        <sz val="11"/>
        <color theme="1"/>
        <rFont val="Calibri"/>
        <family val="2"/>
      </rPr>
      <t xml:space="preserve"> x EF</t>
    </r>
    <r>
      <rPr>
        <b/>
        <vertAlign val="subscript"/>
        <sz val="11"/>
        <color theme="1"/>
        <rFont val="Calibri"/>
        <family val="2"/>
      </rPr>
      <t>(T, S, P)</t>
    </r>
    <r>
      <rPr>
        <b/>
        <sz val="11"/>
        <color theme="1"/>
        <rFont val="Calibri"/>
        <family val="2"/>
      </rPr>
      <t>)</t>
    </r>
  </si>
  <si>
    <r>
      <rPr>
        <sz val="11"/>
        <color theme="1"/>
        <rFont val="Calibri"/>
        <family val="2"/>
      </rPr>
      <t>Total CH</t>
    </r>
    <r>
      <rPr>
        <vertAlign val="subscript"/>
        <sz val="11"/>
        <color theme="1"/>
        <rFont val="Calibri"/>
        <family val="2"/>
      </rPr>
      <t>4manure</t>
    </r>
  </si>
  <si>
    <r>
      <rPr>
        <b/>
        <sz val="11"/>
        <color theme="0"/>
        <rFont val="Calibri"/>
        <family val="2"/>
      </rPr>
      <t>N</t>
    </r>
    <r>
      <rPr>
        <b/>
        <vertAlign val="subscript"/>
        <sz val="11"/>
        <color theme="0"/>
        <rFont val="Calibri"/>
        <family val="2"/>
      </rPr>
      <t>2</t>
    </r>
    <r>
      <rPr>
        <b/>
        <sz val="11"/>
        <color theme="0"/>
        <rFont val="Calibri"/>
        <family val="2"/>
      </rPr>
      <t>O emissions</t>
    </r>
  </si>
  <si>
    <r>
      <rPr>
        <b/>
        <sz val="11"/>
        <color theme="0"/>
        <rFont val="Calibri"/>
        <family val="2"/>
      </rPr>
      <t>Direct N</t>
    </r>
    <r>
      <rPr>
        <b/>
        <vertAlign val="subscript"/>
        <sz val="11"/>
        <color theme="0"/>
        <rFont val="Calibri"/>
        <family val="2"/>
      </rPr>
      <t>2</t>
    </r>
    <r>
      <rPr>
        <b/>
        <sz val="11"/>
        <color theme="0"/>
        <rFont val="Calibri"/>
        <family val="2"/>
      </rPr>
      <t>O emissions</t>
    </r>
  </si>
  <si>
    <r>
      <rPr>
        <b/>
        <sz val="11"/>
        <color theme="0"/>
        <rFont val="Calibri"/>
        <family val="2"/>
      </rPr>
      <t>Indirect N</t>
    </r>
    <r>
      <rPr>
        <b/>
        <vertAlign val="subscript"/>
        <sz val="11"/>
        <color theme="0"/>
        <rFont val="Calibri"/>
        <family val="2"/>
      </rPr>
      <t>2</t>
    </r>
    <r>
      <rPr>
        <b/>
        <sz val="11"/>
        <color theme="0"/>
        <rFont val="Calibri"/>
        <family val="2"/>
      </rPr>
      <t>O emissions</t>
    </r>
  </si>
  <si>
    <r>
      <rPr>
        <b/>
        <sz val="11"/>
        <color theme="1"/>
        <rFont val="Calibri"/>
        <family val="2"/>
      </rPr>
      <t>Equação 18 = Nitrogênio consumido (N</t>
    </r>
    <r>
      <rPr>
        <b/>
        <vertAlign val="subscript"/>
        <sz val="11"/>
        <color theme="1"/>
        <rFont val="Calibri"/>
        <family val="2"/>
      </rPr>
      <t>intake</t>
    </r>
    <r>
      <rPr>
        <b/>
        <sz val="11"/>
        <color theme="1"/>
        <rFont val="Calibri"/>
        <family val="2"/>
      </rPr>
      <t>)</t>
    </r>
  </si>
  <si>
    <r>
      <rPr>
        <b/>
        <sz val="11"/>
        <color theme="1"/>
        <rFont val="Calibri"/>
        <family val="2"/>
      </rPr>
      <t>N</t>
    </r>
    <r>
      <rPr>
        <b/>
        <vertAlign val="subscript"/>
        <sz val="11"/>
        <color theme="1"/>
        <rFont val="Calibri"/>
        <family val="2"/>
      </rPr>
      <t>intake(T)</t>
    </r>
    <r>
      <rPr>
        <b/>
        <sz val="11"/>
        <color theme="1"/>
        <rFont val="Calibri"/>
        <family val="2"/>
      </rPr>
      <t xml:space="preserve"> = (GE/18,45)  × ((CP%/100)/6,25) </t>
    </r>
  </si>
  <si>
    <t>kg N/animal/dia</t>
  </si>
  <si>
    <r>
      <rPr>
        <b/>
        <sz val="11"/>
        <color theme="1"/>
        <rFont val="Calibri"/>
        <family val="2"/>
      </rPr>
      <t>Equação 19 = Nitrogênio retido (N</t>
    </r>
    <r>
      <rPr>
        <b/>
        <vertAlign val="subscript"/>
        <sz val="11"/>
        <color theme="1"/>
        <rFont val="Calibri"/>
        <family val="2"/>
      </rPr>
      <t>retention</t>
    </r>
    <r>
      <rPr>
        <b/>
        <sz val="11"/>
        <color theme="1"/>
        <rFont val="Calibri"/>
        <family val="2"/>
      </rPr>
      <t>)</t>
    </r>
  </si>
  <si>
    <r>
      <rPr>
        <b/>
        <sz val="11"/>
        <color theme="1"/>
        <rFont val="Calibri"/>
        <family val="2"/>
      </rPr>
      <t>Nretention</t>
    </r>
    <r>
      <rPr>
        <b/>
        <vertAlign val="subscript"/>
        <sz val="11"/>
        <color theme="1"/>
        <rFont val="Calibri"/>
        <family val="2"/>
      </rPr>
      <t>(T)</t>
    </r>
    <r>
      <rPr>
        <b/>
        <sz val="11"/>
        <color theme="1"/>
        <rFont val="Calibri"/>
        <family val="2"/>
      </rPr>
      <t xml:space="preserve"> = [(milk × (milk PR%/100))/6,38] + [WG × [268 -(((7,03 × NEg)/WG))/1000 )/6,25)]</t>
    </r>
  </si>
  <si>
    <t>Equação 17 = Taxa de excreção de N (Nex)</t>
  </si>
  <si>
    <r>
      <rPr>
        <b/>
        <sz val="11"/>
        <color theme="1"/>
        <rFont val="Calibri"/>
        <family val="2"/>
      </rPr>
      <t>Nex</t>
    </r>
    <r>
      <rPr>
        <b/>
        <vertAlign val="subscript"/>
        <sz val="11"/>
        <color theme="1"/>
        <rFont val="Calibri"/>
        <family val="2"/>
      </rPr>
      <t>(T)</t>
    </r>
    <r>
      <rPr>
        <b/>
        <sz val="11"/>
        <color theme="1"/>
        <rFont val="Calibri"/>
        <family val="2"/>
      </rPr>
      <t xml:space="preserve"> = (Nintake</t>
    </r>
    <r>
      <rPr>
        <b/>
        <vertAlign val="subscript"/>
        <sz val="11"/>
        <color theme="1"/>
        <rFont val="Calibri"/>
        <family val="2"/>
      </rPr>
      <t>(T)</t>
    </r>
    <r>
      <rPr>
        <b/>
        <sz val="11"/>
        <color theme="1"/>
        <rFont val="Calibri"/>
        <family val="2"/>
      </rPr>
      <t xml:space="preserve"> - Nretention </t>
    </r>
    <r>
      <rPr>
        <b/>
        <vertAlign val="subscript"/>
        <sz val="11"/>
        <color theme="1"/>
        <rFont val="Calibri"/>
        <family val="2"/>
      </rPr>
      <t>(T)</t>
    </r>
    <r>
      <rPr>
        <b/>
        <sz val="11"/>
        <color theme="1"/>
        <rFont val="Calibri"/>
        <family val="2"/>
      </rPr>
      <t>) × 365</t>
    </r>
  </si>
  <si>
    <t xml:space="preserve">Cálculos para os sistemas de manejo dejetos </t>
  </si>
  <si>
    <r>
      <rPr>
        <b/>
        <sz val="11"/>
        <color theme="1"/>
        <rFont val="Calibri"/>
        <family val="2"/>
      </rPr>
      <t>Equação 16 = Óxido Nitroso direto (N</t>
    </r>
    <r>
      <rPr>
        <b/>
        <vertAlign val="subscript"/>
        <sz val="11"/>
        <color theme="1"/>
        <rFont val="Calibri"/>
        <family val="2"/>
      </rPr>
      <t>2</t>
    </r>
    <r>
      <rPr>
        <b/>
        <sz val="11"/>
        <color theme="1"/>
        <rFont val="Calibri"/>
        <family val="2"/>
      </rPr>
      <t>OD)</t>
    </r>
  </si>
  <si>
    <r>
      <rPr>
        <b/>
        <sz val="11"/>
        <color theme="1"/>
        <rFont val="Calibri"/>
        <family val="2"/>
      </rPr>
      <t>N</t>
    </r>
    <r>
      <rPr>
        <b/>
        <vertAlign val="subscript"/>
        <sz val="11"/>
        <color theme="1"/>
        <rFont val="Calibri"/>
        <family val="2"/>
      </rPr>
      <t>2</t>
    </r>
    <r>
      <rPr>
        <b/>
        <sz val="11"/>
        <color theme="1"/>
        <rFont val="Calibri"/>
        <family val="2"/>
      </rPr>
      <t>OD</t>
    </r>
    <r>
      <rPr>
        <b/>
        <vertAlign val="subscript"/>
        <sz val="11"/>
        <color theme="1"/>
        <rFont val="Calibri"/>
        <family val="2"/>
      </rPr>
      <t>(mm)</t>
    </r>
    <r>
      <rPr>
        <b/>
        <sz val="11"/>
        <color theme="1"/>
        <rFont val="Calibri"/>
        <family val="2"/>
      </rPr>
      <t>= [∑</t>
    </r>
    <r>
      <rPr>
        <b/>
        <vertAlign val="subscript"/>
        <sz val="11"/>
        <color theme="1"/>
        <rFont val="Calibri"/>
        <family val="2"/>
      </rPr>
      <t>(S)</t>
    </r>
    <r>
      <rPr>
        <b/>
        <sz val="11"/>
        <color theme="1"/>
        <rFont val="Calibri"/>
        <family val="2"/>
      </rPr>
      <t xml:space="preserve"> [∑</t>
    </r>
    <r>
      <rPr>
        <b/>
        <vertAlign val="subscript"/>
        <sz val="11"/>
        <color theme="1"/>
        <rFont val="Calibri"/>
        <family val="2"/>
      </rPr>
      <t xml:space="preserve">(T,P) </t>
    </r>
    <r>
      <rPr>
        <b/>
        <sz val="11"/>
        <color theme="1"/>
        <rFont val="Calibri"/>
        <family val="2"/>
      </rPr>
      <t>× ((N</t>
    </r>
    <r>
      <rPr>
        <b/>
        <vertAlign val="subscript"/>
        <sz val="11"/>
        <color theme="1"/>
        <rFont val="Calibri"/>
        <family val="2"/>
      </rPr>
      <t>(T, P)</t>
    </r>
    <r>
      <rPr>
        <b/>
        <sz val="11"/>
        <color theme="1"/>
        <rFont val="Calibri"/>
        <family val="2"/>
      </rPr>
      <t xml:space="preserve"> × Nex</t>
    </r>
    <r>
      <rPr>
        <b/>
        <vertAlign val="subscript"/>
        <sz val="11"/>
        <color theme="1"/>
        <rFont val="Calibri"/>
        <family val="2"/>
      </rPr>
      <t>(T, P)</t>
    </r>
    <r>
      <rPr>
        <b/>
        <sz val="11"/>
        <color theme="1"/>
        <rFont val="Calibri"/>
        <family val="2"/>
      </rPr>
      <t xml:space="preserve"> )× AWMS</t>
    </r>
    <r>
      <rPr>
        <b/>
        <vertAlign val="subscript"/>
        <sz val="11"/>
        <color theme="1"/>
        <rFont val="Calibri"/>
        <family val="2"/>
      </rPr>
      <t>(T,S, P)</t>
    </r>
    <r>
      <rPr>
        <b/>
        <sz val="11"/>
        <color theme="1"/>
        <rFont val="Calibri"/>
        <family val="2"/>
      </rPr>
      <t xml:space="preserve"> ) + Ncdg</t>
    </r>
    <r>
      <rPr>
        <b/>
        <vertAlign val="subscript"/>
        <sz val="11"/>
        <color theme="1"/>
        <rFont val="Calibri"/>
        <family val="2"/>
      </rPr>
      <t>(s)</t>
    </r>
    <r>
      <rPr>
        <b/>
        <sz val="11"/>
        <color theme="1"/>
        <rFont val="Calibri"/>
        <family val="2"/>
      </rPr>
      <t xml:space="preserve"> ] × EF3</t>
    </r>
    <r>
      <rPr>
        <b/>
        <vertAlign val="subscript"/>
        <sz val="11"/>
        <color theme="1"/>
        <rFont val="Calibri"/>
        <family val="2"/>
      </rPr>
      <t>(S)</t>
    </r>
    <r>
      <rPr>
        <b/>
        <sz val="11"/>
        <color theme="1"/>
        <rFont val="Calibri"/>
        <family val="2"/>
      </rPr>
      <t xml:space="preserve"> ] × 44/28</t>
    </r>
  </si>
  <si>
    <r>
      <rPr>
        <b/>
        <sz val="11"/>
        <color theme="1"/>
        <rFont val="Calibri"/>
        <family val="2"/>
      </rPr>
      <t>Equação 22 = N volatilizado manejo de dejetos (N</t>
    </r>
    <r>
      <rPr>
        <b/>
        <vertAlign val="subscript"/>
        <sz val="11"/>
        <color theme="1"/>
        <rFont val="Calibri"/>
        <family val="2"/>
      </rPr>
      <t>volatilization-MMS</t>
    </r>
    <r>
      <rPr>
        <b/>
        <sz val="11"/>
        <color theme="1"/>
        <rFont val="Calibri"/>
        <family val="2"/>
      </rPr>
      <t>)</t>
    </r>
  </si>
  <si>
    <r>
      <rPr>
        <b/>
        <sz val="11"/>
        <color theme="1"/>
        <rFont val="Calibri"/>
        <family val="2"/>
      </rPr>
      <t>N</t>
    </r>
    <r>
      <rPr>
        <b/>
        <vertAlign val="subscript"/>
        <sz val="11"/>
        <color theme="1"/>
        <rFont val="Calibri"/>
        <family val="2"/>
      </rPr>
      <t xml:space="preserve">volatilization-MMS </t>
    </r>
    <r>
      <rPr>
        <b/>
        <sz val="11"/>
        <color theme="1"/>
        <rFont val="Calibri"/>
        <family val="2"/>
      </rPr>
      <t>=∑</t>
    </r>
    <r>
      <rPr>
        <b/>
        <vertAlign val="subscript"/>
        <sz val="11"/>
        <color theme="1"/>
        <rFont val="Calibri"/>
        <family val="2"/>
      </rPr>
      <t>(S)</t>
    </r>
    <r>
      <rPr>
        <b/>
        <sz val="11"/>
        <color theme="1"/>
        <rFont val="Calibri"/>
        <family val="2"/>
      </rPr>
      <t xml:space="preserve"> [∑</t>
    </r>
    <r>
      <rPr>
        <b/>
        <vertAlign val="subscript"/>
        <sz val="11"/>
        <color theme="1"/>
        <rFont val="Calibri"/>
        <family val="2"/>
      </rPr>
      <t>(T, P)</t>
    </r>
    <r>
      <rPr>
        <b/>
        <sz val="11"/>
        <color theme="1"/>
        <rFont val="Calibri"/>
        <family val="2"/>
      </rPr>
      <t>[(((N</t>
    </r>
    <r>
      <rPr>
        <b/>
        <vertAlign val="subscript"/>
        <sz val="11"/>
        <color theme="1"/>
        <rFont val="Calibri"/>
        <family val="2"/>
      </rPr>
      <t xml:space="preserve">(T, P) </t>
    </r>
    <r>
      <rPr>
        <b/>
        <sz val="11"/>
        <color theme="1"/>
        <rFont val="Calibri"/>
        <family val="2"/>
      </rPr>
      <t>× Nex</t>
    </r>
    <r>
      <rPr>
        <b/>
        <vertAlign val="subscript"/>
        <sz val="11"/>
        <color theme="1"/>
        <rFont val="Calibri"/>
        <family val="2"/>
      </rPr>
      <t>(T,P)</t>
    </r>
    <r>
      <rPr>
        <b/>
        <sz val="11"/>
        <color theme="1"/>
        <rFont val="Calibri"/>
        <family val="2"/>
      </rPr>
      <t>) × AWMS</t>
    </r>
    <r>
      <rPr>
        <b/>
        <vertAlign val="subscript"/>
        <sz val="11"/>
        <color theme="1"/>
        <rFont val="Calibri"/>
        <family val="2"/>
      </rPr>
      <t>(T,S, P)</t>
    </r>
    <r>
      <rPr>
        <b/>
        <sz val="11"/>
        <color theme="1"/>
        <rFont val="Calibri"/>
        <family val="2"/>
      </rPr>
      <t>) + Ncdg</t>
    </r>
    <r>
      <rPr>
        <b/>
        <vertAlign val="subscript"/>
        <sz val="11"/>
        <color theme="1"/>
        <rFont val="Calibri"/>
        <family val="2"/>
      </rPr>
      <t>(s)</t>
    </r>
    <r>
      <rPr>
        <b/>
        <sz val="11"/>
        <color theme="1"/>
        <rFont val="Calibri"/>
        <family val="2"/>
      </rPr>
      <t>) × FracGasMS</t>
    </r>
    <r>
      <rPr>
        <b/>
        <vertAlign val="subscript"/>
        <sz val="11"/>
        <color theme="1"/>
        <rFont val="Calibri"/>
        <family val="2"/>
      </rPr>
      <t>(T,S)</t>
    </r>
    <r>
      <rPr>
        <b/>
        <sz val="11"/>
        <color theme="1"/>
        <rFont val="Calibri"/>
        <family val="2"/>
      </rPr>
      <t>]]</t>
    </r>
  </si>
  <si>
    <r>
      <rPr>
        <b/>
        <sz val="11"/>
        <color theme="1"/>
        <rFont val="Calibri"/>
        <family val="2"/>
      </rPr>
      <t>Equação 20 = N</t>
    </r>
    <r>
      <rPr>
        <b/>
        <vertAlign val="subscript"/>
        <sz val="11"/>
        <color theme="1"/>
        <rFont val="Calibri"/>
        <family val="2"/>
      </rPr>
      <t>2</t>
    </r>
    <r>
      <rPr>
        <b/>
        <sz val="11"/>
        <color theme="1"/>
        <rFont val="Calibri"/>
        <family val="2"/>
      </rPr>
      <t>O voltalizado manejo de dejetos (N</t>
    </r>
    <r>
      <rPr>
        <b/>
        <vertAlign val="subscript"/>
        <sz val="11"/>
        <color theme="1"/>
        <rFont val="Calibri"/>
        <family val="2"/>
      </rPr>
      <t>2</t>
    </r>
    <r>
      <rPr>
        <b/>
        <sz val="11"/>
        <color theme="1"/>
        <rFont val="Calibri"/>
        <family val="2"/>
      </rPr>
      <t>OG)</t>
    </r>
  </si>
  <si>
    <r>
      <rPr>
        <b/>
        <sz val="11"/>
        <color theme="1"/>
        <rFont val="Calibri"/>
        <family val="2"/>
      </rPr>
      <t>N</t>
    </r>
    <r>
      <rPr>
        <b/>
        <vertAlign val="subscript"/>
        <sz val="11"/>
        <color theme="1"/>
        <rFont val="Calibri"/>
        <family val="2"/>
      </rPr>
      <t>2</t>
    </r>
    <r>
      <rPr>
        <b/>
        <sz val="11"/>
        <color theme="1"/>
        <rFont val="Calibri"/>
        <family val="2"/>
      </rPr>
      <t>OG</t>
    </r>
    <r>
      <rPr>
        <b/>
        <vertAlign val="subscript"/>
        <sz val="11"/>
        <color theme="1"/>
        <rFont val="Calibri"/>
        <family val="2"/>
      </rPr>
      <t>(mm)</t>
    </r>
    <r>
      <rPr>
        <b/>
        <sz val="11"/>
        <color theme="1"/>
        <rFont val="Calibri"/>
        <family val="2"/>
      </rPr>
      <t xml:space="preserve"> = (N</t>
    </r>
    <r>
      <rPr>
        <b/>
        <vertAlign val="subscript"/>
        <sz val="11"/>
        <color theme="1"/>
        <rFont val="Calibri"/>
        <family val="2"/>
      </rPr>
      <t>volatilization-MMS</t>
    </r>
    <r>
      <rPr>
        <b/>
        <sz val="11"/>
        <color theme="1"/>
        <rFont val="Calibri"/>
        <family val="2"/>
      </rPr>
      <t xml:space="preserve"> × EF</t>
    </r>
    <r>
      <rPr>
        <b/>
        <vertAlign val="subscript"/>
        <sz val="11"/>
        <color theme="1"/>
        <rFont val="Calibri"/>
        <family val="2"/>
      </rPr>
      <t>4</t>
    </r>
    <r>
      <rPr>
        <b/>
        <sz val="11"/>
        <color theme="1"/>
        <rFont val="Calibri"/>
        <family val="2"/>
      </rPr>
      <t xml:space="preserve"> )  ×  44/28</t>
    </r>
  </si>
  <si>
    <r>
      <rPr>
        <b/>
        <sz val="11"/>
        <color theme="1"/>
        <rFont val="Calibri"/>
        <family val="2"/>
      </rPr>
      <t>Equação 23 = N lixiviado manejo de dejetos (N</t>
    </r>
    <r>
      <rPr>
        <b/>
        <vertAlign val="subscript"/>
        <sz val="11"/>
        <color theme="1"/>
        <rFont val="Calibri"/>
        <family val="2"/>
      </rPr>
      <t>leaching-MMS</t>
    </r>
    <r>
      <rPr>
        <b/>
        <sz val="11"/>
        <color theme="1"/>
        <rFont val="Calibri"/>
        <family val="2"/>
      </rPr>
      <t>)</t>
    </r>
  </si>
  <si>
    <r>
      <rPr>
        <b/>
        <sz val="11"/>
        <color theme="1"/>
        <rFont val="Calibri"/>
        <family val="2"/>
      </rPr>
      <t>N</t>
    </r>
    <r>
      <rPr>
        <b/>
        <vertAlign val="subscript"/>
        <sz val="11"/>
        <color theme="1"/>
        <rFont val="Calibri"/>
        <family val="2"/>
      </rPr>
      <t>leaching-MMS</t>
    </r>
    <r>
      <rPr>
        <b/>
        <sz val="11"/>
        <color theme="1"/>
        <rFont val="Calibri"/>
        <family val="2"/>
      </rPr>
      <t xml:space="preserve"> =∑</t>
    </r>
    <r>
      <rPr>
        <b/>
        <vertAlign val="subscript"/>
        <sz val="11"/>
        <color theme="1"/>
        <rFont val="Calibri"/>
        <family val="2"/>
      </rPr>
      <t>(S)</t>
    </r>
    <r>
      <rPr>
        <b/>
        <sz val="11"/>
        <color theme="1"/>
        <rFont val="Calibri"/>
        <family val="2"/>
      </rPr>
      <t xml:space="preserve"> [∑</t>
    </r>
    <r>
      <rPr>
        <b/>
        <vertAlign val="subscript"/>
        <sz val="11"/>
        <color theme="1"/>
        <rFont val="Calibri"/>
        <family val="2"/>
      </rPr>
      <t>(T, P)</t>
    </r>
    <r>
      <rPr>
        <b/>
        <sz val="11"/>
        <color theme="1"/>
        <rFont val="Calibri"/>
        <family val="2"/>
      </rPr>
      <t>[(((N</t>
    </r>
    <r>
      <rPr>
        <b/>
        <vertAlign val="subscript"/>
        <sz val="11"/>
        <color theme="1"/>
        <rFont val="Calibri"/>
        <family val="2"/>
      </rPr>
      <t>(T, P)</t>
    </r>
    <r>
      <rPr>
        <b/>
        <sz val="11"/>
        <color theme="1"/>
        <rFont val="Calibri"/>
        <family val="2"/>
      </rPr>
      <t xml:space="preserve"> × Nex </t>
    </r>
    <r>
      <rPr>
        <b/>
        <vertAlign val="subscript"/>
        <sz val="11"/>
        <color theme="1"/>
        <rFont val="Calibri"/>
        <family val="2"/>
      </rPr>
      <t>(T,P)</t>
    </r>
    <r>
      <rPr>
        <b/>
        <sz val="11"/>
        <color theme="1"/>
        <rFont val="Calibri"/>
        <family val="2"/>
      </rPr>
      <t>) × AWMS</t>
    </r>
    <r>
      <rPr>
        <b/>
        <vertAlign val="subscript"/>
        <sz val="11"/>
        <color theme="1"/>
        <rFont val="Calibri"/>
        <family val="2"/>
      </rPr>
      <t>(T,S, P)</t>
    </r>
    <r>
      <rPr>
        <b/>
        <sz val="11"/>
        <color theme="1"/>
        <rFont val="Calibri"/>
        <family val="2"/>
      </rPr>
      <t>) + Ncdg</t>
    </r>
    <r>
      <rPr>
        <b/>
        <vertAlign val="subscript"/>
        <sz val="11"/>
        <color theme="1"/>
        <rFont val="Calibri"/>
        <family val="2"/>
      </rPr>
      <t>(s)</t>
    </r>
    <r>
      <rPr>
        <b/>
        <sz val="11"/>
        <color theme="1"/>
        <rFont val="Calibri"/>
        <family val="2"/>
      </rPr>
      <t>) × (FracleachMS</t>
    </r>
    <r>
      <rPr>
        <b/>
        <vertAlign val="subscript"/>
        <sz val="11"/>
        <color theme="1"/>
        <rFont val="Calibri"/>
        <family val="2"/>
      </rPr>
      <t>(T,S)</t>
    </r>
    <r>
      <rPr>
        <b/>
        <sz val="11"/>
        <color theme="1"/>
        <rFont val="Calibri"/>
        <family val="2"/>
      </rPr>
      <t>]]</t>
    </r>
  </si>
  <si>
    <r>
      <rPr>
        <b/>
        <sz val="11"/>
        <color theme="1"/>
        <rFont val="Calibri"/>
        <family val="2"/>
      </rPr>
      <t>Equação 21 = N</t>
    </r>
    <r>
      <rPr>
        <b/>
        <vertAlign val="subscript"/>
        <sz val="11"/>
        <color theme="1"/>
        <rFont val="Calibri"/>
        <family val="2"/>
      </rPr>
      <t>2</t>
    </r>
    <r>
      <rPr>
        <b/>
        <sz val="11"/>
        <color theme="1"/>
        <rFont val="Calibri"/>
        <family val="2"/>
      </rPr>
      <t>O lixiviado manejo de dejetos (N</t>
    </r>
    <r>
      <rPr>
        <b/>
        <vertAlign val="subscript"/>
        <sz val="11"/>
        <color theme="1"/>
        <rFont val="Calibri"/>
        <family val="2"/>
      </rPr>
      <t>2</t>
    </r>
    <r>
      <rPr>
        <b/>
        <sz val="11"/>
        <color theme="1"/>
        <rFont val="Calibri"/>
        <family val="2"/>
      </rPr>
      <t>OL)</t>
    </r>
  </si>
  <si>
    <r>
      <rPr>
        <b/>
        <sz val="11"/>
        <color theme="1"/>
        <rFont val="Calibri"/>
        <family val="2"/>
      </rPr>
      <t>N</t>
    </r>
    <r>
      <rPr>
        <b/>
        <vertAlign val="subscript"/>
        <sz val="11"/>
        <color theme="1"/>
        <rFont val="Calibri"/>
        <family val="2"/>
      </rPr>
      <t>2</t>
    </r>
    <r>
      <rPr>
        <b/>
        <sz val="11"/>
        <color theme="1"/>
        <rFont val="Calibri"/>
        <family val="2"/>
      </rPr>
      <t>OL</t>
    </r>
    <r>
      <rPr>
        <b/>
        <vertAlign val="subscript"/>
        <sz val="11"/>
        <color theme="1"/>
        <rFont val="Calibri"/>
        <family val="2"/>
      </rPr>
      <t>(mm)</t>
    </r>
    <r>
      <rPr>
        <b/>
        <sz val="11"/>
        <color theme="1"/>
        <rFont val="Calibri"/>
        <family val="2"/>
      </rPr>
      <t xml:space="preserve"> = (N</t>
    </r>
    <r>
      <rPr>
        <b/>
        <vertAlign val="subscript"/>
        <sz val="11"/>
        <color theme="1"/>
        <rFont val="Calibri"/>
        <family val="2"/>
      </rPr>
      <t>leaching-MMS</t>
    </r>
    <r>
      <rPr>
        <b/>
        <sz val="11"/>
        <color theme="1"/>
        <rFont val="Calibri"/>
        <family val="2"/>
      </rPr>
      <t xml:space="preserve"> × EF</t>
    </r>
    <r>
      <rPr>
        <b/>
        <vertAlign val="subscript"/>
        <sz val="11"/>
        <color theme="1"/>
        <rFont val="Calibri"/>
        <family val="2"/>
      </rPr>
      <t>5</t>
    </r>
    <r>
      <rPr>
        <b/>
        <sz val="11"/>
        <color theme="1"/>
        <rFont val="Calibri"/>
        <family val="2"/>
      </rPr>
      <t xml:space="preserve"> )  ×  44/28</t>
    </r>
  </si>
  <si>
    <r>
      <rPr>
        <b/>
        <sz val="11"/>
        <color theme="1"/>
        <rFont val="Calibri"/>
        <family val="2"/>
      </rPr>
      <t>Total da categoria= N</t>
    </r>
    <r>
      <rPr>
        <b/>
        <vertAlign val="subscript"/>
        <sz val="11"/>
        <color theme="1"/>
        <rFont val="Calibri"/>
        <family val="2"/>
      </rPr>
      <t>2</t>
    </r>
    <r>
      <rPr>
        <b/>
        <sz val="11"/>
        <color theme="1"/>
        <rFont val="Calibri"/>
        <family val="2"/>
      </rPr>
      <t xml:space="preserve">O indireto manejo de dejetos </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</si>
  <si>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Total</t>
    </r>
    <r>
      <rPr>
        <b/>
        <sz val="11"/>
        <color theme="1"/>
        <rFont val="Calibri"/>
        <family val="2"/>
      </rPr>
      <t xml:space="preserve"> = N</t>
    </r>
    <r>
      <rPr>
        <b/>
        <vertAlign val="subscript"/>
        <sz val="11"/>
        <color theme="1"/>
        <rFont val="Calibri"/>
        <family val="2"/>
      </rPr>
      <t>2</t>
    </r>
    <r>
      <rPr>
        <b/>
        <sz val="11"/>
        <color theme="1"/>
        <rFont val="Calibri"/>
        <family val="2"/>
      </rPr>
      <t>OL</t>
    </r>
    <r>
      <rPr>
        <b/>
        <vertAlign val="subscript"/>
        <sz val="11"/>
        <color theme="1"/>
        <rFont val="Calibri"/>
        <family val="2"/>
      </rPr>
      <t>(mm)</t>
    </r>
    <r>
      <rPr>
        <b/>
        <sz val="11"/>
        <color theme="1"/>
        <rFont val="Calibri"/>
        <family val="2"/>
      </rPr>
      <t xml:space="preserve"> + N</t>
    </r>
    <r>
      <rPr>
        <b/>
        <vertAlign val="subscript"/>
        <sz val="11"/>
        <color theme="1"/>
        <rFont val="Calibri"/>
        <family val="2"/>
      </rPr>
      <t>2</t>
    </r>
    <r>
      <rPr>
        <b/>
        <sz val="11"/>
        <color theme="1"/>
        <rFont val="Calibri"/>
        <family val="2"/>
      </rPr>
      <t xml:space="preserve">OG(mm) </t>
    </r>
  </si>
  <si>
    <t>Cálculos para dejeto a pasto</t>
  </si>
  <si>
    <r>
      <rPr>
        <b/>
        <sz val="11"/>
        <color theme="1"/>
        <rFont val="Calibri"/>
        <family val="2"/>
      </rPr>
      <t>Equação 37 = Quantidade anual de urina e fezes depositados no pasto (F</t>
    </r>
    <r>
      <rPr>
        <b/>
        <vertAlign val="subscript"/>
        <sz val="11"/>
        <color theme="1"/>
        <rFont val="Calibri"/>
        <family val="2"/>
      </rPr>
      <t>PRP</t>
    </r>
    <r>
      <rPr>
        <b/>
        <sz val="11"/>
        <color theme="1"/>
        <rFont val="Calibri"/>
        <family val="2"/>
      </rPr>
      <t>)</t>
    </r>
  </si>
  <si>
    <r>
      <rPr>
        <b/>
        <sz val="11"/>
        <color theme="1"/>
        <rFont val="Calibri"/>
        <family val="2"/>
      </rPr>
      <t>F</t>
    </r>
    <r>
      <rPr>
        <b/>
        <vertAlign val="subscript"/>
        <sz val="11"/>
        <color theme="1"/>
        <rFont val="Calibri"/>
        <family val="2"/>
      </rPr>
      <t>PRP</t>
    </r>
    <r>
      <rPr>
        <b/>
        <sz val="11"/>
        <color theme="1"/>
        <rFont val="Calibri"/>
        <family val="2"/>
      </rPr>
      <t xml:space="preserve"> = ∑</t>
    </r>
    <r>
      <rPr>
        <b/>
        <vertAlign val="subscript"/>
        <sz val="11"/>
        <color theme="1"/>
        <rFont val="Calibri"/>
        <family val="2"/>
      </rPr>
      <t>(T)</t>
    </r>
    <r>
      <rPr>
        <b/>
        <sz val="11"/>
        <color theme="1"/>
        <rFont val="Calibri"/>
        <family val="2"/>
      </rPr>
      <t>[(N</t>
    </r>
    <r>
      <rPr>
        <b/>
        <vertAlign val="subscript"/>
        <sz val="11"/>
        <color theme="1"/>
        <rFont val="Calibri"/>
        <family val="2"/>
      </rPr>
      <t>(T)</t>
    </r>
    <r>
      <rPr>
        <b/>
        <sz val="11"/>
        <color theme="1"/>
        <rFont val="Calibri"/>
        <family val="2"/>
      </rPr>
      <t xml:space="preserve"> x (Nex</t>
    </r>
    <r>
      <rPr>
        <b/>
        <vertAlign val="subscript"/>
        <sz val="11"/>
        <color theme="1"/>
        <rFont val="Calibri"/>
        <family val="2"/>
      </rPr>
      <t>(T)</t>
    </r>
    <r>
      <rPr>
        <b/>
        <sz val="11"/>
        <color theme="1"/>
        <rFont val="Calibri"/>
        <family val="2"/>
      </rPr>
      <t>) x MS</t>
    </r>
    <r>
      <rPr>
        <b/>
        <vertAlign val="subscript"/>
        <sz val="11"/>
        <color theme="1"/>
        <rFont val="Calibri"/>
        <family val="2"/>
      </rPr>
      <t>(T, PRP)</t>
    </r>
    <r>
      <rPr>
        <b/>
        <sz val="11"/>
        <color theme="1"/>
        <rFont val="Calibri"/>
        <family val="2"/>
      </rPr>
      <t>]</t>
    </r>
  </si>
  <si>
    <r>
      <rPr>
        <b/>
        <sz val="11"/>
        <color theme="1"/>
        <rFont val="Calibri"/>
        <family val="2"/>
      </rPr>
      <t>Equação 38 = N</t>
    </r>
    <r>
      <rPr>
        <b/>
        <vertAlign val="subscript"/>
        <sz val="11"/>
        <color theme="1"/>
        <rFont val="Calibri"/>
        <family val="2"/>
      </rPr>
      <t>2</t>
    </r>
    <r>
      <rPr>
        <b/>
        <sz val="11"/>
        <color theme="1"/>
        <rFont val="Calibri"/>
        <family val="2"/>
      </rPr>
      <t>O direto dejeto a pasto (N</t>
    </r>
    <r>
      <rPr>
        <b/>
        <vertAlign val="subscript"/>
        <sz val="11"/>
        <color theme="1"/>
        <rFont val="Calibri"/>
        <family val="2"/>
      </rPr>
      <t>2</t>
    </r>
    <r>
      <rPr>
        <b/>
        <sz val="11"/>
        <color theme="1"/>
        <rFont val="Calibri"/>
        <family val="2"/>
      </rPr>
      <t>O</t>
    </r>
    <r>
      <rPr>
        <b/>
        <vertAlign val="subscript"/>
        <sz val="11"/>
        <color theme="1"/>
        <rFont val="Calibri"/>
        <family val="2"/>
      </rPr>
      <t>PRP</t>
    </r>
    <r>
      <rPr>
        <b/>
        <sz val="11"/>
        <color theme="1"/>
        <rFont val="Calibri"/>
        <family val="2"/>
      </rPr>
      <t>)</t>
    </r>
  </si>
  <si>
    <r>
      <rPr>
        <b/>
        <sz val="11"/>
        <color theme="1"/>
        <rFont val="Calibri"/>
        <family val="2"/>
      </rPr>
      <t>N</t>
    </r>
    <r>
      <rPr>
        <b/>
        <vertAlign val="subscript"/>
        <sz val="11"/>
        <color theme="1"/>
        <rFont val="Calibri"/>
        <family val="2"/>
      </rPr>
      <t>2</t>
    </r>
    <r>
      <rPr>
        <b/>
        <sz val="11"/>
        <color theme="1"/>
        <rFont val="Calibri"/>
        <family val="2"/>
      </rPr>
      <t>O</t>
    </r>
    <r>
      <rPr>
        <b/>
        <vertAlign val="subscript"/>
        <sz val="11"/>
        <color theme="1"/>
        <rFont val="Calibri"/>
        <family val="2"/>
      </rPr>
      <t>PRP</t>
    </r>
    <r>
      <rPr>
        <b/>
        <sz val="11"/>
        <color theme="1"/>
        <rFont val="Calibri"/>
        <family val="2"/>
      </rPr>
      <t xml:space="preserve"> = [(F</t>
    </r>
    <r>
      <rPr>
        <b/>
        <vertAlign val="subscript"/>
        <sz val="11"/>
        <color theme="1"/>
        <rFont val="Calibri"/>
        <family val="2"/>
      </rPr>
      <t>PRP, CPP</t>
    </r>
    <r>
      <rPr>
        <b/>
        <sz val="11"/>
        <color theme="1"/>
        <rFont val="Calibri"/>
        <family val="2"/>
      </rPr>
      <t xml:space="preserve"> x EF</t>
    </r>
    <r>
      <rPr>
        <b/>
        <vertAlign val="subscript"/>
        <sz val="11"/>
        <color theme="1"/>
        <rFont val="Calibri"/>
        <family val="2"/>
      </rPr>
      <t>3 PRP, CPP</t>
    </r>
    <r>
      <rPr>
        <b/>
        <sz val="11"/>
        <color theme="1"/>
        <rFont val="Calibri"/>
        <family val="2"/>
      </rPr>
      <t>)  x 44/28]</t>
    </r>
  </si>
  <si>
    <r>
      <rPr>
        <b/>
        <sz val="11"/>
        <color theme="1"/>
        <rFont val="Calibri"/>
        <family val="2"/>
      </rPr>
      <t>Equação 39 = N</t>
    </r>
    <r>
      <rPr>
        <b/>
        <vertAlign val="subscript"/>
        <sz val="11"/>
        <color theme="1"/>
        <rFont val="Calibri"/>
        <family val="2"/>
      </rPr>
      <t>2</t>
    </r>
    <r>
      <rPr>
        <b/>
        <sz val="11"/>
        <color theme="1"/>
        <rFont val="Calibri"/>
        <family val="2"/>
      </rPr>
      <t>O indireto (volatilizado) dejeto a pasto (N</t>
    </r>
    <r>
      <rPr>
        <b/>
        <vertAlign val="subscript"/>
        <sz val="11"/>
        <color theme="1"/>
        <rFont val="Calibri"/>
        <family val="2"/>
      </rPr>
      <t>2</t>
    </r>
    <r>
      <rPr>
        <b/>
        <sz val="11"/>
        <color theme="1"/>
        <rFont val="Calibri"/>
        <family val="2"/>
      </rPr>
      <t>OI</t>
    </r>
    <r>
      <rPr>
        <b/>
        <vertAlign val="subscript"/>
        <sz val="11"/>
        <color theme="1"/>
        <rFont val="Calibri"/>
        <family val="2"/>
      </rPr>
      <t>vol</t>
    </r>
    <r>
      <rPr>
        <b/>
        <sz val="11"/>
        <color theme="1"/>
        <rFont val="Calibri"/>
        <family val="2"/>
      </rPr>
      <t>)</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</si>
  <si>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vol</t>
    </r>
    <r>
      <rPr>
        <b/>
        <sz val="11"/>
        <color theme="1"/>
        <rFont val="Calibri"/>
        <family val="2"/>
      </rPr>
      <t xml:space="preserve"> = [(F</t>
    </r>
    <r>
      <rPr>
        <b/>
        <vertAlign val="subscript"/>
        <sz val="11"/>
        <color theme="1"/>
        <rFont val="Calibri"/>
        <family val="2"/>
      </rPr>
      <t xml:space="preserve">PRP </t>
    </r>
    <r>
      <rPr>
        <b/>
        <sz val="11"/>
        <color theme="1"/>
        <rFont val="Calibri"/>
        <family val="2"/>
      </rPr>
      <t>x Frac</t>
    </r>
    <r>
      <rPr>
        <b/>
        <vertAlign val="subscript"/>
        <sz val="11"/>
        <color theme="1"/>
        <rFont val="Calibri"/>
        <family val="2"/>
      </rPr>
      <t>GASM</t>
    </r>
    <r>
      <rPr>
        <b/>
        <sz val="11"/>
        <color theme="1"/>
        <rFont val="Calibri"/>
        <family val="2"/>
      </rPr>
      <t>) x EF</t>
    </r>
    <r>
      <rPr>
        <b/>
        <vertAlign val="subscript"/>
        <sz val="11"/>
        <color theme="1"/>
        <rFont val="Calibri"/>
        <family val="2"/>
      </rPr>
      <t>4</t>
    </r>
    <r>
      <rPr>
        <b/>
        <sz val="11"/>
        <color theme="1"/>
        <rFont val="Calibri"/>
        <family val="2"/>
      </rPr>
      <t xml:space="preserve"> ] x 44/28</t>
    </r>
  </si>
  <si>
    <r>
      <rPr>
        <b/>
        <sz val="11"/>
        <color theme="1"/>
        <rFont val="Calibri"/>
        <family val="2"/>
      </rPr>
      <t>Equação 40 = N</t>
    </r>
    <r>
      <rPr>
        <b/>
        <vertAlign val="subscript"/>
        <sz val="11"/>
        <color theme="1"/>
        <rFont val="Calibri"/>
        <family val="2"/>
      </rPr>
      <t>2</t>
    </r>
    <r>
      <rPr>
        <b/>
        <sz val="11"/>
        <color theme="1"/>
        <rFont val="Calibri"/>
        <family val="2"/>
      </rPr>
      <t>O indireto (lixiviado) dejeto a pasto (N</t>
    </r>
    <r>
      <rPr>
        <b/>
        <vertAlign val="subscript"/>
        <sz val="11"/>
        <color theme="1"/>
        <rFont val="Calibri"/>
        <family val="2"/>
      </rPr>
      <t>2</t>
    </r>
    <r>
      <rPr>
        <b/>
        <sz val="11"/>
        <color theme="1"/>
        <rFont val="Calibri"/>
        <family val="2"/>
      </rPr>
      <t>OI</t>
    </r>
    <r>
      <rPr>
        <b/>
        <vertAlign val="subscript"/>
        <sz val="11"/>
        <color theme="1"/>
        <rFont val="Calibri"/>
        <family val="2"/>
      </rPr>
      <t>leach</t>
    </r>
    <r>
      <rPr>
        <b/>
        <sz val="11"/>
        <color theme="1"/>
        <rFont val="Calibri"/>
        <family val="2"/>
      </rPr>
      <t>)</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</si>
  <si>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leach</t>
    </r>
    <r>
      <rPr>
        <b/>
        <sz val="11"/>
        <color theme="1"/>
        <rFont val="Calibri"/>
        <family val="2"/>
      </rPr>
      <t>= [(F</t>
    </r>
    <r>
      <rPr>
        <b/>
        <vertAlign val="subscript"/>
        <sz val="11"/>
        <color theme="1"/>
        <rFont val="Calibri"/>
        <family val="2"/>
      </rPr>
      <t xml:space="preserve">PRP </t>
    </r>
    <r>
      <rPr>
        <b/>
        <sz val="11"/>
        <color theme="1"/>
        <rFont val="Calibri"/>
        <family val="2"/>
      </rPr>
      <t>x Frac</t>
    </r>
    <r>
      <rPr>
        <b/>
        <vertAlign val="subscript"/>
        <sz val="11"/>
        <color theme="1"/>
        <rFont val="Calibri"/>
        <family val="2"/>
      </rPr>
      <t>Leach-(H)</t>
    </r>
    <r>
      <rPr>
        <b/>
        <sz val="11"/>
        <color theme="1"/>
        <rFont val="Calibri"/>
        <family val="2"/>
      </rPr>
      <t>) x EF</t>
    </r>
    <r>
      <rPr>
        <b/>
        <vertAlign val="subscript"/>
        <sz val="11"/>
        <color theme="1"/>
        <rFont val="Calibri"/>
        <family val="2"/>
      </rPr>
      <t>5</t>
    </r>
    <r>
      <rPr>
        <b/>
        <sz val="11"/>
        <color theme="1"/>
        <rFont val="Calibri"/>
        <family val="2"/>
      </rPr>
      <t xml:space="preserve"> ] x 44/28</t>
    </r>
  </si>
  <si>
    <r>
      <rPr>
        <b/>
        <sz val="11"/>
        <color theme="1"/>
        <rFont val="Calibri"/>
        <family val="2"/>
      </rPr>
      <t>Total da categoria= N</t>
    </r>
    <r>
      <rPr>
        <b/>
        <vertAlign val="subscript"/>
        <sz val="11"/>
        <color theme="1"/>
        <rFont val="Calibri"/>
        <family val="2"/>
      </rPr>
      <t>2</t>
    </r>
    <r>
      <rPr>
        <b/>
        <sz val="11"/>
        <color theme="1"/>
        <rFont val="Calibri"/>
        <family val="2"/>
      </rPr>
      <t xml:space="preserve">O indireto manejo de dejetos </t>
    </r>
  </si>
  <si>
    <r>
      <rPr>
        <b/>
        <sz val="11"/>
        <color theme="1"/>
        <rFont val="Calibri"/>
        <family val="2"/>
      </rPr>
      <t>N</t>
    </r>
    <r>
      <rPr>
        <b/>
        <vertAlign val="subscript"/>
        <sz val="11"/>
        <color theme="1"/>
        <rFont val="Calibri"/>
        <family val="2"/>
      </rPr>
      <t>2</t>
    </r>
    <r>
      <rPr>
        <b/>
        <sz val="11"/>
        <color theme="1"/>
        <rFont val="Calibri"/>
        <family val="2"/>
      </rPr>
      <t>OI</t>
    </r>
    <r>
      <rPr>
        <b/>
        <vertAlign val="subscript"/>
        <sz val="11"/>
        <color theme="1"/>
        <rFont val="Calibri"/>
        <family val="2"/>
      </rPr>
      <t>Total</t>
    </r>
    <r>
      <rPr>
        <b/>
        <sz val="11"/>
        <color theme="1"/>
        <rFont val="Calibri"/>
        <family val="2"/>
      </rPr>
      <t xml:space="preserve"> = N</t>
    </r>
    <r>
      <rPr>
        <b/>
        <vertAlign val="subscript"/>
        <sz val="11"/>
        <color theme="1"/>
        <rFont val="Calibri"/>
        <family val="2"/>
      </rPr>
      <t>2</t>
    </r>
    <r>
      <rPr>
        <b/>
        <sz val="11"/>
        <color theme="1"/>
        <rFont val="Calibri"/>
        <family val="2"/>
      </rPr>
      <t>OL</t>
    </r>
    <r>
      <rPr>
        <b/>
        <vertAlign val="subscript"/>
        <sz val="11"/>
        <color theme="1"/>
        <rFont val="Calibri"/>
        <family val="2"/>
      </rPr>
      <t>(mm)</t>
    </r>
    <r>
      <rPr>
        <b/>
        <sz val="11"/>
        <color theme="1"/>
        <rFont val="Calibri"/>
        <family val="2"/>
      </rPr>
      <t xml:space="preserve"> + N</t>
    </r>
    <r>
      <rPr>
        <b/>
        <vertAlign val="subscript"/>
        <sz val="11"/>
        <color theme="1"/>
        <rFont val="Calibri"/>
        <family val="2"/>
      </rPr>
      <t>2</t>
    </r>
    <r>
      <rPr>
        <b/>
        <sz val="11"/>
        <color theme="1"/>
        <rFont val="Calibri"/>
        <family val="2"/>
      </rPr>
      <t xml:space="preserve">OG(mm) </t>
    </r>
  </si>
  <si>
    <t xml:space="preserve">Categoria </t>
  </si>
  <si>
    <r>
      <rPr>
        <b/>
        <sz val="11"/>
        <color theme="1"/>
        <rFont val="Calibri"/>
        <family val="2"/>
      </rPr>
      <t>Total Propriedade (Total N</t>
    </r>
    <r>
      <rPr>
        <b/>
        <vertAlign val="subscript"/>
        <sz val="11"/>
        <color theme="1"/>
        <rFont val="Calibri"/>
        <family val="2"/>
      </rPr>
      <t>2</t>
    </r>
    <r>
      <rPr>
        <b/>
        <sz val="11"/>
        <color theme="1"/>
        <rFont val="Calibri"/>
        <family val="2"/>
      </rPr>
      <t>OD</t>
    </r>
    <r>
      <rPr>
        <b/>
        <vertAlign val="subscript"/>
        <sz val="11"/>
        <color theme="1"/>
        <rFont val="Calibri"/>
        <family val="2"/>
      </rPr>
      <t>manure</t>
    </r>
    <r>
      <rPr>
        <b/>
        <sz val="11"/>
        <color theme="1"/>
        <rFont val="Calibri"/>
        <family val="2"/>
      </rPr>
      <t>)</t>
    </r>
  </si>
  <si>
    <r>
      <rPr>
        <sz val="11"/>
        <color theme="1"/>
        <rFont val="Calibri"/>
        <family val="2"/>
      </rPr>
      <t>Total N</t>
    </r>
    <r>
      <rPr>
        <vertAlign val="subscript"/>
        <sz val="11"/>
        <color theme="1"/>
        <rFont val="Calibri"/>
        <family val="2"/>
      </rPr>
      <t>2</t>
    </r>
    <r>
      <rPr>
        <sz val="11"/>
        <color theme="1"/>
        <rFont val="Calibri"/>
        <family val="2"/>
      </rPr>
      <t>OD</t>
    </r>
    <r>
      <rPr>
        <vertAlign val="subscript"/>
        <sz val="11"/>
        <color theme="1"/>
        <rFont val="Calibri"/>
        <family val="2"/>
      </rPr>
      <t>manure</t>
    </r>
  </si>
  <si>
    <r>
      <rPr>
        <b/>
        <sz val="11"/>
        <color theme="1"/>
        <rFont val="Calibri"/>
        <family val="2"/>
      </rPr>
      <t>Total Propriedade (Total N</t>
    </r>
    <r>
      <rPr>
        <b/>
        <vertAlign val="subscript"/>
        <sz val="11"/>
        <color theme="1"/>
        <rFont val="Calibri"/>
        <family val="2"/>
      </rPr>
      <t>2</t>
    </r>
    <r>
      <rPr>
        <b/>
        <sz val="11"/>
        <color theme="1"/>
        <rFont val="Calibri"/>
        <family val="2"/>
      </rPr>
      <t>OI</t>
    </r>
    <r>
      <rPr>
        <b/>
        <vertAlign val="subscript"/>
        <sz val="11"/>
        <color theme="1"/>
        <rFont val="Calibri"/>
        <family val="2"/>
      </rPr>
      <t>manure</t>
    </r>
    <r>
      <rPr>
        <b/>
        <sz val="11"/>
        <color theme="1"/>
        <rFont val="Calibri"/>
        <family val="2"/>
      </rPr>
      <t>)</t>
    </r>
  </si>
  <si>
    <r>
      <rPr>
        <sz val="11"/>
        <color theme="1"/>
        <rFont val="Calibri"/>
        <family val="2"/>
      </rPr>
      <t>Total N</t>
    </r>
    <r>
      <rPr>
        <vertAlign val="subscript"/>
        <sz val="11"/>
        <color theme="1"/>
        <rFont val="Calibri"/>
        <family val="2"/>
      </rPr>
      <t>2</t>
    </r>
    <r>
      <rPr>
        <sz val="11"/>
        <color theme="1"/>
        <rFont val="Calibri"/>
        <family val="2"/>
      </rPr>
      <t>OI</t>
    </r>
    <r>
      <rPr>
        <vertAlign val="subscript"/>
        <sz val="11"/>
        <color theme="1"/>
        <rFont val="Calibri"/>
        <family val="2"/>
      </rPr>
      <t>manure</t>
    </r>
  </si>
  <si>
    <t>Remoção (Matriz transição)</t>
  </si>
  <si>
    <t xml:space="preserve">Pastagem degradada </t>
  </si>
  <si>
    <t>Descrição    (Nome da área)</t>
  </si>
  <si>
    <t>Estoque Carbono (Ton/ha/ano)</t>
  </si>
  <si>
    <t>Estoque de Carbono (área/ano)</t>
  </si>
  <si>
    <t>TOTAL</t>
  </si>
  <si>
    <t>Emissão Produção de Alimentos</t>
  </si>
  <si>
    <t>Nomenclatura</t>
  </si>
  <si>
    <t>kg CO2eq/dia</t>
  </si>
  <si>
    <t>kg CO2eq/ano</t>
  </si>
  <si>
    <t>kg CO2eq</t>
  </si>
  <si>
    <t>Reference</t>
  </si>
  <si>
    <t>IPCC, 2019 "Emissions from livestock and manure management"V.4, Ch.10.</t>
  </si>
  <si>
    <t>IPCC, 2019 "N2O from managed soils, and CO2 emissions from lime and urea application"V.4, Ch.11.</t>
  </si>
  <si>
    <t>Categories</t>
  </si>
  <si>
    <t xml:space="preserve">Coefficients for calculating net energy for maintenance (NEm)                                                                                                                                                                                                        IPCC, 2019 "Emissions from livestock and manure management"V.4, Ch.10, Table 10.4                               </t>
  </si>
  <si>
    <t xml:space="preserve">Animal category </t>
  </si>
  <si>
    <r>
      <rPr>
        <b/>
        <sz val="12"/>
        <color rgb="FF000000"/>
        <rFont val="Calibri"/>
        <family val="2"/>
      </rPr>
      <t>Cfi (MJ d</t>
    </r>
    <r>
      <rPr>
        <b/>
        <vertAlign val="superscript"/>
        <sz val="12"/>
        <color rgb="FF000000"/>
        <rFont val="Calibri"/>
        <family val="2"/>
      </rPr>
      <t>-1</t>
    </r>
    <r>
      <rPr>
        <b/>
        <sz val="12"/>
        <color rgb="FF000000"/>
        <rFont val="Calibri"/>
        <family val="2"/>
      </rPr>
      <t xml:space="preserve"> kg </t>
    </r>
    <r>
      <rPr>
        <b/>
        <vertAlign val="superscript"/>
        <sz val="12"/>
        <color rgb="FF000000"/>
        <rFont val="Calibri"/>
        <family val="2"/>
      </rPr>
      <t>-1</t>
    </r>
    <r>
      <rPr>
        <b/>
        <sz val="12"/>
        <color rgb="FF000000"/>
        <rFont val="Calibri"/>
        <family val="2"/>
      </rPr>
      <t>)</t>
    </r>
  </si>
  <si>
    <t>Comments</t>
  </si>
  <si>
    <t>Non-lactating dairy, beef and multipurpose cows, steers and juveniles</t>
  </si>
  <si>
    <t>Maintenance energy requirements are 20% higher during lactation</t>
  </si>
  <si>
    <t>Maintenance energy requirements are 15% higher for intact males</t>
  </si>
  <si>
    <t xml:space="preserve">Activity coefficients corresponding to animal's feed situation                                                                                                                                                                                                                               IPCC, 2019 "Emissions from livestock and manure management"V.4, Ch.10, Table 10.5                               </t>
  </si>
  <si>
    <t>Category</t>
  </si>
  <si>
    <t>Situation</t>
  </si>
  <si>
    <t>Ca (dimensionless)</t>
  </si>
  <si>
    <t>Defintion</t>
  </si>
  <si>
    <t>Pasture</t>
  </si>
  <si>
    <t>Animals are confined in areas with sufficient forage requiring modest energy expense to acquire feed.</t>
  </si>
  <si>
    <t>Grazing large areas</t>
  </si>
  <si>
    <t>Animals graze in open range land or hilly terrain and expend significant energy to acquire feed.</t>
  </si>
  <si>
    <t>Stall</t>
  </si>
  <si>
    <t>Animals are confined to a small area (i.e., tethered, pen, barn) with the result that they expend very little or no energy to acquire feed.</t>
  </si>
  <si>
    <t>Non lactanting cows</t>
  </si>
  <si>
    <t>Lactanting cows</t>
  </si>
  <si>
    <t xml:space="preserve">Coefficients for calculating net energy for net energy for growth                                                                                                                                              IPCC, 2019 "Emissions from livestock and manure management"V.4, Ch.10, Equation 10.6    </t>
  </si>
  <si>
    <t>C</t>
  </si>
  <si>
    <t>Males</t>
  </si>
  <si>
    <t>Females</t>
  </si>
  <si>
    <t xml:space="preserve">Coefficients for calculating net energy pregnancy                                                                                                   IPCC, 2019 "Emissions from livestock and manure management"V.4, Ch.10, Table 10.7   </t>
  </si>
  <si>
    <t>Animal category</t>
  </si>
  <si>
    <t>Cpregnancy</t>
  </si>
  <si>
    <t>Cattle and Buffalo</t>
  </si>
  <si>
    <t xml:space="preserve">Cattle/Buffalo CH4 conversion factor (Ym)                                                                                                                                                                                                                                                                                                              IPCC, 2019 "Emissions from livestock and manure management"V.4, Ch.10, Table 10.12                                                                                                                                                                                                                                                 </t>
  </si>
  <si>
    <t>Livestock category</t>
  </si>
  <si>
    <t>Description</t>
  </si>
  <si>
    <t>Feed digestibility (DE) and neutral detergent fibre (NDF, %DMI)</t>
  </si>
  <si>
    <t>Ym (%) (3)</t>
  </si>
  <si>
    <t>&gt; 75 % forage</t>
  </si>
  <si>
    <t>DE ≤ 62</t>
  </si>
  <si>
    <t>Rations of &gt;75% high quality forage and/or mixed rations, forage of between 15 and 75% the total ration mixed with grain, and/or silage.</t>
  </si>
  <si>
    <t>DE 62-71</t>
  </si>
  <si>
    <t>Feedlot (all other grains, 0-15% forage)</t>
  </si>
  <si>
    <r>
      <rPr>
        <sz val="11"/>
        <color theme="1"/>
        <rFont val="Calibri"/>
        <family val="2"/>
      </rPr>
      <t>DE</t>
    </r>
    <r>
      <rPr>
        <sz val="11"/>
        <color theme="1"/>
        <rFont val="Calibri"/>
        <family val="2"/>
      </rPr>
      <t>≥72</t>
    </r>
  </si>
  <si>
    <t>Feedlot (steam-flaked corn - 0- 10% forage)</t>
  </si>
  <si>
    <r>
      <rPr>
        <sz val="11"/>
        <color theme="1"/>
        <rFont val="Calibri"/>
        <family val="2"/>
      </rPr>
      <t>DE</t>
    </r>
    <r>
      <rPr>
        <sz val="11"/>
        <color theme="1"/>
        <rFont val="Calibri"/>
        <family val="2"/>
      </rPr>
      <t>≥75</t>
    </r>
  </si>
  <si>
    <r>
      <rPr>
        <sz val="11"/>
        <color theme="1"/>
        <rFont val="Calibri"/>
        <family val="2"/>
      </rPr>
      <t>DE</t>
    </r>
    <r>
      <rPr>
        <sz val="11"/>
        <color theme="1"/>
        <rFont val="Calibri"/>
        <family val="2"/>
      </rPr>
      <t>≥72</t>
    </r>
  </si>
  <si>
    <r>
      <rPr>
        <sz val="11"/>
        <color theme="1"/>
        <rFont val="Calibri"/>
        <family val="2"/>
      </rPr>
      <t>DE</t>
    </r>
    <r>
      <rPr>
        <sz val="11"/>
        <color theme="1"/>
        <rFont val="Calibri"/>
        <family val="2"/>
      </rPr>
      <t>≥75</t>
    </r>
  </si>
  <si>
    <r>
      <rPr>
        <sz val="11"/>
        <color theme="1"/>
        <rFont val="Calibri"/>
        <family val="2"/>
      </rPr>
      <t>DE</t>
    </r>
    <r>
      <rPr>
        <sz val="11"/>
        <color theme="1"/>
        <rFont val="Calibri"/>
        <family val="2"/>
      </rPr>
      <t>≥72</t>
    </r>
  </si>
  <si>
    <r>
      <rPr>
        <sz val="11"/>
        <color theme="1"/>
        <rFont val="Calibri"/>
        <family val="2"/>
      </rPr>
      <t>DE</t>
    </r>
    <r>
      <rPr>
        <sz val="11"/>
        <color theme="1"/>
        <rFont val="Calibri"/>
        <family val="2"/>
      </rPr>
      <t>≥75</t>
    </r>
  </si>
  <si>
    <t>Low producing cows (&lt;5000 kg yr-1)</t>
  </si>
  <si>
    <r>
      <rPr>
        <sz val="11"/>
        <color theme="1"/>
        <rFont val="Calibri"/>
        <family val="2"/>
      </rPr>
      <t>DE ≤ 62</t>
    </r>
    <r>
      <rPr>
        <sz val="11"/>
        <color theme="1"/>
        <rFont val="Calibri"/>
        <family val="2"/>
      </rPr>
      <t xml:space="preserve"> NDF &gt;38</t>
    </r>
  </si>
  <si>
    <t>(3) Uncertainty values are ± 20% based on published standard deviations from Niu et al. (2018) and data compilations for non dairy cattle
as described in Annex 10B.2.</t>
  </si>
  <si>
    <t>(4) Ym cited for dairy cattle are for lactating dairy cows. For dairy cattle during their dry phase, in high and medium production systems, the
non-dairy high quality forage value (6.3) should be selected and for low production systems with &gt;75% low quality forage the value of
(7.0) should be selected</t>
  </si>
  <si>
    <t xml:space="preserve">(5)The lowest Ym factor for high producing cows refers to feeding situations in which additives or supplements may be used in production
that stimulate feed use efficiency and/or milk production. The Ym values given here do not yet account for any potential reducing effect
of additives or supplements on Ym. </t>
  </si>
  <si>
    <r>
      <rPr>
        <b/>
        <sz val="11"/>
        <color theme="0"/>
        <rFont val="Calibri"/>
        <family val="2"/>
      </rPr>
      <t>CH</t>
    </r>
    <r>
      <rPr>
        <b/>
        <vertAlign val="subscript"/>
        <sz val="11"/>
        <color theme="0"/>
        <rFont val="Calibri"/>
        <family val="2"/>
      </rPr>
      <t xml:space="preserve">4 </t>
    </r>
    <r>
      <rPr>
        <b/>
        <sz val="11"/>
        <color theme="0"/>
        <rFont val="Calibri"/>
        <family val="2"/>
      </rPr>
      <t>emissions</t>
    </r>
  </si>
  <si>
    <t>Emission factors - Methane manure management                                                                                                                                                                                                                                                                                                                                           Bo - IPCC, 2019 "Emissions from livestock and manure management"V.4, Ch.10, Table 10.16A                                                                                                                                                                                                                                                                                   (UEx GE) and ASH - RR - Setor agropecuária / Subsetor Manejo de dejetos (2020), Tabela 26 e 25</t>
  </si>
  <si>
    <t>Production</t>
  </si>
  <si>
    <t>Emission factors</t>
  </si>
  <si>
    <t>Bo (kg CH4/VS)</t>
  </si>
  <si>
    <t xml:space="preserve">(UE x GE) </t>
  </si>
  <si>
    <t>ASH (%)</t>
  </si>
  <si>
    <t>Non dairy cattle - high production</t>
  </si>
  <si>
    <t>Non dairy cattle - low production</t>
  </si>
  <si>
    <t>Non lactantig cows</t>
  </si>
  <si>
    <t>Dairy cattle - low production</t>
  </si>
  <si>
    <t>Methane Conversion Factors (MCF)  (%)                                                                                                                                                                                                                                                                                                                                                                                                                                                                                                                                                                                                                                                                                                                                                                                                                                   IPCC, 2019 "Emissions from livestock and manure management"V.4, Ch.10, Table 10.17</t>
  </si>
  <si>
    <t>System</t>
  </si>
  <si>
    <t xml:space="preserve">MCFs by climate zone </t>
  </si>
  <si>
    <t>Warm</t>
  </si>
  <si>
    <t>Tropical montane</t>
  </si>
  <si>
    <t>Tropical Wet</t>
  </si>
  <si>
    <t>Tropical Moist</t>
  </si>
  <si>
    <t>Tropical Dry</t>
  </si>
  <si>
    <t>Mean</t>
  </si>
  <si>
    <t>Uncovered anaerobic lagoon</t>
  </si>
  <si>
    <t>Liquid/Slurry, and Pit storage bellow animal confinaments</t>
  </si>
  <si>
    <t>1 Month</t>
  </si>
  <si>
    <t>3 Month</t>
  </si>
  <si>
    <t>4 Month</t>
  </si>
  <si>
    <t>6 Month</t>
  </si>
  <si>
    <t>12 Month</t>
  </si>
  <si>
    <t>Deep bedding</t>
  </si>
  <si>
    <t>&gt; 1 Month</t>
  </si>
  <si>
    <t>&lt; 1 Month</t>
  </si>
  <si>
    <t>Solid storage</t>
  </si>
  <si>
    <t>Solid storage - Covered/compacted</t>
  </si>
  <si>
    <t>Solid storage - Bulking agent addition</t>
  </si>
  <si>
    <t>Solid storage - Additives</t>
  </si>
  <si>
    <t>Dry lot</t>
  </si>
  <si>
    <t>Daily spread</t>
  </si>
  <si>
    <t>Composting - In vessel</t>
  </si>
  <si>
    <t>Composting - Static pile (forced aeration)</t>
  </si>
  <si>
    <t>Composting - Intensive windrow</t>
  </si>
  <si>
    <t>Composting - Passive windrow (unfrequent turning)</t>
  </si>
  <si>
    <t>Pasture/range/paddock</t>
  </si>
  <si>
    <t>Poultry manure with and without litter</t>
  </si>
  <si>
    <t>Aerobic treatment</t>
  </si>
  <si>
    <t>Burned for fuel</t>
  </si>
  <si>
    <t>Anaerobic digester, low leakage, high quality gastight storage, best complete industrial technology</t>
  </si>
  <si>
    <t>Anaerobic digester, low leakage, high quality industrial technology,low quality gastight storage technology</t>
  </si>
  <si>
    <t xml:space="preserve">Anaerobic digester, low leakage, high quality industrial technology, open storage </t>
  </si>
  <si>
    <t>Anaerobic digester, high leakage, low quality  technology, high quality gastight storage technology</t>
  </si>
  <si>
    <t>Anaerobic digester, high leakage, low quality  technology, low quality gastight storage technology</t>
  </si>
  <si>
    <t>Anaerobic digester, high leakage, low quality  technology, open storage</t>
  </si>
  <si>
    <r>
      <rPr>
        <b/>
        <sz val="11"/>
        <color theme="0"/>
        <rFont val="Calibri"/>
        <family val="2"/>
      </rPr>
      <t>N</t>
    </r>
    <r>
      <rPr>
        <b/>
        <vertAlign val="subscript"/>
        <sz val="11"/>
        <color theme="0"/>
        <rFont val="Calibri"/>
        <family val="2"/>
      </rPr>
      <t>2</t>
    </r>
    <r>
      <rPr>
        <b/>
        <sz val="11"/>
        <color theme="0"/>
        <rFont val="Calibri"/>
        <family val="2"/>
      </rPr>
      <t>O emissions</t>
    </r>
  </si>
  <si>
    <r>
      <rPr>
        <b/>
        <sz val="11"/>
        <color theme="0"/>
        <rFont val="Calibri"/>
        <family val="2"/>
      </rPr>
      <t>Direct N</t>
    </r>
    <r>
      <rPr>
        <b/>
        <vertAlign val="subscript"/>
        <sz val="11"/>
        <color theme="0"/>
        <rFont val="Calibri"/>
        <family val="2"/>
      </rPr>
      <t>2</t>
    </r>
    <r>
      <rPr>
        <b/>
        <sz val="11"/>
        <color theme="0"/>
        <rFont val="Calibri"/>
        <family val="2"/>
      </rPr>
      <t>O emissions</t>
    </r>
  </si>
  <si>
    <t>Default emission factors for direct N2O emissions from manure management                                                                                                                                                                                                                                                                                            IPCC, 2019 "Emissions from livestock and manure management"V.4, Ch.10, Table 10.21</t>
  </si>
  <si>
    <t>Definition</t>
  </si>
  <si>
    <t>EF3 [kg N2O-N (kg Nitrogen excreted)-1]</t>
  </si>
  <si>
    <t>Pasture/Range/ Paddock</t>
  </si>
  <si>
    <t>The manure from pasture and range grazing animals is allowed to lie as is, and is not managed.</t>
  </si>
  <si>
    <t>Direct and indirect N2O emissions associated with the manure deposited on agricultural soils and pasture, range, paddock systems are treated in Chapter 11, Section 11.2, N2O emissions from managed soils</t>
  </si>
  <si>
    <t>Manure is routinely removed from a confinement facility and is applied to cropland or pasture within 24 hours of excretion. N2O emissions during storage and treatment are assumed to be zero. N2O emissions from land application are covered under the Agricultural Soils category.</t>
  </si>
  <si>
    <t>Solid storage (b)</t>
  </si>
  <si>
    <t>The storage of manure, typically for a period of several months, in unconfined piles or stacks. Manure is able to be stacked due to the presence of a sufficient amount of bedding material or loss of moisture by evaporation.</t>
  </si>
  <si>
    <t>Solid storage - Coverd/compacted</t>
  </si>
  <si>
    <t>Similar to solid storage, but the manure pile is a) covered with a plastic sheet to reduce the surface of manure exposed to air and/or b) compacted to increase the density and reduce the free air space within the material.</t>
  </si>
  <si>
    <t>Specific materials (bulking agents) are mixed with the manure to provide structural support. This allows the natural aeration of the pile, thus enhancing decomposition. (e.g. sawdust, straw, coffee husks, maize stover).</t>
  </si>
  <si>
    <t>The addition of specific substances to the pile in order to reduce gaseous emissions. Addition of certain compounds such as attapulgite, dicyandiamide or mature compost have shown to reduce N2O emissions; while phosphogypsum reduces CH4 emissions.</t>
  </si>
  <si>
    <t>A paved or unpaved open confinement area without any significant vegetative cover where accumulating manure may be removed periodically. Dry lots are most typically found in dry climates but also are used in humid climates.</t>
  </si>
  <si>
    <t>Liquid/Slurry</t>
  </si>
  <si>
    <t>Manure is stored as excreted or with some minimal addition of water to facilitate handling and is stored in either tanks or earthen ponds.</t>
  </si>
  <si>
    <t>With natural crust cover</t>
  </si>
  <si>
    <t>Without natural crust cover</t>
  </si>
  <si>
    <t>Cover</t>
  </si>
  <si>
    <t>Anaerobic lagoons are designed and operated to combine waste stabilization and storage. Lagoon supernatant is usually used to remove manure from the associated confinement facilities to the lagoon. Anaerobic lagoons are designed with varying lengths of storage (up to a year or greater), depending on the climate region, the volatile solids loading rate, and other operational factors. The water from the lagoon may be recycled as flush water or used to irrigate and fertilise fields.</t>
  </si>
  <si>
    <t>Pit storage below animal confinements</t>
  </si>
  <si>
    <t>Collection and storage of manure usually with little or no added water typically below a slatted floor in an enclosed animal confinement facility.</t>
  </si>
  <si>
    <t>Anaerobic digester</t>
  </si>
  <si>
    <t xml:space="preserve">Anaerobic digesters are designed and operated for waste stabilization by the microbial reduction of complex organic compounds to CH4 and CO2, which is captured and flared or used as a fuel. </t>
  </si>
  <si>
    <t>Burned for fuel or as waste</t>
  </si>
  <si>
    <t>The dung is excreted on fields. The sun dried dung cakes are burned for fuel</t>
  </si>
  <si>
    <t>The emissions associated with the burning of the dung are to be reported under the IPCC category 'Fuel Combustion' if the dung is used as fuel and under the IPCC category 'Waste Incineration' if the dung is burned without energy recovery.</t>
  </si>
  <si>
    <t>Urine N deposited on pasture and paddock</t>
  </si>
  <si>
    <t>Direct and indirect N2O emissions associated with the urine deposited on agricultural soils and pasture, range, paddock systems are treated in Chapter 11, Section 11.2, N2O emissions from managed soils.</t>
  </si>
  <si>
    <t>As manure accumulates, bedding is continually added to absorb moisture over a production cycle and possibly for as long as 6 to 12 months. This manure management system also is known as a bedded pack manure management system and may be combined with a dry lot or pasture.</t>
  </si>
  <si>
    <t>No mixing</t>
  </si>
  <si>
    <t>Acive mixing</t>
  </si>
  <si>
    <t>Composting - In-Vessel ( c )</t>
  </si>
  <si>
    <t>Composting, typically in an enclosed channel, with forced aeration and continuous mixing.</t>
  </si>
  <si>
    <t>Composting - Static Pile ( c )(forced aeration)</t>
  </si>
  <si>
    <t>Composting in piles with forced aeration but no mixing.</t>
  </si>
  <si>
    <t>Composting - Intensive Windrow ( c )</t>
  </si>
  <si>
    <t>Composting in windrows with regular turning for mixing and aeration.</t>
  </si>
  <si>
    <t>Composting - Passive Windrow ( c ) (infrequent turning)</t>
  </si>
  <si>
    <t>Composting in windrows with infrequent turning for mixing and aeration.</t>
  </si>
  <si>
    <t>Poultry manure with litter</t>
  </si>
  <si>
    <t>Similar to deep bedding systems. Typically used for all poultry breeder flocks and for the production of meat type chickens (broilers) and other fowl.</t>
  </si>
  <si>
    <t>Poultry manure without litter</t>
  </si>
  <si>
    <t>May be similar to open pits in enclosed animal confinement facilities or may be designed and operated to dry the manure as it accumulates. The latter is known as a high-rise manure management system and is a form of passive windrow composting when designed and operated properly.</t>
  </si>
  <si>
    <t>The biological oxidation of manure collected as a liquid with either forced or natural aeration. Natural aeration is limited to aerobic and facultative ponds and wetland systems and is due primarily to photosynthesis. Hence, these systems typically become anoxic during periods without sunlight.</t>
  </si>
  <si>
    <t>Natural aeration systems</t>
  </si>
  <si>
    <t>Forced aeration systems</t>
  </si>
  <si>
    <t>(b) Quantitative data should be used to distinguish whether the system is judged to be a solid storage or liquid/slurry. The borderline
between dry and liquid can be drawn at 20% dry matter content.</t>
  </si>
  <si>
    <r>
      <rPr>
        <sz val="11"/>
        <color theme="1"/>
        <rFont val="Calibri"/>
        <family val="2"/>
      </rPr>
      <t xml:space="preserve">*Burned for fuel or as waste: The dung is excreted on fields.                                                                                                                                                                                                        </t>
    </r>
    <r>
      <rPr>
        <u/>
        <sz val="11"/>
        <color theme="1"/>
        <rFont val="Calibri"/>
        <family val="2"/>
      </rPr>
      <t>The sun dried dung cakes are burned for fuel:</t>
    </r>
    <r>
      <rPr>
        <sz val="11"/>
        <color theme="1"/>
        <rFont val="Calibri"/>
        <family val="2"/>
      </rPr>
      <t xml:space="preserve"> The emissions associated with the burning of the dung are to be reported under the IPCC category 'Fuel Combustion' if the dung is used as fuel and under the IPCC category 'Waste Incineration' if the dung is burned without energy recovery.                                                                                                                                                                                                                                                                                   </t>
    </r>
    <r>
      <rPr>
        <u/>
        <sz val="11"/>
        <color theme="1"/>
        <rFont val="Calibri"/>
        <family val="2"/>
      </rPr>
      <t>Urine N deposited on pasture and paddock:</t>
    </r>
    <r>
      <rPr>
        <sz val="11"/>
        <color theme="1"/>
        <rFont val="Calibri"/>
        <family val="2"/>
      </rPr>
      <t xml:space="preserve"> Direct and indirect N2O emissions associated with the urine deposited on agricultural soils and pasture, range, paddock systems are treated in Chapter 11, Section 11.2, N2O emissions from managed soils.                                                                                                                                                                                                                                                                           </t>
    </r>
  </si>
  <si>
    <t>*Pasture: Direct and indirect N2O emissions associated with the manure deposited on
agricultural soils and pasture, range, paddock systems are treated in
Chapter 11, Section 11.2, N2O emissions from managed soils.</t>
  </si>
  <si>
    <r>
      <rPr>
        <b/>
        <sz val="11"/>
        <color theme="0"/>
        <rFont val="Calibri"/>
        <family val="2"/>
      </rPr>
      <t>Indirect N</t>
    </r>
    <r>
      <rPr>
        <b/>
        <vertAlign val="subscript"/>
        <sz val="11"/>
        <color theme="0"/>
        <rFont val="Calibri"/>
        <family val="2"/>
      </rPr>
      <t>2</t>
    </r>
    <r>
      <rPr>
        <b/>
        <sz val="11"/>
        <color theme="0"/>
        <rFont val="Calibri"/>
        <family val="2"/>
      </rPr>
      <t>O emissions</t>
    </r>
  </si>
  <si>
    <t xml:space="preserve"> Default values for nitrogen loss due to volatilisation of NH3 and NOx from manure management                                                                                                                                                                                                                                                                                                                                                                                                                                                                   IPCC, 2019 "Emissions from livestock and manure management"V.4, Ch.10, Table 10.22</t>
  </si>
  <si>
    <t>Manure Management System (MMS)</t>
  </si>
  <si>
    <t>N loss from MMS due to volatilisation of N-NH3 and N-NOx                                                                                                                                                    FracGasMS (Range of FracGasMS)</t>
  </si>
  <si>
    <t xml:space="preserve">N loss from MMS due to leaching of nitrogen from manure management                                                                                                                                                    FracleachMS </t>
  </si>
  <si>
    <t xml:space="preserve">Lactanting cows </t>
  </si>
  <si>
    <t>Other categories</t>
  </si>
  <si>
    <t>All categories</t>
  </si>
  <si>
    <t>Anaerobic lagoon</t>
  </si>
  <si>
    <t>Liquid/Slurry with natural crust cover</t>
  </si>
  <si>
    <t>Liquid/Slurry without natural crust cover</t>
  </si>
  <si>
    <t>Liquid/Slurry with cover</t>
  </si>
  <si>
    <t>Solid storage Covered/compacted</t>
  </si>
  <si>
    <t>Solid storage bulking agent addition</t>
  </si>
  <si>
    <t>Solid storage additives</t>
  </si>
  <si>
    <t>Deep beeding</t>
  </si>
  <si>
    <t>Composting In- Vessel</t>
  </si>
  <si>
    <t>Composting static pile</t>
  </si>
  <si>
    <t>Composting intensive windrow</t>
  </si>
  <si>
    <t>Composting passive windrow</t>
  </si>
  <si>
    <t>Aerobic treatment natural aeration systems</t>
  </si>
  <si>
    <t>no data</t>
  </si>
  <si>
    <t xml:space="preserve">no data </t>
  </si>
  <si>
    <t>Aerobic treatment forced aeration systems</t>
  </si>
  <si>
    <t xml:space="preserve">Default emission, volatilization and leaching factors for indirect soil N2O emissions                                                                                                                                                                                                                                                                                                                                                           IPCC, 2019 "N2O from managed soils, and CO2 emissions from lime and urea application"V.4, Ch.11., Table 11.3                         </t>
  </si>
  <si>
    <t xml:space="preserve">Emission factor </t>
  </si>
  <si>
    <t>Aggregated</t>
  </si>
  <si>
    <t>Disaggregated</t>
  </si>
  <si>
    <t>Default value</t>
  </si>
  <si>
    <t>Uncertainty range</t>
  </si>
  <si>
    <t>Disaggragation</t>
  </si>
  <si>
    <t>EF4 [N volatilisation and redeposition]1 , kg N2O–N (kg NH3–N + NOx–N volatilised)-1</t>
  </si>
  <si>
    <t>0,002-0,018</t>
  </si>
  <si>
    <t>Wet climate</t>
  </si>
  <si>
    <t>0,011-0,017</t>
  </si>
  <si>
    <t>Dry climate</t>
  </si>
  <si>
    <t>0,000-0,011</t>
  </si>
  <si>
    <t>EF5 [leaching/runoff]2, kg N2O–N (kg N leaching/runoff)-1</t>
  </si>
  <si>
    <t>0,000-0,020</t>
  </si>
  <si>
    <t>-</t>
  </si>
  <si>
    <t>FracGASM [Volatilisation from all organic N fertilisers applied, and dung and urine deposited by grazing animals]4, (kg NH3–N + NOx–N) (kg N applied or deposited)–1</t>
  </si>
  <si>
    <t>0,00-0,31</t>
  </si>
  <si>
    <t>FracLEACH-(H) [N losses by leaching/runoff in wet climates]5 , kg N (kg N additions or deposition by grazing animals)-1</t>
  </si>
  <si>
    <t>0,01-0,73</t>
  </si>
  <si>
    <t xml:space="preserve">Default emission factor(s) to estimate direct N2O emissions from managed soils                                                                                                                                                                                                                                                                                                                                                                                                                                                                                                                                    IPCC, 2019 "N2O from managed soils, and CO2 emissions from lime and urea application"V.4 Chapter 11, Table 11.1                          </t>
  </si>
  <si>
    <t>EF3PRP, CPP for cattle (dairy, non-dairy and buffalo), poultry and pigs3 [kg N2O–N (kg N)-1]</t>
  </si>
  <si>
    <t>0,000-0,014</t>
  </si>
  <si>
    <t>Wet climates</t>
  </si>
  <si>
    <t>0,000-0,027</t>
  </si>
  <si>
    <t>Dry climates</t>
  </si>
  <si>
    <t>0,000-0,007</t>
  </si>
  <si>
    <t>Destino (sistema atual ou planejado)</t>
  </si>
  <si>
    <t>Vegetação Natural</t>
  </si>
  <si>
    <t>Pastagem Degradada</t>
  </si>
  <si>
    <t>Pastagem de média produtividade</t>
  </si>
  <si>
    <t>Pastagem de alta produtividade</t>
  </si>
  <si>
    <t>Origem (sistema histórico)</t>
  </si>
  <si>
    <t>Equation 1
IPCC, 2019 "Emissions from livestock and manure management"V.4, Ch.10. Eq.10.16</t>
  </si>
  <si>
    <r>
      <rPr>
        <sz val="11"/>
        <color theme="1"/>
        <rFont val="Calibri"/>
        <family val="2"/>
      </rPr>
      <t>GE = ((NE</t>
    </r>
    <r>
      <rPr>
        <vertAlign val="subscript"/>
        <sz val="11"/>
        <color theme="1"/>
        <rFont val="Calibri"/>
        <family val="2"/>
      </rPr>
      <t>m</t>
    </r>
    <r>
      <rPr>
        <sz val="11"/>
        <color theme="1"/>
        <rFont val="Calibri"/>
        <family val="2"/>
      </rPr>
      <t xml:space="preserve"> + NE</t>
    </r>
    <r>
      <rPr>
        <vertAlign val="subscript"/>
        <sz val="11"/>
        <color theme="1"/>
        <rFont val="Calibri"/>
        <family val="2"/>
      </rPr>
      <t>a</t>
    </r>
    <r>
      <rPr>
        <sz val="11"/>
        <color theme="1"/>
        <rFont val="Calibri"/>
        <family val="2"/>
      </rPr>
      <t xml:space="preserve"> + NE</t>
    </r>
    <r>
      <rPr>
        <vertAlign val="subscript"/>
        <sz val="11"/>
        <color theme="1"/>
        <rFont val="Calibri"/>
        <family val="2"/>
      </rPr>
      <t>l</t>
    </r>
    <r>
      <rPr>
        <sz val="11"/>
        <color theme="1"/>
        <rFont val="Calibri"/>
        <family val="2"/>
      </rPr>
      <t xml:space="preserve"> + NE</t>
    </r>
    <r>
      <rPr>
        <vertAlign val="subscript"/>
        <sz val="11"/>
        <color theme="1"/>
        <rFont val="Calibri"/>
        <family val="2"/>
      </rPr>
      <t>work</t>
    </r>
    <r>
      <rPr>
        <sz val="11"/>
        <color theme="1"/>
        <rFont val="Calibri"/>
        <family val="2"/>
      </rPr>
      <t xml:space="preserve"> + NE</t>
    </r>
    <r>
      <rPr>
        <vertAlign val="subscript"/>
        <sz val="11"/>
        <color theme="1"/>
        <rFont val="Calibri"/>
        <family val="2"/>
      </rPr>
      <t>p)</t>
    </r>
    <r>
      <rPr>
        <sz val="11"/>
        <color theme="1"/>
        <rFont val="Calibri"/>
        <family val="2"/>
      </rPr>
      <t>/REM) + (NE</t>
    </r>
    <r>
      <rPr>
        <vertAlign val="subscript"/>
        <sz val="11"/>
        <color theme="1"/>
        <rFont val="Calibri"/>
        <family val="2"/>
      </rPr>
      <t>g</t>
    </r>
    <r>
      <rPr>
        <sz val="11"/>
        <color theme="1"/>
        <rFont val="Calibri"/>
        <family val="2"/>
      </rPr>
      <t>/REG))/DE</t>
    </r>
  </si>
  <si>
    <t>Parameters</t>
  </si>
  <si>
    <t>Source</t>
  </si>
  <si>
    <t>Acronym</t>
  </si>
  <si>
    <t>GE</t>
  </si>
  <si>
    <r>
      <rPr>
        <sz val="11"/>
        <color theme="1"/>
        <rFont val="Calibri"/>
        <family val="2"/>
      </rPr>
      <t>gross energy, MJ day</t>
    </r>
    <r>
      <rPr>
        <vertAlign val="superscript"/>
        <sz val="11"/>
        <color theme="1"/>
        <rFont val="Calibri"/>
        <family val="2"/>
      </rPr>
      <t>-1</t>
    </r>
  </si>
  <si>
    <t>calculed</t>
  </si>
  <si>
    <r>
      <rPr>
        <b/>
        <sz val="10"/>
        <color theme="1"/>
        <rFont val="Trebuchet MS"/>
        <family val="2"/>
      </rPr>
      <t>NE</t>
    </r>
    <r>
      <rPr>
        <b/>
        <vertAlign val="subscript"/>
        <sz val="10"/>
        <color theme="1"/>
        <rFont val="Trebuchet MS"/>
        <family val="2"/>
      </rPr>
      <t>m</t>
    </r>
  </si>
  <si>
    <r>
      <rPr>
        <sz val="10"/>
        <color theme="1"/>
        <rFont val="Trebuchet MS"/>
        <family val="2"/>
      </rPr>
      <t>net energy requirement for animal maintenance, MJ day</t>
    </r>
    <r>
      <rPr>
        <vertAlign val="superscript"/>
        <sz val="10"/>
        <color theme="1"/>
        <rFont val="Trebuchet MS"/>
        <family val="2"/>
      </rPr>
      <t>-1</t>
    </r>
  </si>
  <si>
    <r>
      <rPr>
        <b/>
        <sz val="10"/>
        <color theme="1"/>
        <rFont val="Trebuchet MS"/>
        <family val="2"/>
      </rPr>
      <t>NE</t>
    </r>
    <r>
      <rPr>
        <b/>
        <vertAlign val="subscript"/>
        <sz val="10"/>
        <color theme="1"/>
        <rFont val="Trebuchet MS"/>
        <family val="2"/>
      </rPr>
      <t>a</t>
    </r>
  </si>
  <si>
    <r>
      <rPr>
        <sz val="10"/>
        <color theme="1"/>
        <rFont val="Trebuchet MS"/>
        <family val="2"/>
      </rPr>
      <t>net energy for animal activity, MJ day</t>
    </r>
    <r>
      <rPr>
        <vertAlign val="superscript"/>
        <sz val="10"/>
        <color theme="1"/>
        <rFont val="Trebuchet MS"/>
        <family val="2"/>
      </rPr>
      <t>-1</t>
    </r>
  </si>
  <si>
    <r>
      <rPr>
        <b/>
        <sz val="10"/>
        <color theme="1"/>
        <rFont val="Trebuchet MS"/>
        <family val="2"/>
      </rPr>
      <t>NE</t>
    </r>
    <r>
      <rPr>
        <b/>
        <vertAlign val="subscript"/>
        <sz val="10"/>
        <color theme="1"/>
        <rFont val="Trebuchet MS"/>
        <family val="2"/>
      </rPr>
      <t>l</t>
    </r>
  </si>
  <si>
    <r>
      <rPr>
        <sz val="10"/>
        <color theme="1"/>
        <rFont val="Trebuchet MS"/>
        <family val="2"/>
      </rPr>
      <t>net energy for lactation, MJ day</t>
    </r>
    <r>
      <rPr>
        <vertAlign val="superscript"/>
        <sz val="10"/>
        <color theme="1"/>
        <rFont val="Trebuchet MS"/>
        <family val="2"/>
      </rPr>
      <t>-1</t>
    </r>
  </si>
  <si>
    <r>
      <rPr>
        <b/>
        <sz val="10"/>
        <color theme="1"/>
        <rFont val="Trebuchet MS"/>
        <family val="2"/>
      </rPr>
      <t>NE</t>
    </r>
    <r>
      <rPr>
        <b/>
        <vertAlign val="subscript"/>
        <sz val="10"/>
        <color theme="1"/>
        <rFont val="Trebuchet MS"/>
        <family val="2"/>
      </rPr>
      <t>work</t>
    </r>
  </si>
  <si>
    <r>
      <rPr>
        <sz val="10"/>
        <color theme="1"/>
        <rFont val="Trebuchet MS"/>
        <family val="2"/>
      </rPr>
      <t>net energy for work, MJ day</t>
    </r>
    <r>
      <rPr>
        <vertAlign val="superscript"/>
        <sz val="10"/>
        <color theme="1"/>
        <rFont val="Trebuchet MS"/>
        <family val="2"/>
      </rPr>
      <t>-1</t>
    </r>
  </si>
  <si>
    <r>
      <rPr>
        <b/>
        <sz val="10"/>
        <color theme="1"/>
        <rFont val="Trebuchet MS"/>
        <family val="2"/>
      </rPr>
      <t>NE</t>
    </r>
    <r>
      <rPr>
        <b/>
        <vertAlign val="subscript"/>
        <sz val="10"/>
        <color theme="1"/>
        <rFont val="Trebuchet MS"/>
        <family val="2"/>
      </rPr>
      <t>p</t>
    </r>
  </si>
  <si>
    <r>
      <rPr>
        <sz val="10"/>
        <color theme="1"/>
        <rFont val="Trebuchet MS"/>
        <family val="2"/>
      </rPr>
      <t>net energy required for pregnancy, MJ day</t>
    </r>
    <r>
      <rPr>
        <vertAlign val="superscript"/>
        <sz val="10"/>
        <color theme="1"/>
        <rFont val="Trebuchet MS"/>
        <family val="2"/>
      </rPr>
      <t>-1</t>
    </r>
  </si>
  <si>
    <t>REM</t>
  </si>
  <si>
    <t>ratio of net energy available in a diet for maintenance to digestible energy</t>
  </si>
  <si>
    <r>
      <rPr>
        <b/>
        <sz val="10"/>
        <color theme="1"/>
        <rFont val="Trebuchet MS"/>
        <family val="2"/>
      </rPr>
      <t>NE</t>
    </r>
    <r>
      <rPr>
        <b/>
        <vertAlign val="subscript"/>
        <sz val="10"/>
        <color theme="1"/>
        <rFont val="Trebuchet MS"/>
        <family val="2"/>
      </rPr>
      <t>g</t>
    </r>
    <r>
      <rPr>
        <b/>
        <sz val="10"/>
        <color theme="1"/>
        <rFont val="Trebuchet MS"/>
        <family val="2"/>
      </rPr>
      <t xml:space="preserve"> </t>
    </r>
  </si>
  <si>
    <r>
      <rPr>
        <sz val="10"/>
        <color theme="1"/>
        <rFont val="Trebuchet MS"/>
        <family val="2"/>
      </rPr>
      <t>net energy needed for growth, MJ day</t>
    </r>
    <r>
      <rPr>
        <vertAlign val="superscript"/>
        <sz val="10"/>
        <color theme="1"/>
        <rFont val="Trebuchet MS"/>
        <family val="2"/>
      </rPr>
      <t>-1</t>
    </r>
  </si>
  <si>
    <t>REG</t>
  </si>
  <si>
    <t>ratio of energy available for growth in a diet to digestible energy consumed</t>
  </si>
  <si>
    <t>DE</t>
  </si>
  <si>
    <t>digestibility of feed expressed as a fraction of gross energy (digestible energy/gross energy, i.e. DE%/100)</t>
  </si>
  <si>
    <t>Equation 2
IPCC, 2019 "Emissions from livestock and manure management"V.4, Ch.10, Eq.10.3</t>
  </si>
  <si>
    <r>
      <rPr>
        <sz val="11"/>
        <color theme="1"/>
        <rFont val="Calibri"/>
        <family val="2"/>
      </rPr>
      <t>NE</t>
    </r>
    <r>
      <rPr>
        <vertAlign val="subscript"/>
        <sz val="11"/>
        <color theme="1"/>
        <rFont val="Calibri"/>
        <family val="2"/>
      </rPr>
      <t>m</t>
    </r>
    <r>
      <rPr>
        <sz val="11"/>
        <color theme="1"/>
        <rFont val="Calibri"/>
        <family val="2"/>
      </rPr>
      <t xml:space="preserve"> = Cf</t>
    </r>
    <r>
      <rPr>
        <vertAlign val="subscript"/>
        <sz val="11"/>
        <color theme="1"/>
        <rFont val="Calibri"/>
        <family val="2"/>
      </rPr>
      <t>i</t>
    </r>
    <r>
      <rPr>
        <sz val="11"/>
        <color theme="1"/>
        <rFont val="Calibri"/>
        <family val="2"/>
      </rPr>
      <t xml:space="preserve"> x (Weight)</t>
    </r>
    <r>
      <rPr>
        <vertAlign val="superscript"/>
        <sz val="11"/>
        <color theme="1"/>
        <rFont val="Calibri"/>
        <family val="2"/>
      </rPr>
      <t>0,75</t>
    </r>
  </si>
  <si>
    <r>
      <rPr>
        <sz val="11"/>
        <color theme="1"/>
        <rFont val="Calibri"/>
        <family val="2"/>
      </rPr>
      <t>N</t>
    </r>
    <r>
      <rPr>
        <vertAlign val="subscript"/>
        <sz val="11"/>
        <color theme="1"/>
        <rFont val="Calibri"/>
        <family val="2"/>
      </rPr>
      <t>Em</t>
    </r>
  </si>
  <si>
    <r>
      <rPr>
        <sz val="11"/>
        <color theme="1"/>
        <rFont val="Calibri"/>
        <family val="2"/>
      </rPr>
      <t>net energy required by the animal for maintenance, MJ day</t>
    </r>
    <r>
      <rPr>
        <vertAlign val="superscript"/>
        <sz val="11"/>
        <color theme="1"/>
        <rFont val="Calibri"/>
        <family val="2"/>
      </rPr>
      <t>-1</t>
    </r>
  </si>
  <si>
    <r>
      <rPr>
        <sz val="11"/>
        <color theme="1"/>
        <rFont val="Calibri"/>
        <family val="2"/>
      </rPr>
      <t>Cf</t>
    </r>
    <r>
      <rPr>
        <vertAlign val="subscript"/>
        <sz val="11"/>
        <color theme="1"/>
        <rFont val="Calibri"/>
        <family val="2"/>
      </rPr>
      <t>i</t>
    </r>
    <r>
      <rPr>
        <sz val="11"/>
        <color theme="1"/>
        <rFont val="Calibri"/>
        <family val="2"/>
      </rPr>
      <t xml:space="preserve"> </t>
    </r>
  </si>
  <si>
    <r>
      <rPr>
        <sz val="10"/>
        <color theme="1"/>
        <rFont val="Trebuchet MS"/>
        <family val="2"/>
      </rPr>
      <t>a coefficient which varies for each animal category MJ dia</t>
    </r>
    <r>
      <rPr>
        <vertAlign val="superscript"/>
        <sz val="10"/>
        <color theme="1"/>
        <rFont val="Trebuchet MS"/>
        <family val="2"/>
      </rPr>
      <t>-1</t>
    </r>
    <r>
      <rPr>
        <sz val="10"/>
        <color theme="1"/>
        <rFont val="Trebuchet MS"/>
        <family val="2"/>
      </rPr>
      <t xml:space="preserve"> kg</t>
    </r>
    <r>
      <rPr>
        <vertAlign val="superscript"/>
        <sz val="10"/>
        <color theme="1"/>
        <rFont val="Trebuchet MS"/>
        <family val="2"/>
      </rPr>
      <t>-1</t>
    </r>
  </si>
  <si>
    <t>default</t>
  </si>
  <si>
    <t>Weight</t>
  </si>
  <si>
    <t>animal live weight, kg</t>
  </si>
  <si>
    <t>Equation 3
IPCC, 2019 "Emissions from livestock and manure management"V.4, Ch.10. Eq.10.4</t>
  </si>
  <si>
    <r>
      <rPr>
        <sz val="11"/>
        <color theme="1"/>
        <rFont val="Calibri"/>
        <family val="2"/>
      </rPr>
      <t>NE</t>
    </r>
    <r>
      <rPr>
        <vertAlign val="subscript"/>
        <sz val="11"/>
        <color theme="1"/>
        <rFont val="Calibri"/>
        <family val="2"/>
      </rPr>
      <t>a</t>
    </r>
    <r>
      <rPr>
        <sz val="11"/>
        <color theme="1"/>
        <rFont val="Calibri"/>
        <family val="2"/>
      </rPr>
      <t xml:space="preserve"> = C</t>
    </r>
    <r>
      <rPr>
        <vertAlign val="subscript"/>
        <sz val="11"/>
        <color theme="1"/>
        <rFont val="Calibri"/>
        <family val="2"/>
      </rPr>
      <t>a</t>
    </r>
    <r>
      <rPr>
        <sz val="11"/>
        <color theme="1"/>
        <rFont val="Calibri"/>
        <family val="2"/>
      </rPr>
      <t xml:space="preserve"> x NE</t>
    </r>
    <r>
      <rPr>
        <vertAlign val="subscript"/>
        <sz val="11"/>
        <color theme="1"/>
        <rFont val="Calibri"/>
        <family val="2"/>
      </rPr>
      <t>m</t>
    </r>
  </si>
  <si>
    <r>
      <rPr>
        <sz val="10"/>
        <color theme="1"/>
        <rFont val="Trebuchet MS"/>
        <family val="2"/>
      </rPr>
      <t>NE</t>
    </r>
    <r>
      <rPr>
        <vertAlign val="subscript"/>
        <sz val="10"/>
        <color theme="1"/>
        <rFont val="Trebuchet MS"/>
        <family val="2"/>
      </rPr>
      <t>a</t>
    </r>
  </si>
  <si>
    <r>
      <rPr>
        <sz val="11"/>
        <color theme="1"/>
        <rFont val="Calibri"/>
        <family val="2"/>
      </rPr>
      <t>net energy for animal activity, MJ day</t>
    </r>
    <r>
      <rPr>
        <vertAlign val="superscript"/>
        <sz val="11"/>
        <color theme="1"/>
        <rFont val="Calibri"/>
        <family val="2"/>
      </rPr>
      <t>-1</t>
    </r>
  </si>
  <si>
    <r>
      <rPr>
        <sz val="10"/>
        <color theme="1"/>
        <rFont val="Trebuchet MS"/>
        <family val="2"/>
      </rPr>
      <t>C</t>
    </r>
    <r>
      <rPr>
        <vertAlign val="subscript"/>
        <sz val="10"/>
        <color theme="1"/>
        <rFont val="Trebuchet MS"/>
        <family val="2"/>
      </rPr>
      <t>a</t>
    </r>
  </si>
  <si>
    <t>coefficient corresponding to animal's feed situation. For animals confined in small areas, the value 0.0 is assumed for the coefficient; for animals on pastures with sufficient forage, requiring moderate energy expenditure to acquire food, the value of 0.17 is assumed; and, for animals that graze in open or mountainous lands with significant energy expenditure to acquire food, the value of 0.36 is recommended</t>
  </si>
  <si>
    <r>
      <rPr>
        <sz val="10"/>
        <color theme="1"/>
        <rFont val="Trebuchet MS"/>
        <family val="2"/>
      </rPr>
      <t>NE</t>
    </r>
    <r>
      <rPr>
        <vertAlign val="subscript"/>
        <sz val="10"/>
        <color theme="1"/>
        <rFont val="Trebuchet MS"/>
        <family val="2"/>
      </rPr>
      <t>m</t>
    </r>
  </si>
  <si>
    <r>
      <rPr>
        <sz val="10"/>
        <color theme="1"/>
        <rFont val="Trebuchet MS"/>
        <family val="2"/>
      </rPr>
      <t>net energy requirement for animal maintenance, MJ day</t>
    </r>
    <r>
      <rPr>
        <vertAlign val="superscript"/>
        <sz val="10"/>
        <color theme="1"/>
        <rFont val="Trebuchet MS"/>
        <family val="2"/>
      </rPr>
      <t>-1</t>
    </r>
  </si>
  <si>
    <t>Equation 4
IPCC, 2019 "Emissions from livestock and manure management"V.4, Ch.10, Eq.10.6</t>
  </si>
  <si>
    <r>
      <rPr>
        <sz val="11"/>
        <color theme="1"/>
        <rFont val="Calibri"/>
        <family val="2"/>
      </rPr>
      <t>NE</t>
    </r>
    <r>
      <rPr>
        <vertAlign val="subscript"/>
        <sz val="11"/>
        <color theme="1"/>
        <rFont val="Calibri"/>
        <family val="2"/>
      </rPr>
      <t>g</t>
    </r>
    <r>
      <rPr>
        <sz val="11"/>
        <color theme="1"/>
        <rFont val="Calibri"/>
        <family val="2"/>
      </rPr>
      <t xml:space="preserve"> = 22,02 x (BW/(C x MW))</t>
    </r>
    <r>
      <rPr>
        <vertAlign val="superscript"/>
        <sz val="11"/>
        <color theme="1"/>
        <rFont val="Calibri"/>
        <family val="2"/>
      </rPr>
      <t>0,75</t>
    </r>
    <r>
      <rPr>
        <sz val="11"/>
        <color theme="1"/>
        <rFont val="Calibri"/>
        <family val="2"/>
      </rPr>
      <t xml:space="preserve"> x WG</t>
    </r>
    <r>
      <rPr>
        <vertAlign val="superscript"/>
        <sz val="11"/>
        <color theme="1"/>
        <rFont val="Calibri"/>
        <family val="2"/>
      </rPr>
      <t>1,097</t>
    </r>
  </si>
  <si>
    <r>
      <rPr>
        <b/>
        <sz val="10"/>
        <color theme="1"/>
        <rFont val="Trebuchet MS"/>
        <family val="2"/>
      </rPr>
      <t>NE</t>
    </r>
    <r>
      <rPr>
        <b/>
        <vertAlign val="subscript"/>
        <sz val="10"/>
        <color theme="1"/>
        <rFont val="Trebuchet MS"/>
        <family val="2"/>
      </rPr>
      <t>g</t>
    </r>
  </si>
  <si>
    <r>
      <rPr>
        <sz val="11"/>
        <color theme="1"/>
        <rFont val="Calibri"/>
        <family val="2"/>
      </rPr>
      <t>net energy needed for growth, MJ day</t>
    </r>
    <r>
      <rPr>
        <vertAlign val="superscript"/>
        <sz val="11"/>
        <color theme="1"/>
        <rFont val="Calibri"/>
        <family val="2"/>
      </rPr>
      <t>-1</t>
    </r>
  </si>
  <si>
    <t>BW</t>
  </si>
  <si>
    <t>the average live body weight (BW) of the animals in the population, kg</t>
  </si>
  <si>
    <t>a coefficient with a value of 0.8 for females, 1.0 for castrated males and 1.2 for breeding</t>
  </si>
  <si>
    <r>
      <rPr>
        <i/>
        <sz val="11"/>
        <color theme="1"/>
        <rFont val="Calibri"/>
        <family val="2"/>
      </rPr>
      <t>default</t>
    </r>
    <r>
      <rPr>
        <sz val="11"/>
        <color theme="1"/>
        <rFont val="Calibri"/>
        <family val="2"/>
      </rPr>
      <t xml:space="preserve"> e NRC (1996)</t>
    </r>
  </si>
  <si>
    <t>MW</t>
  </si>
  <si>
    <t>WG</t>
  </si>
  <si>
    <r>
      <rPr>
        <sz val="10"/>
        <color theme="1"/>
        <rFont val="Trebuchet MS"/>
        <family val="2"/>
      </rPr>
      <t>average daily weight gain per animal within a population, kg day</t>
    </r>
    <r>
      <rPr>
        <vertAlign val="superscript"/>
        <sz val="10"/>
        <color theme="1"/>
        <rFont val="Trebuchet MS"/>
        <family val="2"/>
      </rPr>
      <t>-1</t>
    </r>
  </si>
  <si>
    <t>Equation 5
IPCC, 2019 "Emissions from livestock and manure management"V.4, Ch.10, Eq.10.8</t>
  </si>
  <si>
    <r>
      <rPr>
        <sz val="11"/>
        <color theme="1"/>
        <rFont val="Calibri"/>
        <family val="2"/>
      </rPr>
      <t>NE</t>
    </r>
    <r>
      <rPr>
        <vertAlign val="subscript"/>
        <sz val="11"/>
        <color theme="1"/>
        <rFont val="Calibri"/>
        <family val="2"/>
      </rPr>
      <t xml:space="preserve">l </t>
    </r>
    <r>
      <rPr>
        <sz val="11"/>
        <color theme="1"/>
        <rFont val="Calibri"/>
        <family val="2"/>
      </rPr>
      <t>= Milk x (1,47 + 0,40 x Fat)</t>
    </r>
  </si>
  <si>
    <r>
      <rPr>
        <b/>
        <sz val="10"/>
        <color theme="1"/>
        <rFont val="Trebuchet MS"/>
        <family val="2"/>
      </rPr>
      <t>NE</t>
    </r>
    <r>
      <rPr>
        <b/>
        <vertAlign val="subscript"/>
        <sz val="10"/>
        <color theme="1"/>
        <rFont val="Trebuchet MS"/>
        <family val="2"/>
      </rPr>
      <t>l</t>
    </r>
  </si>
  <si>
    <r>
      <rPr>
        <sz val="11"/>
        <color theme="1"/>
        <rFont val="Calibri"/>
        <family val="2"/>
      </rPr>
      <t>net energy for lactation, MJ day</t>
    </r>
    <r>
      <rPr>
        <vertAlign val="superscript"/>
        <sz val="11"/>
        <color theme="1"/>
        <rFont val="Calibri"/>
        <family val="2"/>
      </rPr>
      <t>-1</t>
    </r>
  </si>
  <si>
    <t>Milk</t>
  </si>
  <si>
    <t>amount of milk production, kg of milk day-1</t>
  </si>
  <si>
    <t xml:space="preserve">default </t>
  </si>
  <si>
    <t>Fat</t>
  </si>
  <si>
    <t>fat content in milk,% by weight</t>
  </si>
  <si>
    <r>
      <rPr>
        <i/>
        <sz val="11"/>
        <color theme="1"/>
        <rFont val="Calibri"/>
        <family val="2"/>
      </rPr>
      <t>default</t>
    </r>
    <r>
      <rPr>
        <sz val="11"/>
        <color theme="1"/>
        <rFont val="Calibri"/>
        <family val="2"/>
      </rPr>
      <t xml:space="preserve"> </t>
    </r>
  </si>
  <si>
    <t>Equation 6
IPCC, 2019 "Emissions from livestock and manure management"V.4, Ch.10, Eq.10.11</t>
  </si>
  <si>
    <r>
      <rPr>
        <sz val="11"/>
        <color theme="1"/>
        <rFont val="Calibri"/>
        <family val="2"/>
      </rPr>
      <t>NE</t>
    </r>
    <r>
      <rPr>
        <vertAlign val="subscript"/>
        <sz val="11"/>
        <color theme="1"/>
        <rFont val="Calibri"/>
        <family val="2"/>
      </rPr>
      <t>work</t>
    </r>
    <r>
      <rPr>
        <sz val="11"/>
        <color theme="1"/>
        <rFont val="Calibri"/>
        <family val="2"/>
      </rPr>
      <t xml:space="preserve"> = 0,10 x NE</t>
    </r>
    <r>
      <rPr>
        <vertAlign val="subscript"/>
        <sz val="11"/>
        <color theme="1"/>
        <rFont val="Calibri"/>
        <family val="2"/>
      </rPr>
      <t>m</t>
    </r>
    <r>
      <rPr>
        <sz val="11"/>
        <color theme="1"/>
        <rFont val="Calibri"/>
        <family val="2"/>
      </rPr>
      <t xml:space="preserve"> x Hours</t>
    </r>
  </si>
  <si>
    <r>
      <rPr>
        <b/>
        <sz val="10"/>
        <color theme="1"/>
        <rFont val="Trebuchet MS"/>
        <family val="2"/>
      </rPr>
      <t>NE</t>
    </r>
    <r>
      <rPr>
        <b/>
        <vertAlign val="subscript"/>
        <sz val="10"/>
        <color theme="1"/>
        <rFont val="Trebuchet MS"/>
        <family val="2"/>
      </rPr>
      <t>work</t>
    </r>
  </si>
  <si>
    <r>
      <rPr>
        <sz val="11"/>
        <color theme="1"/>
        <rFont val="Calibri"/>
        <family val="2"/>
      </rPr>
      <t>net energy for work, MJ day</t>
    </r>
    <r>
      <rPr>
        <vertAlign val="superscript"/>
        <sz val="11"/>
        <color theme="1"/>
        <rFont val="Calibri"/>
        <family val="2"/>
      </rPr>
      <t>-1</t>
    </r>
  </si>
  <si>
    <r>
      <rPr>
        <b/>
        <sz val="10"/>
        <color theme="1"/>
        <rFont val="Trebuchet MS"/>
        <family val="2"/>
      </rPr>
      <t>NE</t>
    </r>
    <r>
      <rPr>
        <b/>
        <vertAlign val="subscript"/>
        <sz val="10"/>
        <color theme="1"/>
        <rFont val="Trebuchet MS"/>
        <family val="2"/>
      </rPr>
      <t>m</t>
    </r>
  </si>
  <si>
    <r>
      <rPr>
        <sz val="10"/>
        <color theme="1"/>
        <rFont val="Trebuchet MS"/>
        <family val="2"/>
      </rPr>
      <t>net energy required by the animal for maintenance, MJ day</t>
    </r>
    <r>
      <rPr>
        <vertAlign val="superscript"/>
        <sz val="10"/>
        <color theme="1"/>
        <rFont val="Trebuchet MS"/>
        <family val="2"/>
      </rPr>
      <t>-1</t>
    </r>
  </si>
  <si>
    <t>Hours</t>
  </si>
  <si>
    <t>number of hours of work per day</t>
  </si>
  <si>
    <t>Equation 7
IPCC, 2019 "Emissions from livestock and manure management"V.4, Ch.10, Eq.10.13</t>
  </si>
  <si>
    <r>
      <rPr>
        <sz val="11"/>
        <color theme="1"/>
        <rFont val="Calibri"/>
        <family val="2"/>
      </rPr>
      <t>NE</t>
    </r>
    <r>
      <rPr>
        <vertAlign val="subscript"/>
        <sz val="11"/>
        <color theme="1"/>
        <rFont val="Calibri"/>
        <family val="2"/>
      </rPr>
      <t>p</t>
    </r>
    <r>
      <rPr>
        <sz val="11"/>
        <color theme="1"/>
        <rFont val="Calibri"/>
        <family val="2"/>
      </rPr>
      <t xml:space="preserve"> = C</t>
    </r>
    <r>
      <rPr>
        <vertAlign val="subscript"/>
        <sz val="11"/>
        <color theme="1"/>
        <rFont val="Calibri"/>
        <family val="2"/>
      </rPr>
      <t>pregnancy</t>
    </r>
    <r>
      <rPr>
        <sz val="11"/>
        <color theme="1"/>
        <rFont val="Calibri"/>
        <family val="2"/>
      </rPr>
      <t xml:space="preserve"> x NE</t>
    </r>
    <r>
      <rPr>
        <vertAlign val="subscript"/>
        <sz val="11"/>
        <color theme="1"/>
        <rFont val="Calibri"/>
        <family val="2"/>
      </rPr>
      <t>m</t>
    </r>
  </si>
  <si>
    <r>
      <rPr>
        <b/>
        <sz val="10"/>
        <color theme="1"/>
        <rFont val="Trebuchet MS"/>
        <family val="2"/>
      </rPr>
      <t>NE</t>
    </r>
    <r>
      <rPr>
        <b/>
        <vertAlign val="subscript"/>
        <sz val="10"/>
        <color theme="1"/>
        <rFont val="Trebuchet MS"/>
        <family val="2"/>
      </rPr>
      <t>p</t>
    </r>
  </si>
  <si>
    <r>
      <rPr>
        <sz val="11"/>
        <color theme="1"/>
        <rFont val="Calibri"/>
        <family val="2"/>
      </rPr>
      <t>net energy required for pregnancy, MJ day</t>
    </r>
    <r>
      <rPr>
        <vertAlign val="superscript"/>
        <sz val="11"/>
        <color theme="1"/>
        <rFont val="Calibri"/>
        <family val="2"/>
      </rPr>
      <t>-1</t>
    </r>
  </si>
  <si>
    <r>
      <rPr>
        <b/>
        <sz val="10"/>
        <color theme="1"/>
        <rFont val="Trebuchet MS"/>
        <family val="2"/>
      </rPr>
      <t>C</t>
    </r>
    <r>
      <rPr>
        <b/>
        <vertAlign val="subscript"/>
        <sz val="10"/>
        <color theme="1"/>
        <rFont val="Trebuchet MS"/>
        <family val="2"/>
      </rPr>
      <t xml:space="preserve">pregnancy </t>
    </r>
  </si>
  <si>
    <t>pregnancy coefficient</t>
  </si>
  <si>
    <r>
      <rPr>
        <b/>
        <sz val="10"/>
        <color theme="1"/>
        <rFont val="Trebuchet MS"/>
        <family val="2"/>
      </rPr>
      <t>NE</t>
    </r>
    <r>
      <rPr>
        <b/>
        <vertAlign val="subscript"/>
        <sz val="10"/>
        <color theme="1"/>
        <rFont val="Trebuchet MS"/>
        <family val="2"/>
      </rPr>
      <t>m</t>
    </r>
  </si>
  <si>
    <r>
      <rPr>
        <sz val="10"/>
        <color theme="1"/>
        <rFont val="Trebuchet MS"/>
        <family val="2"/>
      </rPr>
      <t>net energy required by the animal for maintenance, MJ day</t>
    </r>
    <r>
      <rPr>
        <vertAlign val="superscript"/>
        <sz val="10"/>
        <color theme="1"/>
        <rFont val="Trebuchet MS"/>
        <family val="2"/>
      </rPr>
      <t>-1</t>
    </r>
  </si>
  <si>
    <t>Equation 8
IPCC, 2019 "Emissions from livestock and manure management"V.4, Ch.10, Eq.10.14</t>
  </si>
  <si>
    <r>
      <rPr>
        <sz val="11"/>
        <color theme="1"/>
        <rFont val="Calibri"/>
        <family val="2"/>
      </rPr>
      <t>REM = [1,123 – (4,092 x 10</t>
    </r>
    <r>
      <rPr>
        <vertAlign val="superscript"/>
        <sz val="11"/>
        <color theme="1"/>
        <rFont val="Calibri"/>
        <family val="2"/>
      </rPr>
      <t>-3</t>
    </r>
    <r>
      <rPr>
        <sz val="11"/>
        <color theme="1"/>
        <rFont val="Calibri"/>
        <family val="2"/>
      </rPr>
      <t xml:space="preserve"> x DE) + [1,126 x 10</t>
    </r>
    <r>
      <rPr>
        <vertAlign val="superscript"/>
        <sz val="11"/>
        <color theme="1"/>
        <rFont val="Calibri"/>
        <family val="2"/>
      </rPr>
      <t xml:space="preserve">-5 </t>
    </r>
    <r>
      <rPr>
        <sz val="11"/>
        <color theme="1"/>
        <rFont val="Calibri"/>
        <family val="2"/>
      </rPr>
      <t>x (DE)</t>
    </r>
    <r>
      <rPr>
        <vertAlign val="superscript"/>
        <sz val="11"/>
        <color theme="1"/>
        <rFont val="Calibri"/>
        <family val="2"/>
      </rPr>
      <t>2</t>
    </r>
    <r>
      <rPr>
        <sz val="11"/>
        <color theme="1"/>
        <rFont val="Calibri"/>
        <family val="2"/>
      </rPr>
      <t>] – (25,4/DE)]</t>
    </r>
  </si>
  <si>
    <t>ratio of net energy available in diet for maintenance to digestible energy</t>
  </si>
  <si>
    <t>digestibility of feed expressed as a fraction of gross energy (digestible energy/gross energy*100, i.e. DE%)</t>
  </si>
  <si>
    <t>Equation 9
IPCC, 2019 "Emissions from livestock and manure management"V.4, Ch.10, Eq.10.15</t>
  </si>
  <si>
    <r>
      <rPr>
        <sz val="11"/>
        <color theme="1"/>
        <rFont val="Calibri"/>
        <family val="2"/>
      </rPr>
      <t>REG = [1,164 – (5,16 x 10</t>
    </r>
    <r>
      <rPr>
        <vertAlign val="superscript"/>
        <sz val="11"/>
        <color theme="1"/>
        <rFont val="Calibri"/>
        <family val="2"/>
      </rPr>
      <t xml:space="preserve">-3 </t>
    </r>
    <r>
      <rPr>
        <sz val="11"/>
        <color theme="1"/>
        <rFont val="Calibri"/>
        <family val="2"/>
      </rPr>
      <t>x DE) + [1,308 x 10</t>
    </r>
    <r>
      <rPr>
        <vertAlign val="superscript"/>
        <sz val="11"/>
        <color theme="1"/>
        <rFont val="Calibri"/>
        <family val="2"/>
      </rPr>
      <t>-5</t>
    </r>
    <r>
      <rPr>
        <sz val="11"/>
        <color theme="1"/>
        <rFont val="Calibri"/>
        <family val="2"/>
      </rPr>
      <t xml:space="preserve"> x (DE)</t>
    </r>
    <r>
      <rPr>
        <vertAlign val="superscript"/>
        <sz val="11"/>
        <color theme="1"/>
        <rFont val="Calibri"/>
        <family val="2"/>
      </rPr>
      <t>2</t>
    </r>
    <r>
      <rPr>
        <sz val="11"/>
        <color theme="1"/>
        <rFont val="Calibri"/>
        <family val="2"/>
      </rPr>
      <t>] – (37,4/DE)]</t>
    </r>
  </si>
  <si>
    <t>ratio of net energy available for growth in a diet to digestible energy consumed</t>
  </si>
  <si>
    <t>Equation 10
IPCC, 2019 "Emissions from livestock and manure management"V.4, Ch.10, Eq.10.20</t>
  </si>
  <si>
    <r>
      <rPr>
        <sz val="11"/>
        <color theme="1"/>
        <rFont val="Calibri"/>
        <family val="2"/>
      </rPr>
      <t>Total CH</t>
    </r>
    <r>
      <rPr>
        <vertAlign val="subscript"/>
        <sz val="11"/>
        <color theme="1"/>
        <rFont val="Calibri"/>
        <family val="2"/>
      </rPr>
      <t>4Enteric</t>
    </r>
    <r>
      <rPr>
        <sz val="11"/>
        <color theme="1"/>
        <rFont val="Calibri"/>
        <family val="2"/>
      </rPr>
      <t xml:space="preserve"> = Ʃ</t>
    </r>
    <r>
      <rPr>
        <vertAlign val="subscript"/>
        <sz val="11"/>
        <color theme="1"/>
        <rFont val="Calibri"/>
        <family val="2"/>
      </rPr>
      <t xml:space="preserve">i,P </t>
    </r>
    <r>
      <rPr>
        <sz val="11"/>
        <color theme="1"/>
        <rFont val="Calibri"/>
        <family val="2"/>
      </rPr>
      <t>E</t>
    </r>
    <r>
      <rPr>
        <vertAlign val="subscript"/>
        <sz val="11"/>
        <color theme="1"/>
        <rFont val="Calibri"/>
        <family val="2"/>
      </rPr>
      <t>i, P</t>
    </r>
  </si>
  <si>
    <r>
      <rPr>
        <sz val="11"/>
        <color theme="1"/>
        <rFont val="Calibri"/>
        <family val="2"/>
      </rPr>
      <t>Total CH</t>
    </r>
    <r>
      <rPr>
        <vertAlign val="subscript"/>
        <sz val="11"/>
        <color theme="1"/>
        <rFont val="Calibri"/>
        <family val="2"/>
      </rPr>
      <t>4Enteric</t>
    </r>
  </si>
  <si>
    <r>
      <rPr>
        <sz val="11"/>
        <color theme="1"/>
        <rFont val="Calibri"/>
        <family val="2"/>
      </rPr>
      <t>total methane emissions from enteric fermentation, Gg CH</t>
    </r>
    <r>
      <rPr>
        <vertAlign val="subscript"/>
        <sz val="11"/>
        <color theme="1"/>
        <rFont val="Calibri"/>
        <family val="2"/>
      </rPr>
      <t>4</t>
    </r>
    <r>
      <rPr>
        <sz val="11"/>
        <color theme="1"/>
        <rFont val="Calibri"/>
        <family val="2"/>
      </rPr>
      <t xml:space="preserve"> y</t>
    </r>
    <r>
      <rPr>
        <vertAlign val="superscript"/>
        <sz val="11"/>
        <color theme="1"/>
        <rFont val="Calibri"/>
        <family val="2"/>
      </rPr>
      <t>r-1</t>
    </r>
  </si>
  <si>
    <r>
      <rPr>
        <sz val="10"/>
        <color theme="1"/>
        <rFont val="Trebuchet MS"/>
        <family val="2"/>
      </rPr>
      <t>E</t>
    </r>
    <r>
      <rPr>
        <vertAlign val="subscript"/>
        <sz val="10"/>
        <color theme="1"/>
        <rFont val="Trebuchet MS"/>
        <family val="2"/>
      </rPr>
      <t>i,P</t>
    </r>
  </si>
  <si>
    <r>
      <rPr>
        <sz val="10"/>
        <color theme="1"/>
        <rFont val="Trebuchet MS"/>
        <family val="2"/>
      </rPr>
      <t>is the emissions for the i</t>
    </r>
    <r>
      <rPr>
        <vertAlign val="superscript"/>
        <sz val="10"/>
        <color theme="1"/>
        <rFont val="Trebuchet MS"/>
        <family val="2"/>
      </rPr>
      <t>th</t>
    </r>
    <r>
      <rPr>
        <sz val="10"/>
        <color theme="1"/>
        <rFont val="Trebuchet MS"/>
        <family val="2"/>
      </rPr>
      <t xml:space="preserve"> livestock categories and subcategories based on production systems (P)</t>
    </r>
  </si>
  <si>
    <t>Equation 11
IPCC, 2019 "Emissions from livestock and manure management"V.4, Ch.10, Eq.10.19</t>
  </si>
  <si>
    <r>
      <rPr>
        <sz val="11"/>
        <color theme="1"/>
        <rFont val="Calibri"/>
        <family val="2"/>
      </rPr>
      <t>Emissions CH</t>
    </r>
    <r>
      <rPr>
        <vertAlign val="subscript"/>
        <sz val="11"/>
        <color theme="1"/>
        <rFont val="Calibri"/>
        <family val="2"/>
      </rPr>
      <t>4 Enteric</t>
    </r>
    <r>
      <rPr>
        <sz val="11"/>
        <color theme="1"/>
        <rFont val="Calibri"/>
        <family val="2"/>
      </rPr>
      <t xml:space="preserve"> = ∑</t>
    </r>
    <r>
      <rPr>
        <vertAlign val="subscript"/>
        <sz val="11"/>
        <color theme="1"/>
        <rFont val="Calibri"/>
        <family val="2"/>
      </rPr>
      <t>(P)</t>
    </r>
    <r>
      <rPr>
        <sz val="11"/>
        <color theme="1"/>
        <rFont val="Calibri"/>
        <family val="2"/>
      </rPr>
      <t xml:space="preserve"> EF</t>
    </r>
    <r>
      <rPr>
        <vertAlign val="subscript"/>
        <sz val="11"/>
        <color theme="1"/>
        <rFont val="Calibri"/>
        <family val="2"/>
      </rPr>
      <t>(T,P)</t>
    </r>
    <r>
      <rPr>
        <sz val="11"/>
        <color theme="1"/>
        <rFont val="Calibri"/>
        <family val="2"/>
      </rPr>
      <t xml:space="preserve"> x (N</t>
    </r>
    <r>
      <rPr>
        <vertAlign val="subscript"/>
        <sz val="11"/>
        <color theme="1"/>
        <rFont val="Calibri"/>
        <family val="2"/>
      </rPr>
      <t>(T,P)</t>
    </r>
    <r>
      <rPr>
        <sz val="11"/>
        <color theme="1"/>
        <rFont val="Calibri"/>
        <family val="2"/>
      </rPr>
      <t>/10</t>
    </r>
    <r>
      <rPr>
        <vertAlign val="superscript"/>
        <sz val="11"/>
        <color theme="1"/>
        <rFont val="Calibri"/>
        <family val="2"/>
      </rPr>
      <t>6</t>
    </r>
    <r>
      <rPr>
        <sz val="11"/>
        <color theme="1"/>
        <rFont val="Calibri"/>
        <family val="2"/>
      </rPr>
      <t>)</t>
    </r>
  </si>
  <si>
    <r>
      <rPr>
        <sz val="11"/>
        <color theme="1"/>
        <rFont val="Calibri"/>
        <family val="2"/>
      </rPr>
      <t>Emissions CH</t>
    </r>
    <r>
      <rPr>
        <vertAlign val="subscript"/>
        <sz val="11"/>
        <color theme="1"/>
        <rFont val="Calibri"/>
        <family val="2"/>
      </rPr>
      <t xml:space="preserve">4 Enteric </t>
    </r>
  </si>
  <si>
    <r>
      <rPr>
        <sz val="11"/>
        <color theme="1"/>
        <rFont val="Calibri"/>
        <family val="2"/>
      </rPr>
      <t>Methane emissions from enteric fermentation in animal category T, Gg CH</t>
    </r>
    <r>
      <rPr>
        <vertAlign val="subscript"/>
        <sz val="11"/>
        <color theme="1"/>
        <rFont val="Calibri"/>
        <family val="2"/>
      </rPr>
      <t>4</t>
    </r>
    <r>
      <rPr>
        <sz val="11"/>
        <color theme="1"/>
        <rFont val="Calibri"/>
        <family val="2"/>
      </rPr>
      <t xml:space="preserve"> yr</t>
    </r>
    <r>
      <rPr>
        <vertAlign val="superscript"/>
        <sz val="11"/>
        <color theme="1"/>
        <rFont val="Calibri"/>
        <family val="2"/>
      </rPr>
      <t>-1</t>
    </r>
  </si>
  <si>
    <r>
      <rPr>
        <sz val="10"/>
        <color theme="1"/>
        <rFont val="Trebuchet MS"/>
        <family val="2"/>
      </rPr>
      <t>EF</t>
    </r>
    <r>
      <rPr>
        <vertAlign val="subscript"/>
        <sz val="10"/>
        <color theme="1"/>
        <rFont val="Trebuchet MS"/>
        <family val="2"/>
      </rPr>
      <t xml:space="preserve">(T,P) </t>
    </r>
  </si>
  <si>
    <r>
      <rPr>
        <sz val="10"/>
        <color theme="1"/>
        <rFont val="Trebuchet MS"/>
        <family val="2"/>
      </rPr>
      <t>Emission factor for defined livestock population T and the productivity system P, kg CH4 head</t>
    </r>
    <r>
      <rPr>
        <vertAlign val="superscript"/>
        <sz val="10"/>
        <color theme="1"/>
        <rFont val="Trebuchet MS"/>
        <family val="2"/>
      </rPr>
      <t>-1</t>
    </r>
    <r>
      <rPr>
        <sz val="10"/>
        <color theme="1"/>
        <rFont val="Trebuchet MS"/>
        <family val="2"/>
      </rPr>
      <t xml:space="preserve"> year</t>
    </r>
    <r>
      <rPr>
        <vertAlign val="superscript"/>
        <sz val="10"/>
        <color theme="1"/>
        <rFont val="Trebuchet MS"/>
        <family val="2"/>
      </rPr>
      <t>-1</t>
    </r>
  </si>
  <si>
    <r>
      <rPr>
        <sz val="10"/>
        <color theme="1"/>
        <rFont val="Trebuchet MS"/>
        <family val="2"/>
      </rPr>
      <t>N</t>
    </r>
    <r>
      <rPr>
        <vertAlign val="subscript"/>
        <sz val="10"/>
        <color theme="1"/>
        <rFont val="Trebuchet MS"/>
        <family val="2"/>
      </rPr>
      <t xml:space="preserve">(T,P) </t>
    </r>
  </si>
  <si>
    <t>Number of the head of livestock species/animal category T in the country classified as productivity system P.</t>
  </si>
  <si>
    <t xml:space="preserve">T </t>
  </si>
  <si>
    <t>species/animal category</t>
  </si>
  <si>
    <t>P</t>
  </si>
  <si>
    <t>productivity system, either high or low productivity for use in advanced Tier 1a-omitted if using Tier 1 approach</t>
  </si>
  <si>
    <t>Equation 12
IPCC, 2019 "Emissions from livestock and manure management"V.4, Ch.10, Eq.10.21</t>
  </si>
  <si>
    <r>
      <rPr>
        <sz val="11"/>
        <color theme="1"/>
        <rFont val="Calibri"/>
        <family val="2"/>
      </rPr>
      <t>EF</t>
    </r>
    <r>
      <rPr>
        <vertAlign val="subscript"/>
        <sz val="11"/>
        <color theme="1"/>
        <rFont val="Calibri"/>
        <family val="2"/>
      </rPr>
      <t>(T)</t>
    </r>
    <r>
      <rPr>
        <sz val="11"/>
        <color theme="1"/>
        <rFont val="Calibri"/>
        <family val="2"/>
      </rPr>
      <t xml:space="preserve"> = (GE x (Y</t>
    </r>
    <r>
      <rPr>
        <vertAlign val="subscript"/>
        <sz val="11"/>
        <color theme="1"/>
        <rFont val="Calibri"/>
        <family val="2"/>
      </rPr>
      <t>m</t>
    </r>
    <r>
      <rPr>
        <sz val="11"/>
        <color theme="1"/>
        <rFont val="Calibri"/>
        <family val="2"/>
      </rPr>
      <t>/100) x 365)/55.65</t>
    </r>
  </si>
  <si>
    <t>EF</t>
  </si>
  <si>
    <r>
      <rPr>
        <sz val="11"/>
        <color theme="1"/>
        <rFont val="Calibri"/>
        <family val="2"/>
      </rPr>
      <t>emission factor, kg CH</t>
    </r>
    <r>
      <rPr>
        <vertAlign val="subscript"/>
        <sz val="11"/>
        <color theme="1"/>
        <rFont val="Calibri"/>
        <family val="2"/>
      </rPr>
      <t>4</t>
    </r>
    <r>
      <rPr>
        <sz val="11"/>
        <color theme="1"/>
        <rFont val="Calibri"/>
        <family val="2"/>
      </rPr>
      <t xml:space="preserve"> head</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</si>
  <si>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0"/>
        <color theme="1"/>
        <rFont val="Trebuchet MS"/>
        <family val="2"/>
      </rPr>
      <t>Gross energy intake, MJ head</t>
    </r>
    <r>
      <rPr>
        <vertAlign val="superscript"/>
        <sz val="10"/>
        <color theme="1"/>
        <rFont val="Trebuchet MS"/>
        <family val="2"/>
      </rPr>
      <t>-1</t>
    </r>
    <r>
      <rPr>
        <sz val="10"/>
        <color theme="1"/>
        <rFont val="Trebuchet MS"/>
        <family val="2"/>
      </rPr>
      <t xml:space="preserve"> day</t>
    </r>
    <r>
      <rPr>
        <vertAlign val="superscript"/>
        <sz val="10"/>
        <color theme="1"/>
        <rFont val="Trebuchet MS"/>
        <family val="2"/>
      </rPr>
      <t>-1</t>
    </r>
  </si>
  <si>
    <r>
      <rPr>
        <sz val="10"/>
        <color theme="1"/>
        <rFont val="Trebuchet MS"/>
        <family val="2"/>
      </rPr>
      <t>Y</t>
    </r>
    <r>
      <rPr>
        <vertAlign val="subscript"/>
        <sz val="10"/>
        <color theme="1"/>
        <rFont val="Trebuchet MS"/>
        <family val="2"/>
      </rPr>
      <t>m</t>
    </r>
  </si>
  <si>
    <t>Methane conversion factor, % of gross energy in feed converted to methane</t>
  </si>
  <si>
    <r>
      <rPr>
        <sz val="10"/>
        <color theme="1"/>
        <rFont val="Trebuchet MS"/>
        <family val="2"/>
      </rPr>
      <t>the energy content of methane, MJ kg CH</t>
    </r>
    <r>
      <rPr>
        <vertAlign val="subscript"/>
        <sz val="10"/>
        <color theme="1"/>
        <rFont val="Trebuchet MS"/>
        <family val="2"/>
      </rPr>
      <t>4</t>
    </r>
    <r>
      <rPr>
        <vertAlign val="superscript"/>
        <sz val="10"/>
        <color theme="1"/>
        <rFont val="Trebuchet MS"/>
        <family val="2"/>
      </rPr>
      <t>-1</t>
    </r>
  </si>
  <si>
    <t>CH4 emissions</t>
  </si>
  <si>
    <t>Equation 13
IPCC, 2019 "Emissions from livestock and manure management"V.4, Ch.10, Eq.10.22</t>
  </si>
  <si>
    <r>
      <rPr>
        <sz val="11"/>
        <color theme="1"/>
        <rFont val="Calibri"/>
        <family val="2"/>
      </rPr>
      <t>Emissions CH</t>
    </r>
    <r>
      <rPr>
        <vertAlign val="subscript"/>
        <sz val="11"/>
        <color theme="1"/>
        <rFont val="Calibri"/>
        <family val="2"/>
      </rPr>
      <t>₄ manure</t>
    </r>
    <r>
      <rPr>
        <sz val="11"/>
        <color theme="1"/>
        <rFont val="Calibri"/>
        <family val="2"/>
      </rPr>
      <t xml:space="preserve"> = (N</t>
    </r>
    <r>
      <rPr>
        <vertAlign val="subscript"/>
        <sz val="11"/>
        <color theme="1"/>
        <rFont val="Calibri"/>
        <family val="2"/>
      </rPr>
      <t>(T, S)</t>
    </r>
    <r>
      <rPr>
        <sz val="11"/>
        <color theme="1"/>
        <rFont val="Calibri"/>
        <family val="2"/>
      </rPr>
      <t xml:space="preserve"> x EF </t>
    </r>
    <r>
      <rPr>
        <vertAlign val="subscript"/>
        <sz val="11"/>
        <color theme="1"/>
        <rFont val="Calibri"/>
        <family val="2"/>
      </rPr>
      <t>(T, S, P)</t>
    </r>
    <r>
      <rPr>
        <sz val="11"/>
        <color theme="1"/>
        <rFont val="Calibri"/>
        <family val="2"/>
      </rPr>
      <t>)</t>
    </r>
  </si>
  <si>
    <r>
      <rPr>
        <sz val="10"/>
        <color theme="1"/>
        <rFont val="Trebuchet MS"/>
        <family val="2"/>
      </rPr>
      <t xml:space="preserve">Emissions CH₄ </t>
    </r>
    <r>
      <rPr>
        <vertAlign val="subscript"/>
        <sz val="10"/>
        <color theme="1"/>
        <rFont val="Trebuchet MS"/>
        <family val="2"/>
      </rPr>
      <t>manure</t>
    </r>
  </si>
  <si>
    <r>
      <rPr>
        <sz val="11"/>
        <color theme="1"/>
        <rFont val="Calibri"/>
        <family val="2"/>
      </rPr>
      <t>CH</t>
    </r>
    <r>
      <rPr>
        <vertAlign val="subscript"/>
        <sz val="11"/>
        <color theme="1"/>
        <rFont val="Calibri"/>
        <family val="2"/>
      </rPr>
      <t>4</t>
    </r>
    <r>
      <rPr>
        <sz val="11"/>
        <color theme="1"/>
        <rFont val="Calibri"/>
        <family val="2"/>
      </rPr>
      <t xml:space="preserve"> emissions from manure management, for a defined population, kg CH</t>
    </r>
    <r>
      <rPr>
        <vertAlign val="subscript"/>
        <sz val="11"/>
        <color theme="1"/>
        <rFont val="Calibri"/>
        <family val="2"/>
      </rPr>
      <t>4</t>
    </r>
    <r>
      <rPr>
        <sz val="11"/>
        <color theme="1"/>
        <rFont val="Calibri"/>
        <family val="2"/>
      </rPr>
      <t xml:space="preserve"> yr</t>
    </r>
    <r>
      <rPr>
        <vertAlign val="superscript"/>
        <sz val="11"/>
        <color theme="1"/>
        <rFont val="Calibri"/>
        <family val="2"/>
      </rPr>
      <t>-1</t>
    </r>
  </si>
  <si>
    <r>
      <rPr>
        <sz val="10"/>
        <color theme="1"/>
        <rFont val="Trebuchet MS"/>
        <family val="2"/>
      </rPr>
      <t>N</t>
    </r>
    <r>
      <rPr>
        <vertAlign val="subscript"/>
        <sz val="10"/>
        <color theme="1"/>
        <rFont val="Trebuchet MS"/>
        <family val="2"/>
      </rPr>
      <t>(T, S)</t>
    </r>
  </si>
  <si>
    <t>number of head of livestock species/category T in the country, for productivity system P</t>
  </si>
  <si>
    <r>
      <rPr>
        <sz val="10"/>
        <color theme="1"/>
        <rFont val="Trebuchet MS"/>
        <family val="2"/>
      </rPr>
      <t>EF</t>
    </r>
    <r>
      <rPr>
        <vertAlign val="subscript"/>
        <sz val="10"/>
        <color theme="1"/>
        <rFont val="Trebuchet MS"/>
        <family val="2"/>
      </rPr>
      <t>(T, S, P)</t>
    </r>
  </si>
  <si>
    <r>
      <rPr>
        <sz val="11"/>
        <color theme="1"/>
        <rFont val="Calibri"/>
        <family val="2"/>
      </rPr>
      <t>emission factor for direct CH</t>
    </r>
    <r>
      <rPr>
        <vertAlign val="subscript"/>
        <sz val="11"/>
        <color theme="1"/>
        <rFont val="Calibri"/>
        <family val="2"/>
      </rPr>
      <t>4</t>
    </r>
    <r>
      <rPr>
        <sz val="11"/>
        <color theme="1"/>
        <rFont val="Calibri"/>
        <family val="2"/>
      </rPr>
      <t xml:space="preserve"> emissions from manure management system S, by animal species/category T, in manure management system S, for productivity system P, when applicable, kg CH</t>
    </r>
    <r>
      <rPr>
        <vertAlign val="subscript"/>
        <sz val="11"/>
        <color theme="1"/>
        <rFont val="Calibri"/>
        <family val="2"/>
      </rPr>
      <t>4</t>
    </r>
    <r>
      <rPr>
        <sz val="11"/>
        <color theme="1"/>
        <rFont val="Calibri"/>
        <family val="2"/>
      </rPr>
      <t xml:space="preserve"> animal</t>
    </r>
    <r>
      <rPr>
        <vertAlign val="superscript"/>
        <sz val="11"/>
        <color theme="1"/>
        <rFont val="Calibri"/>
        <family val="2"/>
      </rPr>
      <t>-1</t>
    </r>
    <r>
      <rPr>
        <sz val="11"/>
        <color theme="1"/>
        <rFont val="Calibri"/>
        <family val="2"/>
      </rPr>
      <t xml:space="preserve"> year </t>
    </r>
    <r>
      <rPr>
        <vertAlign val="superscript"/>
        <sz val="11"/>
        <color theme="1"/>
        <rFont val="Calibri"/>
        <family val="2"/>
      </rPr>
      <t>-1</t>
    </r>
  </si>
  <si>
    <t>Equation 14
IPCC, 2019 "Emissions from livestock and manure management"V.4, Ch.10, Eq.10.23</t>
  </si>
  <si>
    <r>
      <rPr>
        <sz val="11"/>
        <color theme="1"/>
        <rFont val="Calibri"/>
        <family val="2"/>
      </rPr>
      <t>EFmanure</t>
    </r>
    <r>
      <rPr>
        <vertAlign val="subscript"/>
        <sz val="11"/>
        <color theme="1"/>
        <rFont val="Calibri"/>
        <family val="2"/>
      </rPr>
      <t>(T)</t>
    </r>
    <r>
      <rPr>
        <sz val="11"/>
        <color theme="1"/>
        <rFont val="Calibri"/>
        <family val="2"/>
      </rPr>
      <t>=(VS</t>
    </r>
    <r>
      <rPr>
        <vertAlign val="subscript"/>
        <sz val="11"/>
        <color theme="1"/>
        <rFont val="Calibri"/>
        <family val="2"/>
      </rPr>
      <t>(T)</t>
    </r>
    <r>
      <rPr>
        <sz val="11"/>
        <color theme="1"/>
        <rFont val="Calibri"/>
        <family val="2"/>
      </rPr>
      <t xml:space="preserve"> × 365)×[(B0</t>
    </r>
    <r>
      <rPr>
        <vertAlign val="subscript"/>
        <sz val="11"/>
        <color theme="1"/>
        <rFont val="Calibri"/>
        <family val="2"/>
      </rPr>
      <t>(T)</t>
    </r>
    <r>
      <rPr>
        <sz val="11"/>
        <color theme="1"/>
        <rFont val="Calibri"/>
        <family val="2"/>
      </rPr>
      <t xml:space="preserve"> × 0,67 )× (∑</t>
    </r>
    <r>
      <rPr>
        <vertAlign val="subscript"/>
        <sz val="11"/>
        <color theme="1"/>
        <rFont val="Calibri"/>
        <family val="2"/>
      </rPr>
      <t>(S,k)</t>
    </r>
    <r>
      <rPr>
        <sz val="11"/>
        <color theme="1"/>
        <rFont val="Calibri"/>
        <family val="2"/>
      </rPr>
      <t>(MCF</t>
    </r>
    <r>
      <rPr>
        <vertAlign val="subscript"/>
        <sz val="11"/>
        <color theme="1"/>
        <rFont val="Calibri"/>
        <family val="2"/>
      </rPr>
      <t>(S,K)</t>
    </r>
    <r>
      <rPr>
        <sz val="11"/>
        <color theme="1"/>
        <rFont val="Calibri"/>
        <family val="2"/>
      </rPr>
      <t>/100) × (AWMS</t>
    </r>
    <r>
      <rPr>
        <vertAlign val="subscript"/>
        <sz val="11"/>
        <color theme="1"/>
        <rFont val="Calibri"/>
        <family val="2"/>
      </rPr>
      <t>(T,S,k)</t>
    </r>
    <r>
      <rPr>
        <sz val="11"/>
        <color theme="1"/>
        <rFont val="Calibri"/>
        <family val="2"/>
      </rPr>
      <t>/100)]</t>
    </r>
  </si>
  <si>
    <r>
      <rPr>
        <sz val="10"/>
        <color theme="1"/>
        <rFont val="Trebuchet MS"/>
        <family val="2"/>
      </rPr>
      <t>EFmanure</t>
    </r>
    <r>
      <rPr>
        <vertAlign val="subscript"/>
        <sz val="10"/>
        <color theme="1"/>
        <rFont val="Trebuchet MS"/>
        <family val="2"/>
      </rPr>
      <t>(T)</t>
    </r>
  </si>
  <si>
    <r>
      <rPr>
        <sz val="11"/>
        <color theme="1"/>
        <rFont val="Calibri"/>
        <family val="2"/>
      </rPr>
      <t>annual CH</t>
    </r>
    <r>
      <rPr>
        <vertAlign val="subscript"/>
        <sz val="11"/>
        <color theme="1"/>
        <rFont val="Calibri"/>
        <family val="2"/>
      </rPr>
      <t>4</t>
    </r>
    <r>
      <rPr>
        <sz val="11"/>
        <color theme="1"/>
        <rFont val="Calibri"/>
        <family val="2"/>
      </rPr>
      <t xml:space="preserve"> emission factor for livestock category T, kg CH</t>
    </r>
    <r>
      <rPr>
        <vertAlign val="subscript"/>
        <sz val="11"/>
        <color theme="1"/>
        <rFont val="Calibri"/>
        <family val="2"/>
      </rPr>
      <t>4</t>
    </r>
    <r>
      <rPr>
        <sz val="11"/>
        <color theme="1"/>
        <rFont val="Calibri"/>
        <family val="2"/>
      </rPr>
      <t xml:space="preserve">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</si>
  <si>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1"/>
        <color theme="1"/>
        <rFont val="Calibri"/>
        <family val="2"/>
      </rPr>
      <t>VS</t>
    </r>
    <r>
      <rPr>
        <vertAlign val="subscript"/>
        <sz val="11"/>
        <color theme="1"/>
        <rFont val="Calibri"/>
        <family val="2"/>
      </rPr>
      <t>(T)</t>
    </r>
  </si>
  <si>
    <r>
      <rPr>
        <sz val="11"/>
        <color theme="1"/>
        <rFont val="Calibri"/>
        <family val="2"/>
      </rPr>
      <t>daily volatile solid excreted for livestock category T, kg dry matter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</si>
  <si>
    <r>
      <rPr>
        <sz val="11"/>
        <color theme="1"/>
        <rFont val="Calibri"/>
        <family val="2"/>
      </rPr>
      <t>B</t>
    </r>
    <r>
      <rPr>
        <vertAlign val="subscript"/>
        <sz val="11"/>
        <color theme="1"/>
        <rFont val="Calibri"/>
        <family val="2"/>
      </rPr>
      <t>0(T)</t>
    </r>
  </si>
  <si>
    <r>
      <rPr>
        <sz val="11"/>
        <color theme="1"/>
        <rFont val="Calibri"/>
        <family val="2"/>
      </rPr>
      <t>maximum methane producing capacity for manure produced by livestock category T, m</t>
    </r>
    <r>
      <rPr>
        <vertAlign val="superscript"/>
        <sz val="11"/>
        <color theme="1"/>
        <rFont val="Calibri"/>
        <family val="2"/>
      </rPr>
      <t>3</t>
    </r>
    <r>
      <rPr>
        <sz val="11"/>
        <color theme="1"/>
        <rFont val="Calibri"/>
        <family val="2"/>
      </rPr>
      <t xml:space="preserve"> CH</t>
    </r>
    <r>
      <rPr>
        <vertAlign val="subscript"/>
        <sz val="11"/>
        <color theme="1"/>
        <rFont val="Calibri"/>
        <family val="2"/>
      </rPr>
      <t>4</t>
    </r>
    <r>
      <rPr>
        <sz val="11"/>
        <color theme="1"/>
        <rFont val="Calibri"/>
        <family val="2"/>
      </rPr>
      <t xml:space="preserve"> kg</t>
    </r>
    <r>
      <rPr>
        <vertAlign val="superscript"/>
        <sz val="11"/>
        <color theme="1"/>
        <rFont val="Calibri"/>
        <family val="2"/>
      </rPr>
      <t>-1</t>
    </r>
    <r>
      <rPr>
        <sz val="11"/>
        <color theme="1"/>
        <rFont val="Calibri"/>
        <family val="2"/>
      </rPr>
      <t xml:space="preserve"> of VS excreted</t>
    </r>
  </si>
  <si>
    <r>
      <rPr>
        <sz val="11"/>
        <color theme="1"/>
        <rFont val="Calibri"/>
        <family val="2"/>
      </rPr>
      <t>conversion factor of m</t>
    </r>
    <r>
      <rPr>
        <vertAlign val="superscript"/>
        <sz val="11"/>
        <color theme="1"/>
        <rFont val="Calibri"/>
        <family val="2"/>
      </rPr>
      <t>3</t>
    </r>
    <r>
      <rPr>
        <sz val="11"/>
        <color theme="1"/>
        <rFont val="Calibri"/>
        <family val="2"/>
      </rPr>
      <t xml:space="preserve"> CH</t>
    </r>
    <r>
      <rPr>
        <vertAlign val="subscript"/>
        <sz val="11"/>
        <color theme="1"/>
        <rFont val="Calibri"/>
        <family val="2"/>
      </rPr>
      <t>4</t>
    </r>
    <r>
      <rPr>
        <sz val="11"/>
        <color theme="1"/>
        <rFont val="Calibri"/>
        <family val="2"/>
      </rPr>
      <t xml:space="preserve"> to kilograms CH</t>
    </r>
    <r>
      <rPr>
        <vertAlign val="subscript"/>
        <sz val="11"/>
        <color theme="1"/>
        <rFont val="Calibri"/>
        <family val="2"/>
      </rPr>
      <t>4</t>
    </r>
  </si>
  <si>
    <r>
      <rPr>
        <sz val="10"/>
        <color theme="1"/>
        <rFont val="Trebuchet MS"/>
        <family val="2"/>
      </rPr>
      <t>MCF</t>
    </r>
    <r>
      <rPr>
        <vertAlign val="subscript"/>
        <sz val="10"/>
        <color theme="1"/>
        <rFont val="Trebuchet MS"/>
        <family val="2"/>
      </rPr>
      <t>(S,K)</t>
    </r>
  </si>
  <si>
    <t>methane conversion factors for each manure management system S by climate region k, %</t>
  </si>
  <si>
    <r>
      <rPr>
        <sz val="10"/>
        <color theme="1"/>
        <rFont val="Trebuchet MS"/>
        <family val="2"/>
      </rPr>
      <t>AWMS</t>
    </r>
    <r>
      <rPr>
        <vertAlign val="subscript"/>
        <sz val="10"/>
        <color theme="1"/>
        <rFont val="Trebuchet MS"/>
        <family val="2"/>
      </rPr>
      <t>(T,S,k)</t>
    </r>
  </si>
  <si>
    <t>fraction of total annual VS for each livestock species/category T that is managed in manure management system S in the country, for productivity system P, when applicable; dimensionless</t>
  </si>
  <si>
    <t>Equation 15
IPCC, 2019 "Emissions from livestock and manure management"V.4, Ch.10, Eq.10.24</t>
  </si>
  <si>
    <t xml:space="preserve">VS </t>
  </si>
  <si>
    <r>
      <rPr>
        <sz val="11"/>
        <color theme="1"/>
        <rFont val="Calibri"/>
        <family val="2"/>
      </rPr>
      <t>volatile solid excretion per day on a dry-organic matter basis, kg VS day</t>
    </r>
    <r>
      <rPr>
        <vertAlign val="superscript"/>
        <sz val="11"/>
        <color theme="1"/>
        <rFont val="Calibri"/>
        <family val="2"/>
      </rPr>
      <t>-1</t>
    </r>
  </si>
  <si>
    <r>
      <rPr>
        <sz val="11"/>
        <color theme="1"/>
        <rFont val="Calibri"/>
        <family val="2"/>
      </rPr>
      <t>gross energy intake, MJ day</t>
    </r>
    <r>
      <rPr>
        <vertAlign val="superscript"/>
        <sz val="11"/>
        <color theme="1"/>
        <rFont val="Calibri"/>
        <family val="2"/>
      </rPr>
      <t>-1</t>
    </r>
  </si>
  <si>
    <t>digestibility of the feed in percent</t>
  </si>
  <si>
    <t>(UE ×  GE)</t>
  </si>
  <si>
    <t>urinary energy expressed as fraction of GE. Use country specific values where available</t>
  </si>
  <si>
    <t>ASH</t>
  </si>
  <si>
    <t>the ash content of feed calculated as a fraction of the dry matter feed . Use country specific values where available</t>
  </si>
  <si>
    <r>
      <rPr>
        <sz val="11"/>
        <color theme="1"/>
        <rFont val="Calibri"/>
        <family val="2"/>
      </rPr>
      <t>conversion factor for dietary GE per kg of dry matter (MJ kg</t>
    </r>
    <r>
      <rPr>
        <vertAlign val="superscript"/>
        <sz val="11"/>
        <color theme="1"/>
        <rFont val="Calibri"/>
        <family val="2"/>
      </rPr>
      <t>-1</t>
    </r>
    <r>
      <rPr>
        <sz val="11"/>
        <color theme="1"/>
        <rFont val="Calibri"/>
        <family val="2"/>
      </rPr>
      <t xml:space="preserve">). </t>
    </r>
  </si>
  <si>
    <t>N2O emissions</t>
  </si>
  <si>
    <t>Direct N2O emissions</t>
  </si>
  <si>
    <t>Equation 16
IPCC, 2019 "Emissions from livestock and manure management"V.4, Ch.10, Eq.10.25</t>
  </si>
  <si>
    <r>
      <rPr>
        <sz val="11"/>
        <color theme="1"/>
        <rFont val="Calibri"/>
        <family val="2"/>
      </rPr>
      <t>N</t>
    </r>
    <r>
      <rPr>
        <vertAlign val="subscript"/>
        <sz val="11"/>
        <color theme="1"/>
        <rFont val="Calibri"/>
        <family val="2"/>
      </rPr>
      <t>2</t>
    </r>
    <r>
      <rPr>
        <sz val="11"/>
        <color theme="1"/>
        <rFont val="Calibri"/>
        <family val="2"/>
      </rPr>
      <t>OD</t>
    </r>
    <r>
      <rPr>
        <vertAlign val="subscript"/>
        <sz val="11"/>
        <color theme="1"/>
        <rFont val="Calibri"/>
        <family val="2"/>
      </rPr>
      <t>(mm)</t>
    </r>
    <r>
      <rPr>
        <sz val="11"/>
        <color theme="1"/>
        <rFont val="Calibri"/>
        <family val="2"/>
      </rPr>
      <t>= [∑(</t>
    </r>
    <r>
      <rPr>
        <vertAlign val="subscript"/>
        <sz val="11"/>
        <color theme="1"/>
        <rFont val="Calibri"/>
        <family val="2"/>
      </rPr>
      <t>S)</t>
    </r>
    <r>
      <rPr>
        <sz val="11"/>
        <color theme="1"/>
        <rFont val="Calibri"/>
        <family val="2"/>
      </rPr>
      <t xml:space="preserve"> [∑</t>
    </r>
    <r>
      <rPr>
        <vertAlign val="subscript"/>
        <sz val="11"/>
        <color theme="1"/>
        <rFont val="Calibri"/>
        <family val="2"/>
      </rPr>
      <t>(T,P)</t>
    </r>
    <r>
      <rPr>
        <sz val="11"/>
        <color theme="1"/>
        <rFont val="Calibri"/>
        <family val="2"/>
      </rPr>
      <t xml:space="preserve"> × ((N </t>
    </r>
    <r>
      <rPr>
        <vertAlign val="subscript"/>
        <sz val="11"/>
        <color theme="1"/>
        <rFont val="Calibri"/>
        <family val="2"/>
      </rPr>
      <t>(T, P)</t>
    </r>
    <r>
      <rPr>
        <sz val="11"/>
        <color theme="1"/>
        <rFont val="Calibri"/>
        <family val="2"/>
      </rPr>
      <t xml:space="preserve"> × Nex </t>
    </r>
    <r>
      <rPr>
        <vertAlign val="subscript"/>
        <sz val="11"/>
        <color theme="1"/>
        <rFont val="Calibri"/>
        <family val="2"/>
      </rPr>
      <t>(T, P)</t>
    </r>
    <r>
      <rPr>
        <sz val="11"/>
        <color theme="1"/>
        <rFont val="Calibri"/>
        <family val="2"/>
      </rPr>
      <t xml:space="preserve"> )× AWMS </t>
    </r>
    <r>
      <rPr>
        <vertAlign val="subscript"/>
        <sz val="11"/>
        <color theme="1"/>
        <rFont val="Calibri"/>
        <family val="2"/>
      </rPr>
      <t>(T,S, P)</t>
    </r>
    <r>
      <rPr>
        <sz val="11"/>
        <color theme="1"/>
        <rFont val="Calibri"/>
        <family val="2"/>
      </rPr>
      <t xml:space="preserve"> ) + N</t>
    </r>
    <r>
      <rPr>
        <vertAlign val="subscript"/>
        <sz val="11"/>
        <color theme="1"/>
        <rFont val="Calibri"/>
        <family val="2"/>
      </rPr>
      <t>cdg (s)</t>
    </r>
    <r>
      <rPr>
        <sz val="11"/>
        <color theme="1"/>
        <rFont val="Calibri"/>
        <family val="2"/>
      </rPr>
      <t xml:space="preserve"> ] × EF</t>
    </r>
    <r>
      <rPr>
        <vertAlign val="subscript"/>
        <sz val="11"/>
        <color theme="1"/>
        <rFont val="Calibri"/>
        <family val="2"/>
      </rPr>
      <t>3(S)</t>
    </r>
    <r>
      <rPr>
        <sz val="11"/>
        <color theme="1"/>
        <rFont val="Calibri"/>
        <family val="2"/>
      </rPr>
      <t xml:space="preserve"> ] × 44/28</t>
    </r>
  </si>
  <si>
    <r>
      <rPr>
        <sz val="10"/>
        <color theme="1"/>
        <rFont val="Trebuchet MS"/>
        <family val="2"/>
      </rPr>
      <t>N2OD</t>
    </r>
    <r>
      <rPr>
        <vertAlign val="subscript"/>
        <sz val="10"/>
        <color theme="1"/>
        <rFont val="Trebuchet MS"/>
        <family val="2"/>
      </rPr>
      <t>(mm)</t>
    </r>
  </si>
  <si>
    <r>
      <rPr>
        <sz val="11"/>
        <color theme="1"/>
        <rFont val="Calibri"/>
        <family val="2"/>
      </rPr>
      <t>direct N</t>
    </r>
    <r>
      <rPr>
        <vertAlign val="subscript"/>
        <sz val="11"/>
        <color theme="1"/>
        <rFont val="Calibri"/>
        <family val="2"/>
      </rPr>
      <t>2</t>
    </r>
    <r>
      <rPr>
        <sz val="11"/>
        <color theme="1"/>
        <rFont val="Calibri"/>
        <family val="2"/>
      </rPr>
      <t>O emissions from Manure Management in the country, kg N</t>
    </r>
    <r>
      <rPr>
        <vertAlign val="subscript"/>
        <sz val="11"/>
        <color theme="1"/>
        <rFont val="Calibri"/>
        <family val="2"/>
      </rPr>
      <t>2</t>
    </r>
    <r>
      <rPr>
        <sz val="11"/>
        <color theme="1"/>
        <rFont val="Calibri"/>
        <family val="2"/>
      </rPr>
      <t>O yr</t>
    </r>
    <r>
      <rPr>
        <vertAlign val="superscript"/>
        <sz val="11"/>
        <color theme="1"/>
        <rFont val="Calibri"/>
        <family val="2"/>
      </rPr>
      <t>-1</t>
    </r>
  </si>
  <si>
    <r>
      <rPr>
        <sz val="11"/>
        <color theme="1"/>
        <rFont val="Calibri"/>
        <family val="2"/>
      </rPr>
      <t xml:space="preserve">N </t>
    </r>
    <r>
      <rPr>
        <vertAlign val="subscript"/>
        <sz val="11"/>
        <color theme="1"/>
        <rFont val="Calibri"/>
        <family val="2"/>
      </rPr>
      <t>(T, P)</t>
    </r>
    <r>
      <rPr>
        <sz val="11"/>
        <color theme="1"/>
        <rFont val="Calibri"/>
        <family val="2"/>
      </rPr>
      <t xml:space="preserve"> </t>
    </r>
  </si>
  <si>
    <t>number of head of livestock species/category T in the country,  for productivity system P, when applicable</t>
  </si>
  <si>
    <r>
      <rPr>
        <sz val="11"/>
        <color theme="1"/>
        <rFont val="Calibri"/>
        <family val="2"/>
      </rPr>
      <t xml:space="preserve">Nex </t>
    </r>
    <r>
      <rPr>
        <vertAlign val="subscript"/>
        <sz val="11"/>
        <color theme="1"/>
        <rFont val="Calibri"/>
        <family val="2"/>
      </rPr>
      <t>(T,P)</t>
    </r>
  </si>
  <si>
    <r>
      <rPr>
        <sz val="11"/>
        <color theme="1"/>
        <rFont val="Calibri"/>
        <family val="2"/>
      </rPr>
      <t>annual average N excretion per head of species/category T in the country,for productivity system P,  kg N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</si>
  <si>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0"/>
        <color theme="1"/>
        <rFont val="Trebuchet MS"/>
        <family val="2"/>
      </rPr>
      <t xml:space="preserve">AWMS </t>
    </r>
    <r>
      <rPr>
        <vertAlign val="subscript"/>
        <sz val="10"/>
        <color theme="1"/>
        <rFont val="Trebuchet MS"/>
        <family val="2"/>
      </rPr>
      <t>(T,S, P)</t>
    </r>
    <r>
      <rPr>
        <sz val="10"/>
        <color theme="1"/>
        <rFont val="Trebuchet MS"/>
        <family val="2"/>
      </rPr>
      <t xml:space="preserve"> </t>
    </r>
  </si>
  <si>
    <r>
      <rPr>
        <sz val="10"/>
        <color theme="1"/>
        <rFont val="Trebuchet MS"/>
        <family val="2"/>
      </rPr>
      <t>N</t>
    </r>
    <r>
      <rPr>
        <vertAlign val="subscript"/>
        <sz val="10"/>
        <color theme="1"/>
        <rFont val="Trebuchet MS"/>
        <family val="2"/>
      </rPr>
      <t>cdg (s)</t>
    </r>
  </si>
  <si>
    <r>
      <rPr>
        <sz val="11"/>
        <color theme="1"/>
        <rFont val="Calibri"/>
        <family val="2"/>
      </rPr>
      <t>annual nitrogen input via co-digestate in the country, kg N yr</t>
    </r>
    <r>
      <rPr>
        <vertAlign val="superscript"/>
        <sz val="11"/>
        <color theme="1"/>
        <rFont val="Calibri"/>
        <family val="2"/>
      </rPr>
      <t>-1</t>
    </r>
    <r>
      <rPr>
        <sz val="11"/>
        <color theme="1"/>
        <rFont val="Calibri"/>
        <family val="2"/>
      </rPr>
      <t>, where the system (s) refers exclusively to anaerobic digestion</t>
    </r>
  </si>
  <si>
    <r>
      <rPr>
        <sz val="10"/>
        <color theme="1"/>
        <rFont val="Trebuchet MS"/>
        <family val="2"/>
      </rPr>
      <t>EF</t>
    </r>
    <r>
      <rPr>
        <vertAlign val="subscript"/>
        <sz val="10"/>
        <color theme="1"/>
        <rFont val="Trebuchet MS"/>
        <family val="2"/>
      </rPr>
      <t>3(S)</t>
    </r>
    <r>
      <rPr>
        <sz val="10"/>
        <color theme="1"/>
        <rFont val="Trebuchet MS"/>
        <family val="2"/>
      </rPr>
      <t xml:space="preserve"> </t>
    </r>
  </si>
  <si>
    <r>
      <rPr>
        <sz val="11"/>
        <color theme="1"/>
        <rFont val="Calibri"/>
        <family val="2"/>
      </rPr>
      <t>emission factor for direct N</t>
    </r>
    <r>
      <rPr>
        <vertAlign val="subscript"/>
        <sz val="11"/>
        <color theme="1"/>
        <rFont val="Calibri"/>
        <family val="2"/>
      </rPr>
      <t>2</t>
    </r>
    <r>
      <rPr>
        <sz val="11"/>
        <color theme="1"/>
        <rFont val="Calibri"/>
        <family val="2"/>
      </rPr>
      <t>O emissions from manure management system S in the country, kg N</t>
    </r>
    <r>
      <rPr>
        <vertAlign val="subscript"/>
        <sz val="11"/>
        <color theme="1"/>
        <rFont val="Calibri"/>
        <family val="2"/>
      </rPr>
      <t>2</t>
    </r>
    <r>
      <rPr>
        <sz val="11"/>
        <color theme="1"/>
        <rFont val="Calibri"/>
        <family val="2"/>
      </rPr>
      <t>O-N/kg N in manure management system S</t>
    </r>
  </si>
  <si>
    <t>44/28</t>
  </si>
  <si>
    <r>
      <rPr>
        <sz val="11"/>
        <color theme="1"/>
        <rFont val="Calibri"/>
        <family val="2"/>
      </rPr>
      <t>conversion of N</t>
    </r>
    <r>
      <rPr>
        <vertAlign val="subscript"/>
        <sz val="11"/>
        <color theme="1"/>
        <rFont val="Calibri"/>
        <family val="2"/>
      </rPr>
      <t>2</t>
    </r>
    <r>
      <rPr>
        <sz val="11"/>
        <color theme="1"/>
        <rFont val="Calibri"/>
        <family val="2"/>
      </rPr>
      <t>O-N</t>
    </r>
    <r>
      <rPr>
        <vertAlign val="subscript"/>
        <sz val="11"/>
        <color theme="1"/>
        <rFont val="Calibri"/>
        <family val="2"/>
      </rPr>
      <t>(mm)</t>
    </r>
    <r>
      <rPr>
        <sz val="11"/>
        <color theme="1"/>
        <rFont val="Calibri"/>
        <family val="2"/>
      </rPr>
      <t xml:space="preserve"> emissions to N</t>
    </r>
    <r>
      <rPr>
        <vertAlign val="subscript"/>
        <sz val="11"/>
        <color theme="1"/>
        <rFont val="Calibri"/>
        <family val="2"/>
      </rPr>
      <t>2</t>
    </r>
    <r>
      <rPr>
        <sz val="11"/>
        <color theme="1"/>
        <rFont val="Calibri"/>
        <family val="2"/>
      </rPr>
      <t>O</t>
    </r>
    <r>
      <rPr>
        <vertAlign val="subscript"/>
        <sz val="11"/>
        <color theme="1"/>
        <rFont val="Calibri"/>
        <family val="2"/>
      </rPr>
      <t>(mm)</t>
    </r>
    <r>
      <rPr>
        <sz val="11"/>
        <color theme="1"/>
        <rFont val="Calibri"/>
        <family val="2"/>
      </rPr>
      <t xml:space="preserve"> emissions</t>
    </r>
  </si>
  <si>
    <t>Equation 17
IPCC, 2019 "Emissions from livestock and manure management"V.4, Ch.10, Eq.10.31A</t>
  </si>
  <si>
    <r>
      <rPr>
        <sz val="11"/>
        <color theme="1"/>
        <rFont val="Calibri"/>
        <family val="2"/>
      </rPr>
      <t>Nex</t>
    </r>
    <r>
      <rPr>
        <vertAlign val="subscript"/>
        <sz val="11"/>
        <color theme="1"/>
        <rFont val="Calibri"/>
        <family val="2"/>
      </rPr>
      <t>(T)</t>
    </r>
    <r>
      <rPr>
        <sz val="11"/>
        <color theme="1"/>
        <rFont val="Calibri"/>
        <family val="2"/>
      </rPr>
      <t xml:space="preserve"> = (N</t>
    </r>
    <r>
      <rPr>
        <vertAlign val="subscript"/>
        <sz val="11"/>
        <color theme="1"/>
        <rFont val="Calibri"/>
        <family val="2"/>
      </rPr>
      <t>intake(T)</t>
    </r>
    <r>
      <rPr>
        <sz val="11"/>
        <color theme="1"/>
        <rFont val="Calibri"/>
        <family val="2"/>
      </rPr>
      <t xml:space="preserve"> - N</t>
    </r>
    <r>
      <rPr>
        <vertAlign val="subscript"/>
        <sz val="11"/>
        <color theme="1"/>
        <rFont val="Calibri"/>
        <family val="2"/>
      </rPr>
      <t>retention (T)</t>
    </r>
    <r>
      <rPr>
        <sz val="11"/>
        <color theme="1"/>
        <rFont val="Calibri"/>
        <family val="2"/>
      </rPr>
      <t>) × 365</t>
    </r>
  </si>
  <si>
    <r>
      <rPr>
        <sz val="10"/>
        <color theme="1"/>
        <rFont val="Trebuchet MS"/>
        <family val="2"/>
      </rPr>
      <t>Nex</t>
    </r>
    <r>
      <rPr>
        <vertAlign val="subscript"/>
        <sz val="10"/>
        <color theme="1"/>
        <rFont val="Trebuchet MS"/>
        <family val="2"/>
      </rPr>
      <t>(T)</t>
    </r>
  </si>
  <si>
    <r>
      <rPr>
        <sz val="11"/>
        <color theme="1"/>
        <rFont val="Calibri"/>
        <family val="2"/>
      </rPr>
      <t>annual N excretion rates, kg N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</si>
  <si>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1"/>
        <color theme="1"/>
        <rFont val="Calibri"/>
        <family val="2"/>
      </rPr>
      <t>N</t>
    </r>
    <r>
      <rPr>
        <vertAlign val="subscript"/>
        <sz val="11"/>
        <color theme="1"/>
        <rFont val="Calibri"/>
        <family val="2"/>
      </rPr>
      <t>intake(T)</t>
    </r>
  </si>
  <si>
    <r>
      <rPr>
        <sz val="11"/>
        <color theme="1"/>
        <rFont val="Calibri"/>
        <family val="2"/>
      </rPr>
      <t>the daily N intake per head of animal of species/category T , kg N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</si>
  <si>
    <r>
      <rPr>
        <sz val="11"/>
        <color theme="1"/>
        <rFont val="Calibri"/>
        <family val="2"/>
      </rPr>
      <t>N</t>
    </r>
    <r>
      <rPr>
        <vertAlign val="subscript"/>
        <sz val="11"/>
        <color theme="1"/>
        <rFont val="Calibri"/>
        <family val="2"/>
      </rPr>
      <t>retention(T)</t>
    </r>
  </si>
  <si>
    <r>
      <rPr>
        <sz val="11"/>
        <color theme="1"/>
        <rFont val="Calibri"/>
        <family val="2"/>
      </rPr>
      <t>amount of daily N intake by head of animal of species / category T, that is retained by animal of species/category T, kg N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</si>
  <si>
    <t>Equation 18
IPCC, 2019 "Emissions from livestock and manure management"V.4, Ch.10, Eq.10.32</t>
  </si>
  <si>
    <r>
      <rPr>
        <sz val="11"/>
        <color theme="1"/>
        <rFont val="Calibri"/>
        <family val="2"/>
      </rPr>
      <t>N</t>
    </r>
    <r>
      <rPr>
        <vertAlign val="subscript"/>
        <sz val="11"/>
        <color theme="1"/>
        <rFont val="Calibri"/>
        <family val="2"/>
      </rPr>
      <t>intake(T)</t>
    </r>
    <r>
      <rPr>
        <sz val="11"/>
        <color theme="1"/>
        <rFont val="Calibri"/>
        <family val="2"/>
      </rPr>
      <t xml:space="preserve"> = (GE/18,45)  × ((CP%/100)/6,25) </t>
    </r>
  </si>
  <si>
    <r>
      <rPr>
        <sz val="10"/>
        <color theme="1"/>
        <rFont val="Trebuchet MS"/>
        <family val="2"/>
      </rPr>
      <t>N</t>
    </r>
    <r>
      <rPr>
        <vertAlign val="subscript"/>
        <sz val="10"/>
        <color theme="1"/>
        <rFont val="Trebuchet MS"/>
        <family val="2"/>
      </rPr>
      <t>intake(T)</t>
    </r>
  </si>
  <si>
    <r>
      <rPr>
        <sz val="11"/>
        <color theme="1"/>
        <rFont val="Calibri"/>
        <family val="2"/>
      </rPr>
      <t>daily N consumed per animal of category T, kg N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</si>
  <si>
    <r>
      <rPr>
        <sz val="11"/>
        <color theme="1"/>
        <rFont val="Calibri"/>
        <family val="2"/>
      </rPr>
      <t>gross energy intake of the animal, in enteric model, based on digestible energy, milk production, pregnancy, current weight, mature weight, rate of weight gain, and IPCC constants, MJ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</si>
  <si>
    <r>
      <rPr>
        <sz val="11"/>
        <color theme="1"/>
        <rFont val="Calibri"/>
        <family val="2"/>
      </rPr>
      <t>conversion factor for dietary GE per kg of dry matter, MJ kg</t>
    </r>
    <r>
      <rPr>
        <vertAlign val="superscript"/>
        <sz val="11"/>
        <color theme="1"/>
        <rFont val="Calibri"/>
        <family val="2"/>
      </rPr>
      <t>-1</t>
    </r>
  </si>
  <si>
    <t>CP%</t>
  </si>
  <si>
    <t>percent crude protein in diet, input</t>
  </si>
  <si>
    <r>
      <rPr>
        <sz val="11"/>
        <color theme="1"/>
        <rFont val="Calibri"/>
        <family val="2"/>
      </rPr>
      <t>conversion from kg of dietary protein to kg of dietary N, kg feed protein (kg N)</t>
    </r>
    <r>
      <rPr>
        <vertAlign val="superscript"/>
        <sz val="11"/>
        <color theme="1"/>
        <rFont val="Calibri"/>
        <family val="2"/>
      </rPr>
      <t>-1</t>
    </r>
  </si>
  <si>
    <t>Equation 19
IPCC, 2019 "Emissions from livestock and manure management"V.4, Ch.10, Eq.10.33</t>
  </si>
  <si>
    <r>
      <rPr>
        <sz val="11"/>
        <color theme="1"/>
        <rFont val="Calibri"/>
        <family val="2"/>
      </rPr>
      <t>N</t>
    </r>
    <r>
      <rPr>
        <vertAlign val="subscript"/>
        <sz val="11"/>
        <color theme="1"/>
        <rFont val="Calibri"/>
        <family val="2"/>
      </rPr>
      <t>retention(T)</t>
    </r>
    <r>
      <rPr>
        <sz val="11"/>
        <color theme="1"/>
        <rFont val="Calibri"/>
        <family val="2"/>
      </rPr>
      <t xml:space="preserve"> = [(milk × (milk PR%/100))/6,38] + [WG × [268 -(((7,03 × NE</t>
    </r>
    <r>
      <rPr>
        <vertAlign val="subscript"/>
        <sz val="11"/>
        <color theme="1"/>
        <rFont val="Calibri"/>
        <family val="2"/>
      </rPr>
      <t>g</t>
    </r>
    <r>
      <rPr>
        <sz val="11"/>
        <color theme="1"/>
        <rFont val="Calibri"/>
        <family val="2"/>
      </rPr>
      <t>)/WG))/1000 )/6,25)]</t>
    </r>
  </si>
  <si>
    <r>
      <rPr>
        <sz val="10"/>
        <color theme="1"/>
        <rFont val="Trebuchet MS"/>
        <family val="2"/>
      </rPr>
      <t>N</t>
    </r>
    <r>
      <rPr>
        <vertAlign val="subscript"/>
        <sz val="10"/>
        <color theme="1"/>
        <rFont val="Trebuchet MS"/>
        <family val="2"/>
      </rPr>
      <t xml:space="preserve">retention(T) </t>
    </r>
  </si>
  <si>
    <r>
      <rPr>
        <sz val="11"/>
        <color theme="1"/>
        <rFont val="Calibri"/>
        <family val="2"/>
      </rPr>
      <t>daily N retained per animal of category T, kg N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</si>
  <si>
    <t>milk</t>
  </si>
  <si>
    <r>
      <rPr>
        <sz val="11"/>
        <color theme="1"/>
        <rFont val="Calibri"/>
        <family val="2"/>
      </rPr>
      <t>milk production, kg animal</t>
    </r>
    <r>
      <rPr>
        <vertAlign val="superscript"/>
        <sz val="11"/>
        <color theme="1"/>
        <rFont val="Calibri"/>
        <family val="2"/>
      </rPr>
      <t>-1</t>
    </r>
    <r>
      <rPr>
        <sz val="11"/>
        <color theme="1"/>
        <rFont val="Calibri"/>
        <family val="2"/>
      </rPr>
      <t xml:space="preserve"> day</t>
    </r>
    <r>
      <rPr>
        <vertAlign val="superscript"/>
        <sz val="11"/>
        <color theme="1"/>
        <rFont val="Calibri"/>
        <family val="2"/>
      </rPr>
      <t>-1</t>
    </r>
    <r>
      <rPr>
        <sz val="11"/>
        <color theme="1"/>
        <rFont val="Calibri"/>
        <family val="2"/>
      </rPr>
      <t xml:space="preserve"> (applicable to dairy cows only)</t>
    </r>
  </si>
  <si>
    <t>milk PR%</t>
  </si>
  <si>
    <t>percent of protein in milk, calculated as [1.9 + 0.4 x %Fat], where %Fat is an input, assumed to be 4% (applicable to dairy cows only)</t>
  </si>
  <si>
    <r>
      <rPr>
        <sz val="11"/>
        <color theme="1"/>
        <rFont val="Calibri"/>
        <family val="2"/>
      </rPr>
      <t>conversion from milk protein to milk N, kg protein (kg N)</t>
    </r>
    <r>
      <rPr>
        <vertAlign val="superscript"/>
        <sz val="11"/>
        <color theme="1"/>
        <rFont val="Calibri"/>
        <family val="2"/>
      </rPr>
      <t>-1</t>
    </r>
  </si>
  <si>
    <r>
      <rPr>
        <sz val="11"/>
        <color theme="1"/>
        <rFont val="Calibri"/>
        <family val="2"/>
      </rPr>
      <t>weight gain, input for each livestock category, kg day</t>
    </r>
    <r>
      <rPr>
        <vertAlign val="superscript"/>
        <sz val="11"/>
        <color theme="1"/>
        <rFont val="Calibri"/>
        <family val="2"/>
      </rPr>
      <t>-1</t>
    </r>
  </si>
  <si>
    <t>268 and 7,03</t>
  </si>
  <si>
    <r>
      <rPr>
        <sz val="11"/>
        <color theme="1"/>
        <rFont val="Calibri"/>
        <family val="2"/>
      </rPr>
      <t>contants from equation 3-8 in NRC(1996), g protein kg</t>
    </r>
    <r>
      <rPr>
        <vertAlign val="superscript"/>
        <sz val="11"/>
        <color theme="1"/>
        <rFont val="Calibri"/>
        <family val="2"/>
      </rPr>
      <t>-1</t>
    </r>
    <r>
      <rPr>
        <sz val="11"/>
        <color theme="1"/>
        <rFont val="Calibri"/>
        <family val="2"/>
      </rPr>
      <t xml:space="preserve"> animal</t>
    </r>
    <r>
      <rPr>
        <vertAlign val="superscript"/>
        <sz val="11"/>
        <color theme="1"/>
        <rFont val="Calibri"/>
        <family val="2"/>
      </rPr>
      <t>-1</t>
    </r>
    <r>
      <rPr>
        <sz val="11"/>
        <color theme="1"/>
        <rFont val="Calibri"/>
        <family val="2"/>
      </rPr>
      <t xml:space="preserve"> and g protein MJ</t>
    </r>
    <r>
      <rPr>
        <vertAlign val="superscript"/>
        <sz val="11"/>
        <color theme="1"/>
        <rFont val="Calibri"/>
        <family val="2"/>
      </rPr>
      <t>-1</t>
    </r>
    <r>
      <rPr>
        <sz val="11"/>
        <color theme="1"/>
        <rFont val="Calibri"/>
        <family val="2"/>
      </rPr>
      <t xml:space="preserve"> animal</t>
    </r>
    <r>
      <rPr>
        <vertAlign val="superscript"/>
        <sz val="11"/>
        <color theme="1"/>
        <rFont val="Calibri"/>
        <family val="2"/>
      </rPr>
      <t>-1</t>
    </r>
    <r>
      <rPr>
        <sz val="11"/>
        <color theme="1"/>
        <rFont val="Calibri"/>
        <family val="2"/>
      </rPr>
      <t xml:space="preserve"> respectively</t>
    </r>
  </si>
  <si>
    <t>conversion from g protein to kg protein</t>
  </si>
  <si>
    <r>
      <rPr>
        <sz val="11"/>
        <color theme="1"/>
        <rFont val="Calibri"/>
        <family val="2"/>
      </rPr>
      <t>NE</t>
    </r>
    <r>
      <rPr>
        <vertAlign val="subscript"/>
        <sz val="11"/>
        <color theme="1"/>
        <rFont val="Calibri"/>
        <family val="2"/>
      </rPr>
      <t>g</t>
    </r>
  </si>
  <si>
    <r>
      <rPr>
        <sz val="11"/>
        <color theme="1"/>
        <rFont val="Calibri"/>
        <family val="2"/>
      </rPr>
      <t>net energy for growth, calculated in livestock characterisation, based on current weight, mature weight, rate of weight gain, and IPCC constants, MJ day</t>
    </r>
    <r>
      <rPr>
        <vertAlign val="superscript"/>
        <sz val="11"/>
        <color theme="1"/>
        <rFont val="Calibri"/>
        <family val="2"/>
      </rPr>
      <t>-1</t>
    </r>
  </si>
  <si>
    <r>
      <rPr>
        <sz val="11"/>
        <color theme="1"/>
        <rFont val="Calibri"/>
        <family val="2"/>
      </rPr>
      <t>conversion from kg dietary protein to kg dietary N, kg protein (kg N)</t>
    </r>
    <r>
      <rPr>
        <vertAlign val="superscript"/>
        <sz val="11"/>
        <color theme="1"/>
        <rFont val="Calibri"/>
        <family val="2"/>
      </rPr>
      <t>-1</t>
    </r>
  </si>
  <si>
    <t>Indirect N2O emissions</t>
  </si>
  <si>
    <t>Equation 20
IPCC, 2019 "Emissions from livestock and manure management"V.4, Ch.10, Eq.10.28</t>
  </si>
  <si>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 xml:space="preserve">G(mm) </t>
    </r>
    <r>
      <rPr>
        <sz val="11"/>
        <color theme="1"/>
        <rFont val="Calibri"/>
        <family val="2"/>
      </rPr>
      <t>= (N</t>
    </r>
    <r>
      <rPr>
        <vertAlign val="subscript"/>
        <sz val="11"/>
        <color theme="1"/>
        <rFont val="Calibri"/>
        <family val="2"/>
      </rPr>
      <t>volatilization-MMS</t>
    </r>
    <r>
      <rPr>
        <sz val="11"/>
        <color theme="1"/>
        <rFont val="Calibri"/>
        <family val="2"/>
      </rPr>
      <t xml:space="preserve"> × EF</t>
    </r>
    <r>
      <rPr>
        <vertAlign val="subscript"/>
        <sz val="11"/>
        <color theme="1"/>
        <rFont val="Calibri"/>
        <family val="2"/>
      </rPr>
      <t>4</t>
    </r>
    <r>
      <rPr>
        <sz val="11"/>
        <color theme="1"/>
        <rFont val="Calibri"/>
        <family val="2"/>
      </rPr>
      <t xml:space="preserve"> )  ×  44/28</t>
    </r>
  </si>
  <si>
    <r>
      <rPr>
        <sz val="10"/>
        <color theme="1"/>
        <rFont val="Trebuchet MS"/>
        <family val="2"/>
      </rPr>
      <t>N</t>
    </r>
    <r>
      <rPr>
        <vertAlign val="subscript"/>
        <sz val="10"/>
        <color theme="1"/>
        <rFont val="Trebuchet MS"/>
        <family val="2"/>
      </rPr>
      <t>2</t>
    </r>
    <r>
      <rPr>
        <sz val="10"/>
        <color theme="1"/>
        <rFont val="Trebuchet MS"/>
        <family val="2"/>
      </rPr>
      <t>O</t>
    </r>
    <r>
      <rPr>
        <vertAlign val="subscript"/>
        <sz val="10"/>
        <color theme="1"/>
        <rFont val="Trebuchet MS"/>
        <family val="2"/>
      </rPr>
      <t>G(mm)</t>
    </r>
  </si>
  <si>
    <r>
      <rPr>
        <sz val="11"/>
        <color theme="1"/>
        <rFont val="Calibri"/>
        <family val="2"/>
      </rPr>
      <t>indirect N</t>
    </r>
    <r>
      <rPr>
        <vertAlign val="subscript"/>
        <sz val="11"/>
        <color theme="1"/>
        <rFont val="Calibri"/>
        <family val="2"/>
      </rPr>
      <t>2</t>
    </r>
    <r>
      <rPr>
        <sz val="11"/>
        <color theme="1"/>
        <rFont val="Calibri"/>
        <family val="2"/>
      </rPr>
      <t>O emissions due to volatilization of N from Manure Management in the country, kg N</t>
    </r>
    <r>
      <rPr>
        <vertAlign val="subscript"/>
        <sz val="11"/>
        <color theme="1"/>
        <rFont val="Calibri"/>
        <family val="2"/>
      </rPr>
      <t>2</t>
    </r>
    <r>
      <rPr>
        <sz val="11"/>
        <color theme="1"/>
        <rFont val="Calibri"/>
        <family val="2"/>
      </rPr>
      <t>O yr</t>
    </r>
    <r>
      <rPr>
        <vertAlign val="superscript"/>
        <sz val="11"/>
        <color theme="1"/>
        <rFont val="Calibri"/>
        <family val="2"/>
      </rPr>
      <t>-1</t>
    </r>
  </si>
  <si>
    <r>
      <rPr>
        <sz val="11"/>
        <color theme="1"/>
        <rFont val="Calibri"/>
        <family val="2"/>
      </rPr>
      <t>N</t>
    </r>
    <r>
      <rPr>
        <vertAlign val="subscript"/>
        <sz val="11"/>
        <color theme="1"/>
        <rFont val="Calibri"/>
        <family val="2"/>
      </rPr>
      <t>volatilization-MMS</t>
    </r>
  </si>
  <si>
    <r>
      <rPr>
        <sz val="11"/>
        <color theme="1"/>
        <rFont val="Calibri"/>
        <family val="2"/>
      </rPr>
      <t>amount of manure nitrogen that is lost due to volatilisation of NH</t>
    </r>
    <r>
      <rPr>
        <vertAlign val="subscript"/>
        <sz val="11"/>
        <color theme="1"/>
        <rFont val="Calibri"/>
        <family val="2"/>
      </rPr>
      <t>3</t>
    </r>
    <r>
      <rPr>
        <sz val="11"/>
        <color theme="1"/>
        <rFont val="Calibri"/>
        <family val="2"/>
      </rPr>
      <t xml:space="preserve"> and NO</t>
    </r>
    <r>
      <rPr>
        <vertAlign val="subscript"/>
        <sz val="11"/>
        <color theme="1"/>
        <rFont val="Calibri"/>
        <family val="2"/>
      </rPr>
      <t>x</t>
    </r>
    <r>
      <rPr>
        <sz val="11"/>
        <color theme="1"/>
        <rFont val="Calibri"/>
        <family val="2"/>
      </rPr>
      <t>, kg N yr</t>
    </r>
    <r>
      <rPr>
        <vertAlign val="superscript"/>
        <sz val="11"/>
        <color theme="1"/>
        <rFont val="Calibri"/>
        <family val="2"/>
      </rPr>
      <t>-1</t>
    </r>
  </si>
  <si>
    <r>
      <rPr>
        <sz val="11"/>
        <color theme="1"/>
        <rFont val="Calibri"/>
        <family val="2"/>
      </rPr>
      <t>EF</t>
    </r>
    <r>
      <rPr>
        <vertAlign val="subscript"/>
        <sz val="11"/>
        <color theme="1"/>
        <rFont val="Calibri"/>
        <family val="2"/>
      </rPr>
      <t>4</t>
    </r>
  </si>
  <si>
    <r>
      <rPr>
        <sz val="11"/>
        <color theme="1"/>
        <rFont val="Calibri"/>
        <family val="2"/>
      </rPr>
      <t>emission factor for N</t>
    </r>
    <r>
      <rPr>
        <vertAlign val="subscript"/>
        <sz val="11"/>
        <color theme="1"/>
        <rFont val="Calibri"/>
        <family val="2"/>
      </rPr>
      <t>2</t>
    </r>
    <r>
      <rPr>
        <sz val="11"/>
        <color theme="1"/>
        <rFont val="Calibri"/>
        <family val="2"/>
      </rPr>
      <t>O emissions from atmospheric deposition of nitrogen on soils and water surfaces, kg N</t>
    </r>
    <r>
      <rPr>
        <vertAlign val="subscript"/>
        <sz val="11"/>
        <color theme="1"/>
        <rFont val="Calibri"/>
        <family val="2"/>
      </rPr>
      <t>2</t>
    </r>
    <r>
      <rPr>
        <sz val="11"/>
        <color theme="1"/>
        <rFont val="Calibri"/>
        <family val="2"/>
      </rPr>
      <t>O-N (kg NH</t>
    </r>
    <r>
      <rPr>
        <vertAlign val="subscript"/>
        <sz val="11"/>
        <color theme="1"/>
        <rFont val="Calibri"/>
        <family val="2"/>
      </rPr>
      <t>3</t>
    </r>
    <r>
      <rPr>
        <sz val="11"/>
        <color theme="1"/>
        <rFont val="Calibri"/>
        <family val="2"/>
      </rPr>
      <t>-N + NO</t>
    </r>
    <r>
      <rPr>
        <vertAlign val="subscript"/>
        <sz val="11"/>
        <color theme="1"/>
        <rFont val="Calibri"/>
        <family val="2"/>
      </rPr>
      <t>x</t>
    </r>
    <r>
      <rPr>
        <sz val="11"/>
        <color theme="1"/>
        <rFont val="Calibri"/>
        <family val="2"/>
      </rPr>
      <t>-N volatilised)</t>
    </r>
    <r>
      <rPr>
        <vertAlign val="superscript"/>
        <sz val="11"/>
        <color theme="1"/>
        <rFont val="Calibri"/>
        <family val="2"/>
      </rPr>
      <t>-1</t>
    </r>
  </si>
  <si>
    <t>Equation 21
IPCC, 2019 "Emissions from livestock and manure management"V.4, Ch.10, Eq.10.29</t>
  </si>
  <si>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L(mm)</t>
    </r>
    <r>
      <rPr>
        <sz val="11"/>
        <color theme="1"/>
        <rFont val="Calibri"/>
        <family val="2"/>
      </rPr>
      <t xml:space="preserve"> = (N</t>
    </r>
    <r>
      <rPr>
        <vertAlign val="subscript"/>
        <sz val="11"/>
        <color theme="1"/>
        <rFont val="Calibri"/>
        <family val="2"/>
      </rPr>
      <t>leaching-MMS</t>
    </r>
    <r>
      <rPr>
        <sz val="11"/>
        <color theme="1"/>
        <rFont val="Calibri"/>
        <family val="2"/>
      </rPr>
      <t xml:space="preserve"> × EF</t>
    </r>
    <r>
      <rPr>
        <vertAlign val="subscript"/>
        <sz val="11"/>
        <color theme="1"/>
        <rFont val="Calibri"/>
        <family val="2"/>
      </rPr>
      <t>5</t>
    </r>
    <r>
      <rPr>
        <sz val="11"/>
        <color theme="1"/>
        <rFont val="Calibri"/>
        <family val="2"/>
      </rPr>
      <t xml:space="preserve"> )  ×  44/28</t>
    </r>
  </si>
  <si>
    <r>
      <rPr>
        <sz val="10"/>
        <color theme="1"/>
        <rFont val="Trebuchet MS"/>
        <family val="2"/>
      </rPr>
      <t>N</t>
    </r>
    <r>
      <rPr>
        <vertAlign val="subscript"/>
        <sz val="10"/>
        <color theme="1"/>
        <rFont val="Trebuchet MS"/>
        <family val="2"/>
      </rPr>
      <t>2</t>
    </r>
    <r>
      <rPr>
        <sz val="10"/>
        <color theme="1"/>
        <rFont val="Trebuchet MS"/>
        <family val="2"/>
      </rPr>
      <t>O</t>
    </r>
    <r>
      <rPr>
        <vertAlign val="subscript"/>
        <sz val="10"/>
        <color theme="1"/>
        <rFont val="Trebuchet MS"/>
        <family val="2"/>
      </rPr>
      <t>L(mm)</t>
    </r>
  </si>
  <si>
    <r>
      <rPr>
        <sz val="11"/>
        <color theme="1"/>
        <rFont val="Calibri"/>
        <family val="2"/>
      </rPr>
      <t>indirect N</t>
    </r>
    <r>
      <rPr>
        <vertAlign val="subscript"/>
        <sz val="11"/>
        <color theme="1"/>
        <rFont val="Calibri"/>
        <family val="2"/>
      </rPr>
      <t>2</t>
    </r>
    <r>
      <rPr>
        <sz val="11"/>
        <color theme="1"/>
        <rFont val="Calibri"/>
        <family val="2"/>
      </rPr>
      <t>O emissions due to leaching and runoff from Manure Management system in the country, kg N2O yr</t>
    </r>
    <r>
      <rPr>
        <vertAlign val="superscript"/>
        <sz val="11"/>
        <color theme="1"/>
        <rFont val="Calibri"/>
        <family val="2"/>
      </rPr>
      <t>-1</t>
    </r>
  </si>
  <si>
    <r>
      <rPr>
        <sz val="11"/>
        <color theme="1"/>
        <rFont val="Calibri"/>
        <family val="2"/>
      </rPr>
      <t>N</t>
    </r>
    <r>
      <rPr>
        <vertAlign val="subscript"/>
        <sz val="11"/>
        <color theme="1"/>
        <rFont val="Calibri"/>
        <family val="2"/>
      </rPr>
      <t>leaching</t>
    </r>
    <r>
      <rPr>
        <sz val="11"/>
        <color theme="1"/>
        <rFont val="Calibri"/>
        <family val="2"/>
      </rPr>
      <t>-MMS</t>
    </r>
  </si>
  <si>
    <r>
      <rPr>
        <sz val="11"/>
        <color theme="1"/>
        <rFont val="Calibri"/>
        <family val="2"/>
      </rPr>
      <t>amount of manure nitrogen that is lost due to leaching, kg N yr</t>
    </r>
    <r>
      <rPr>
        <vertAlign val="superscript"/>
        <sz val="11"/>
        <color theme="1"/>
        <rFont val="Calibri"/>
        <family val="2"/>
      </rPr>
      <t>-1</t>
    </r>
  </si>
  <si>
    <r>
      <rPr>
        <sz val="11"/>
        <color theme="1"/>
        <rFont val="Calibri"/>
        <family val="2"/>
      </rPr>
      <t>EF</t>
    </r>
    <r>
      <rPr>
        <vertAlign val="subscript"/>
        <sz val="11"/>
        <color theme="1"/>
        <rFont val="Calibri"/>
        <family val="2"/>
      </rPr>
      <t>5</t>
    </r>
  </si>
  <si>
    <r>
      <rPr>
        <sz val="11"/>
        <color theme="1"/>
        <rFont val="Calibri"/>
        <family val="2"/>
      </rPr>
      <t>emission factor for N</t>
    </r>
    <r>
      <rPr>
        <vertAlign val="subscript"/>
        <sz val="11"/>
        <color theme="1"/>
        <rFont val="Calibri"/>
        <family val="2"/>
      </rPr>
      <t>2</t>
    </r>
    <r>
      <rPr>
        <sz val="11"/>
        <color theme="1"/>
        <rFont val="Calibri"/>
        <family val="2"/>
      </rPr>
      <t>O emissions from nitrogen leaching and runoff, kg N</t>
    </r>
    <r>
      <rPr>
        <vertAlign val="subscript"/>
        <sz val="11"/>
        <color theme="1"/>
        <rFont val="Calibri"/>
        <family val="2"/>
      </rPr>
      <t>2</t>
    </r>
    <r>
      <rPr>
        <sz val="11"/>
        <color theme="1"/>
        <rFont val="Calibri"/>
        <family val="2"/>
      </rPr>
      <t>O-N/kg N leached and runoff</t>
    </r>
  </si>
  <si>
    <t>Equation 22
IPCC, 2019 "Emissions from livestock and manure management"V.4, Ch.10, Eq.10.26</t>
  </si>
  <si>
    <r>
      <rPr>
        <sz val="11"/>
        <color theme="1"/>
        <rFont val="Calibri"/>
        <family val="2"/>
      </rPr>
      <t>N</t>
    </r>
    <r>
      <rPr>
        <vertAlign val="subscript"/>
        <sz val="11"/>
        <color theme="1"/>
        <rFont val="Calibri"/>
        <family val="2"/>
      </rPr>
      <t>volatilization-MMS</t>
    </r>
    <r>
      <rPr>
        <sz val="11"/>
        <color theme="1"/>
        <rFont val="Calibri"/>
        <family val="2"/>
      </rPr>
      <t xml:space="preserve"> =∑</t>
    </r>
    <r>
      <rPr>
        <vertAlign val="subscript"/>
        <sz val="11"/>
        <color theme="1"/>
        <rFont val="Calibri"/>
        <family val="2"/>
      </rPr>
      <t>(S)</t>
    </r>
    <r>
      <rPr>
        <sz val="11"/>
        <color theme="1"/>
        <rFont val="Calibri"/>
        <family val="2"/>
      </rPr>
      <t xml:space="preserve"> [∑</t>
    </r>
    <r>
      <rPr>
        <vertAlign val="subscript"/>
        <sz val="11"/>
        <color theme="1"/>
        <rFont val="Calibri"/>
        <family val="2"/>
      </rPr>
      <t>(T, P)</t>
    </r>
    <r>
      <rPr>
        <sz val="11"/>
        <color theme="1"/>
        <rFont val="Calibri"/>
        <family val="2"/>
      </rPr>
      <t>[(((N</t>
    </r>
    <r>
      <rPr>
        <vertAlign val="subscript"/>
        <sz val="11"/>
        <color theme="1"/>
        <rFont val="Calibri"/>
        <family val="2"/>
      </rPr>
      <t>(T, P)</t>
    </r>
    <r>
      <rPr>
        <sz val="11"/>
        <color theme="1"/>
        <rFont val="Calibri"/>
        <family val="2"/>
      </rPr>
      <t xml:space="preserve"> × Nex </t>
    </r>
    <r>
      <rPr>
        <vertAlign val="subscript"/>
        <sz val="11"/>
        <color theme="1"/>
        <rFont val="Calibri"/>
        <family val="2"/>
      </rPr>
      <t>(T,P)</t>
    </r>
    <r>
      <rPr>
        <sz val="11"/>
        <color theme="1"/>
        <rFont val="Calibri"/>
        <family val="2"/>
      </rPr>
      <t>) × AWMS</t>
    </r>
    <r>
      <rPr>
        <vertAlign val="subscript"/>
        <sz val="11"/>
        <color theme="1"/>
        <rFont val="Calibri"/>
        <family val="2"/>
      </rPr>
      <t>(T,S, P)</t>
    </r>
    <r>
      <rPr>
        <sz val="11"/>
        <color theme="1"/>
        <rFont val="Calibri"/>
        <family val="2"/>
      </rPr>
      <t>) + N</t>
    </r>
    <r>
      <rPr>
        <vertAlign val="subscript"/>
        <sz val="11"/>
        <color theme="1"/>
        <rFont val="Calibri"/>
        <family val="2"/>
      </rPr>
      <t>cdg(s)</t>
    </r>
    <r>
      <rPr>
        <sz val="11"/>
        <color theme="1"/>
        <rFont val="Calibri"/>
        <family val="2"/>
      </rPr>
      <t>) × Frac</t>
    </r>
    <r>
      <rPr>
        <vertAlign val="subscript"/>
        <sz val="11"/>
        <color theme="1"/>
        <rFont val="Calibri"/>
        <family val="2"/>
      </rPr>
      <t>GasMS(T,S)</t>
    </r>
    <r>
      <rPr>
        <sz val="11"/>
        <color theme="1"/>
        <rFont val="Calibri"/>
        <family val="2"/>
      </rPr>
      <t>]]</t>
    </r>
  </si>
  <si>
    <r>
      <rPr>
        <sz val="11"/>
        <color theme="1"/>
        <rFont val="Calibri"/>
        <family val="2"/>
      </rPr>
      <t>N</t>
    </r>
    <r>
      <rPr>
        <vertAlign val="subscript"/>
        <sz val="11"/>
        <color theme="1"/>
        <rFont val="Calibri"/>
        <family val="2"/>
      </rPr>
      <t>volatilization-MMS</t>
    </r>
  </si>
  <si>
    <r>
      <rPr>
        <sz val="11"/>
        <color theme="1"/>
        <rFont val="Calibri"/>
        <family val="2"/>
      </rPr>
      <t>amount of manure nitrogen that is lost due to volatilisation of NH</t>
    </r>
    <r>
      <rPr>
        <vertAlign val="subscript"/>
        <sz val="11"/>
        <color theme="1"/>
        <rFont val="Calibri"/>
        <family val="2"/>
      </rPr>
      <t>3</t>
    </r>
    <r>
      <rPr>
        <sz val="11"/>
        <color theme="1"/>
        <rFont val="Calibri"/>
        <family val="2"/>
      </rPr>
      <t xml:space="preserve"> and NO</t>
    </r>
    <r>
      <rPr>
        <vertAlign val="subscript"/>
        <sz val="11"/>
        <color theme="1"/>
        <rFont val="Calibri"/>
        <family val="2"/>
      </rPr>
      <t>x</t>
    </r>
    <r>
      <rPr>
        <sz val="11"/>
        <color theme="1"/>
        <rFont val="Calibri"/>
        <family val="2"/>
      </rPr>
      <t>, kg N yr</t>
    </r>
    <r>
      <rPr>
        <vertAlign val="superscript"/>
        <sz val="11"/>
        <color theme="1"/>
        <rFont val="Calibri"/>
        <family val="2"/>
      </rPr>
      <t>-1</t>
    </r>
  </si>
  <si>
    <r>
      <rPr>
        <sz val="11"/>
        <color theme="1"/>
        <rFont val="Calibri"/>
        <family val="2"/>
      </rPr>
      <t xml:space="preserve">N </t>
    </r>
    <r>
      <rPr>
        <vertAlign val="subscript"/>
        <sz val="11"/>
        <color theme="1"/>
        <rFont val="Calibri"/>
        <family val="2"/>
      </rPr>
      <t>(T,P)</t>
    </r>
    <r>
      <rPr>
        <sz val="11"/>
        <color theme="1"/>
        <rFont val="Calibri"/>
        <family val="2"/>
      </rPr>
      <t xml:space="preserve"> </t>
    </r>
  </si>
  <si>
    <t xml:space="preserve">number of head of livestock species/category T in the country, for productivity system P, when applicable </t>
  </si>
  <si>
    <r>
      <rPr>
        <sz val="11"/>
        <color theme="1"/>
        <rFont val="Calibri"/>
        <family val="2"/>
      </rPr>
      <t xml:space="preserve">Nex </t>
    </r>
    <r>
      <rPr>
        <vertAlign val="subscript"/>
        <sz val="11"/>
        <color theme="1"/>
        <rFont val="Calibri"/>
        <family val="2"/>
      </rPr>
      <t>(T, P)</t>
    </r>
  </si>
  <si>
    <r>
      <rPr>
        <sz val="11"/>
        <color theme="1"/>
        <rFont val="Calibri"/>
        <family val="2"/>
      </rPr>
      <t>annual average N excretion per head of species/category T in the country, for productivity system P, kg N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</si>
  <si>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0"/>
        <color theme="1"/>
        <rFont val="Trebuchet MS"/>
        <family val="2"/>
      </rPr>
      <t>AWMS</t>
    </r>
    <r>
      <rPr>
        <vertAlign val="subscript"/>
        <sz val="10"/>
        <color theme="1"/>
        <rFont val="Trebuchet MS"/>
        <family val="2"/>
      </rPr>
      <t xml:space="preserve"> (T,S, P)</t>
    </r>
    <r>
      <rPr>
        <sz val="10"/>
        <color theme="1"/>
        <rFont val="Trebuchet MS"/>
        <family val="2"/>
      </rPr>
      <t xml:space="preserve"> </t>
    </r>
  </si>
  <si>
    <t>fraction of total annual nitrogen excretion for each livestock species/category T that is managed in manure management system S in the country, dimensionless. To consider productivity class P, if using a Tier 1a approach</t>
  </si>
  <si>
    <t>productivity class, hogh r low, to be considered if using the Tier 1a approach</t>
  </si>
  <si>
    <r>
      <rPr>
        <sz val="10"/>
        <color theme="1"/>
        <rFont val="Trebuchet MS"/>
        <family val="2"/>
      </rPr>
      <t xml:space="preserve">Ncdg </t>
    </r>
    <r>
      <rPr>
        <vertAlign val="subscript"/>
        <sz val="10"/>
        <color theme="1"/>
        <rFont val="Trebuchet MS"/>
        <family val="2"/>
      </rPr>
      <t>(s)</t>
    </r>
  </si>
  <si>
    <r>
      <rPr>
        <sz val="11"/>
        <color theme="1"/>
        <rFont val="Calibri"/>
        <family val="2"/>
      </rPr>
      <t>amount of nitrogen from co-digestates added to biogas plants such as food wastes or purpose grown crops, kg N yr</t>
    </r>
    <r>
      <rPr>
        <vertAlign val="superscript"/>
        <sz val="11"/>
        <color theme="1"/>
        <rFont val="Calibri"/>
        <family val="2"/>
      </rPr>
      <t>-1</t>
    </r>
    <r>
      <rPr>
        <sz val="11"/>
        <color theme="1"/>
        <rFont val="Calibri"/>
        <family val="2"/>
      </rPr>
      <t xml:space="preserve"> where the system (s) refers exclusively to anaerobic digestion</t>
    </r>
  </si>
  <si>
    <r>
      <rPr>
        <sz val="11"/>
        <color theme="1"/>
        <rFont val="Calibri"/>
        <family val="2"/>
      </rPr>
      <t>Frac</t>
    </r>
    <r>
      <rPr>
        <vertAlign val="subscript"/>
        <sz val="11"/>
        <color theme="1"/>
        <rFont val="Calibri"/>
        <family val="2"/>
      </rPr>
      <t>GasMS</t>
    </r>
  </si>
  <si>
    <r>
      <rPr>
        <sz val="11"/>
        <color theme="1"/>
        <rFont val="Calibri"/>
        <family val="2"/>
      </rPr>
      <t>percent of managed manure nitrogen for livestock category T that volatilises as NH</t>
    </r>
    <r>
      <rPr>
        <vertAlign val="subscript"/>
        <sz val="11"/>
        <color theme="1"/>
        <rFont val="Calibri"/>
        <family val="2"/>
      </rPr>
      <t>3</t>
    </r>
    <r>
      <rPr>
        <sz val="11"/>
        <color theme="1"/>
        <rFont val="Calibri"/>
        <family val="2"/>
      </rPr>
      <t xml:space="preserve"> and NO</t>
    </r>
    <r>
      <rPr>
        <vertAlign val="subscript"/>
        <sz val="11"/>
        <color theme="1"/>
        <rFont val="Calibri"/>
        <family val="2"/>
      </rPr>
      <t>x</t>
    </r>
    <r>
      <rPr>
        <sz val="11"/>
        <color theme="1"/>
        <rFont val="Calibri"/>
        <family val="2"/>
      </rPr>
      <t xml:space="preserve"> in the manure management system S, %</t>
    </r>
  </si>
  <si>
    <t>Equation 23
IPCC, 2019 "Emissions from livestock and manure management"V.4, Ch.10, Eq.10.27</t>
  </si>
  <si>
    <r>
      <rPr>
        <sz val="11"/>
        <color theme="1"/>
        <rFont val="Calibri"/>
        <family val="2"/>
      </rPr>
      <t>N</t>
    </r>
    <r>
      <rPr>
        <vertAlign val="subscript"/>
        <sz val="11"/>
        <color theme="1"/>
        <rFont val="Calibri"/>
        <family val="2"/>
      </rPr>
      <t>leaching-MMS</t>
    </r>
    <r>
      <rPr>
        <sz val="11"/>
        <color theme="1"/>
        <rFont val="Calibri"/>
        <family val="2"/>
      </rPr>
      <t xml:space="preserve"> =∑</t>
    </r>
    <r>
      <rPr>
        <vertAlign val="subscript"/>
        <sz val="11"/>
        <color theme="1"/>
        <rFont val="Calibri"/>
        <family val="2"/>
      </rPr>
      <t>(S)</t>
    </r>
    <r>
      <rPr>
        <sz val="11"/>
        <color theme="1"/>
        <rFont val="Calibri"/>
        <family val="2"/>
      </rPr>
      <t xml:space="preserve"> [∑</t>
    </r>
    <r>
      <rPr>
        <vertAlign val="subscript"/>
        <sz val="11"/>
        <color theme="1"/>
        <rFont val="Calibri"/>
        <family val="2"/>
      </rPr>
      <t>(T, P)</t>
    </r>
    <r>
      <rPr>
        <sz val="11"/>
        <color theme="1"/>
        <rFont val="Calibri"/>
        <family val="2"/>
      </rPr>
      <t>[(((N</t>
    </r>
    <r>
      <rPr>
        <vertAlign val="subscript"/>
        <sz val="11"/>
        <color theme="1"/>
        <rFont val="Calibri"/>
        <family val="2"/>
      </rPr>
      <t>(T, P)</t>
    </r>
    <r>
      <rPr>
        <sz val="11"/>
        <color theme="1"/>
        <rFont val="Calibri"/>
        <family val="2"/>
      </rPr>
      <t xml:space="preserve"> × Nex </t>
    </r>
    <r>
      <rPr>
        <vertAlign val="subscript"/>
        <sz val="11"/>
        <color theme="1"/>
        <rFont val="Calibri"/>
        <family val="2"/>
      </rPr>
      <t>(T,P)</t>
    </r>
    <r>
      <rPr>
        <sz val="11"/>
        <color theme="1"/>
        <rFont val="Calibri"/>
        <family val="2"/>
      </rPr>
      <t>) × AWMS</t>
    </r>
    <r>
      <rPr>
        <vertAlign val="subscript"/>
        <sz val="11"/>
        <color theme="1"/>
        <rFont val="Calibri"/>
        <family val="2"/>
      </rPr>
      <t>(T,S, P)</t>
    </r>
    <r>
      <rPr>
        <sz val="11"/>
        <color theme="1"/>
        <rFont val="Calibri"/>
        <family val="2"/>
      </rPr>
      <t>) + N</t>
    </r>
    <r>
      <rPr>
        <vertAlign val="subscript"/>
        <sz val="11"/>
        <color theme="1"/>
        <rFont val="Calibri"/>
        <family val="2"/>
      </rPr>
      <t>cdg(s)</t>
    </r>
    <r>
      <rPr>
        <sz val="11"/>
        <color theme="1"/>
        <rFont val="Calibri"/>
        <family val="2"/>
      </rPr>
      <t>) × (Frac</t>
    </r>
    <r>
      <rPr>
        <vertAlign val="subscript"/>
        <sz val="11"/>
        <color theme="1"/>
        <rFont val="Calibri"/>
        <family val="2"/>
      </rPr>
      <t>leachMS(T,S)</t>
    </r>
    <r>
      <rPr>
        <sz val="11"/>
        <color theme="1"/>
        <rFont val="Calibri"/>
        <family val="2"/>
      </rPr>
      <t>]]</t>
    </r>
  </si>
  <si>
    <r>
      <rPr>
        <sz val="11"/>
        <color theme="1"/>
        <rFont val="Calibri"/>
        <family val="2"/>
      </rPr>
      <t>N</t>
    </r>
    <r>
      <rPr>
        <vertAlign val="subscript"/>
        <sz val="11"/>
        <color theme="1"/>
        <rFont val="Calibri"/>
        <family val="2"/>
      </rPr>
      <t>leaching-MMS</t>
    </r>
  </si>
  <si>
    <r>
      <rPr>
        <sz val="11"/>
        <color theme="1"/>
        <rFont val="Calibri"/>
        <family val="2"/>
      </rPr>
      <t>amount of manure nitrogen that is lost due to leaching, kg N yr</t>
    </r>
    <r>
      <rPr>
        <vertAlign val="superscript"/>
        <sz val="11"/>
        <color theme="1"/>
        <rFont val="Calibri"/>
        <family val="2"/>
      </rPr>
      <t>-1</t>
    </r>
  </si>
  <si>
    <r>
      <rPr>
        <sz val="11"/>
        <color theme="1"/>
        <rFont val="Calibri"/>
        <family val="2"/>
      </rPr>
      <t xml:space="preserve">N </t>
    </r>
    <r>
      <rPr>
        <vertAlign val="subscript"/>
        <sz val="11"/>
        <color theme="1"/>
        <rFont val="Calibri"/>
        <family val="2"/>
      </rPr>
      <t>(T,P)</t>
    </r>
    <r>
      <rPr>
        <sz val="11"/>
        <color theme="1"/>
        <rFont val="Calibri"/>
        <family val="2"/>
      </rPr>
      <t xml:space="preserve"> </t>
    </r>
  </si>
  <si>
    <r>
      <rPr>
        <sz val="11"/>
        <color theme="1"/>
        <rFont val="Calibri"/>
        <family val="2"/>
      </rPr>
      <t xml:space="preserve">Nex </t>
    </r>
    <r>
      <rPr>
        <vertAlign val="subscript"/>
        <sz val="11"/>
        <color theme="1"/>
        <rFont val="Calibri"/>
        <family val="2"/>
      </rPr>
      <t>(T, P)</t>
    </r>
  </si>
  <si>
    <r>
      <rPr>
        <sz val="11"/>
        <color theme="1"/>
        <rFont val="Calibri"/>
        <family val="2"/>
      </rPr>
      <t>annual average N excretion per head of species/category T in the country, for productivity system P, kg N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</si>
  <si>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0"/>
        <color theme="1"/>
        <rFont val="Trebuchet MS"/>
        <family val="2"/>
      </rPr>
      <t>AWMS</t>
    </r>
    <r>
      <rPr>
        <vertAlign val="subscript"/>
        <sz val="10"/>
        <color theme="1"/>
        <rFont val="Trebuchet MS"/>
        <family val="2"/>
      </rPr>
      <t xml:space="preserve"> (T,S, P)</t>
    </r>
    <r>
      <rPr>
        <sz val="10"/>
        <color theme="1"/>
        <rFont val="Trebuchet MS"/>
        <family val="2"/>
      </rPr>
      <t xml:space="preserve"> </t>
    </r>
  </si>
  <si>
    <r>
      <rPr>
        <sz val="10"/>
        <color theme="1"/>
        <rFont val="Trebuchet MS"/>
        <family val="2"/>
      </rPr>
      <t xml:space="preserve">Ncdg </t>
    </r>
    <r>
      <rPr>
        <vertAlign val="subscript"/>
        <sz val="10"/>
        <color theme="1"/>
        <rFont val="Trebuchet MS"/>
        <family val="2"/>
      </rPr>
      <t>(s)</t>
    </r>
  </si>
  <si>
    <r>
      <rPr>
        <sz val="11"/>
        <color theme="1"/>
        <rFont val="Calibri"/>
        <family val="2"/>
      </rPr>
      <t>amount of nitrogen from co-digestates added to biogas plants such as food wastes or purpose grown crops, kg N yr</t>
    </r>
    <r>
      <rPr>
        <vertAlign val="superscript"/>
        <sz val="11"/>
        <color theme="1"/>
        <rFont val="Calibri"/>
        <family val="2"/>
      </rPr>
      <t>-1</t>
    </r>
    <r>
      <rPr>
        <sz val="11"/>
        <color theme="1"/>
        <rFont val="Calibri"/>
        <family val="2"/>
      </rPr>
      <t xml:space="preserve"> where the system (s) refers exclusively to anaerobic digestion</t>
    </r>
  </si>
  <si>
    <r>
      <rPr>
        <sz val="11"/>
        <color theme="1"/>
        <rFont val="Calibri"/>
        <family val="2"/>
      </rPr>
      <t>Frac</t>
    </r>
    <r>
      <rPr>
        <vertAlign val="subscript"/>
        <sz val="11"/>
        <color theme="1"/>
        <rFont val="Calibri"/>
        <family val="2"/>
      </rPr>
      <t>leachMS</t>
    </r>
  </si>
  <si>
    <t>fraction of managed manure nitrogen for livestock category T that is leached from the manure management system S</t>
  </si>
  <si>
    <t>SOIL</t>
  </si>
  <si>
    <t>Equation 24
IPCC, 2019 "N2O Emissions from Managed Soils, and CO2 Emissions from Lime and Urea Application"V.4, Ch.11, Eq.11.2</t>
  </si>
  <si>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Direct</t>
    </r>
    <r>
      <rPr>
        <sz val="11"/>
        <color theme="1"/>
        <rFont val="Calibri"/>
        <family val="2"/>
      </rPr>
      <t>-N=</t>
    </r>
    <r>
      <rPr>
        <sz val="11"/>
        <color theme="1"/>
        <rFont val="Calibri"/>
        <family val="2"/>
      </rPr>
      <t>∑</t>
    </r>
    <r>
      <rPr>
        <vertAlign val="subscript"/>
        <sz val="11"/>
        <color theme="1"/>
        <rFont val="Calibri"/>
        <family val="2"/>
      </rPr>
      <t>i</t>
    </r>
    <r>
      <rPr>
        <sz val="11"/>
        <color theme="1"/>
        <rFont val="Calibri"/>
        <family val="2"/>
      </rPr>
      <t>((F</t>
    </r>
    <r>
      <rPr>
        <vertAlign val="subscript"/>
        <sz val="11"/>
        <color theme="1"/>
        <rFont val="Calibri"/>
        <family val="2"/>
      </rPr>
      <t>sn</t>
    </r>
    <r>
      <rPr>
        <sz val="11"/>
        <color theme="1"/>
        <rFont val="Calibri"/>
        <family val="2"/>
      </rPr>
      <t>+F</t>
    </r>
    <r>
      <rPr>
        <vertAlign val="subscript"/>
        <sz val="11"/>
        <color theme="1"/>
        <rFont val="Calibri"/>
        <family val="2"/>
      </rPr>
      <t>on</t>
    </r>
    <r>
      <rPr>
        <sz val="11"/>
        <color theme="1"/>
        <rFont val="Calibri"/>
        <family val="2"/>
      </rPr>
      <t>)</t>
    </r>
    <r>
      <rPr>
        <vertAlign val="subscript"/>
        <sz val="11"/>
        <color theme="1"/>
        <rFont val="Calibri"/>
        <family val="2"/>
      </rPr>
      <t>i</t>
    </r>
    <r>
      <rPr>
        <sz val="11"/>
        <color theme="1"/>
        <rFont val="Calibri"/>
        <family val="2"/>
      </rPr>
      <t xml:space="preserve"> x EF</t>
    </r>
    <r>
      <rPr>
        <vertAlign val="subscript"/>
        <sz val="11"/>
        <color theme="1"/>
        <rFont val="Calibri"/>
        <family val="2"/>
      </rPr>
      <t>li</t>
    </r>
    <r>
      <rPr>
        <sz val="11"/>
        <color theme="1"/>
        <rFont val="Calibri"/>
        <family val="2"/>
      </rPr>
      <t xml:space="preserve"> +(F</t>
    </r>
    <r>
      <rPr>
        <vertAlign val="subscript"/>
        <sz val="11"/>
        <color theme="1"/>
        <rFont val="Calibri"/>
        <family val="2"/>
      </rPr>
      <t>cr</t>
    </r>
    <r>
      <rPr>
        <sz val="11"/>
        <color theme="1"/>
        <rFont val="Calibri"/>
        <family val="2"/>
      </rPr>
      <t xml:space="preserve"> + F</t>
    </r>
    <r>
      <rPr>
        <vertAlign val="subscript"/>
        <sz val="11"/>
        <color theme="1"/>
        <rFont val="Calibri"/>
        <family val="2"/>
      </rPr>
      <t>som</t>
    </r>
    <r>
      <rPr>
        <sz val="11"/>
        <color theme="1"/>
        <rFont val="Calibri"/>
        <family val="2"/>
      </rPr>
      <t>) x E</t>
    </r>
    <r>
      <rPr>
        <vertAlign val="subscript"/>
        <sz val="11"/>
        <color theme="1"/>
        <rFont val="Calibri"/>
        <family val="2"/>
      </rPr>
      <t>l</t>
    </r>
    <r>
      <rPr>
        <sz val="11"/>
        <color theme="1"/>
        <rFont val="Calibri"/>
        <family val="2"/>
      </rPr>
      <t xml:space="preserve"> + (N</t>
    </r>
    <r>
      <rPr>
        <vertAlign val="subscript"/>
        <sz val="11"/>
        <color theme="1"/>
        <rFont val="Calibri"/>
        <family val="2"/>
      </rPr>
      <t>2</t>
    </r>
    <r>
      <rPr>
        <sz val="11"/>
        <color theme="1"/>
        <rFont val="Calibri"/>
        <family val="2"/>
      </rPr>
      <t>O-N</t>
    </r>
    <r>
      <rPr>
        <vertAlign val="subscript"/>
        <sz val="11"/>
        <color theme="1"/>
        <rFont val="Calibri"/>
        <family val="2"/>
      </rPr>
      <t xml:space="preserve">os </t>
    </r>
    <r>
      <rPr>
        <sz val="11"/>
        <color theme="1"/>
        <rFont val="Calibri"/>
        <family val="2"/>
      </rPr>
      <t>+ N</t>
    </r>
    <r>
      <rPr>
        <vertAlign val="subscript"/>
        <sz val="11"/>
        <color theme="1"/>
        <rFont val="Calibri"/>
        <family val="2"/>
      </rPr>
      <t>2</t>
    </r>
    <r>
      <rPr>
        <sz val="11"/>
        <color theme="1"/>
        <rFont val="Calibri"/>
        <family val="2"/>
      </rPr>
      <t>O-N</t>
    </r>
    <r>
      <rPr>
        <vertAlign val="subscript"/>
        <sz val="11"/>
        <color theme="1"/>
        <rFont val="Calibri"/>
        <family val="2"/>
      </rPr>
      <t>PRP</t>
    </r>
    <r>
      <rPr>
        <sz val="11"/>
        <color theme="1"/>
        <rFont val="Calibri"/>
        <family val="2"/>
      </rPr>
      <t xml:space="preserve"> ))x 44/28</t>
    </r>
  </si>
  <si>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Direct</t>
    </r>
    <r>
      <rPr>
        <sz val="11"/>
        <color theme="1"/>
        <rFont val="Calibri"/>
        <family val="2"/>
      </rPr>
      <t>-N</t>
    </r>
  </si>
  <si>
    <r>
      <rPr>
        <sz val="11"/>
        <color theme="1"/>
        <rFont val="Calibri"/>
        <family val="2"/>
      </rPr>
      <t>annual direct N</t>
    </r>
    <r>
      <rPr>
        <vertAlign val="subscript"/>
        <sz val="11"/>
        <color theme="1"/>
        <rFont val="Calibri"/>
        <family val="2"/>
      </rPr>
      <t>2</t>
    </r>
    <r>
      <rPr>
        <sz val="11"/>
        <color theme="1"/>
        <rFont val="Calibri"/>
        <family val="2"/>
      </rPr>
      <t>O–N emissions to grazed soils, kg N</t>
    </r>
    <r>
      <rPr>
        <vertAlign val="subscript"/>
        <sz val="11"/>
        <color theme="1"/>
        <rFont val="Calibri"/>
        <family val="2"/>
      </rPr>
      <t>2</t>
    </r>
    <r>
      <rPr>
        <sz val="11"/>
        <color theme="1"/>
        <rFont val="Calibri"/>
        <family val="2"/>
      </rPr>
      <t>O–N yr</t>
    </r>
    <r>
      <rPr>
        <vertAlign val="superscript"/>
        <sz val="11"/>
        <color theme="1"/>
        <rFont val="Calibri"/>
        <family val="2"/>
      </rPr>
      <t>-1</t>
    </r>
  </si>
  <si>
    <r>
      <rPr>
        <sz val="11"/>
        <color theme="1"/>
        <rFont val="Calibri"/>
        <family val="2"/>
      </rPr>
      <t>F</t>
    </r>
    <r>
      <rPr>
        <vertAlign val="subscript"/>
        <sz val="11"/>
        <color theme="1"/>
        <rFont val="Calibri"/>
        <family val="2"/>
      </rPr>
      <t>sn</t>
    </r>
  </si>
  <si>
    <r>
      <rPr>
        <sz val="11"/>
        <color theme="1"/>
        <rFont val="Calibri"/>
        <family val="2"/>
      </rPr>
      <t>annual amount of synthetic fertiliser N applied to soils, kg N yr</t>
    </r>
    <r>
      <rPr>
        <vertAlign val="superscript"/>
        <sz val="11"/>
        <color theme="1"/>
        <rFont val="Calibri"/>
        <family val="2"/>
      </rPr>
      <t>-1</t>
    </r>
  </si>
  <si>
    <r>
      <rPr>
        <sz val="11"/>
        <color theme="1"/>
        <rFont val="Calibri"/>
        <family val="2"/>
      </rPr>
      <t>F</t>
    </r>
    <r>
      <rPr>
        <vertAlign val="subscript"/>
        <sz val="11"/>
        <color theme="1"/>
        <rFont val="Calibri"/>
        <family val="2"/>
      </rPr>
      <t>on</t>
    </r>
  </si>
  <si>
    <r>
      <rPr>
        <sz val="11"/>
        <color theme="1"/>
        <rFont val="Calibri"/>
        <family val="2"/>
      </rPr>
      <t>annual amount of animal manure, compost, sewage sludge and other organic N additions applied to soils (Note: If including sewage sludge, cross-check with Waste Sector to ensure there is no double counting of N2O emissions from the N in sewage sludge), kg N yr</t>
    </r>
    <r>
      <rPr>
        <vertAlign val="superscript"/>
        <sz val="11"/>
        <color theme="1"/>
        <rFont val="Calibri"/>
        <family val="2"/>
      </rPr>
      <t>-1</t>
    </r>
  </si>
  <si>
    <r>
      <rPr>
        <sz val="11"/>
        <color theme="1"/>
        <rFont val="Calibri"/>
        <family val="2"/>
      </rPr>
      <t>EF</t>
    </r>
    <r>
      <rPr>
        <vertAlign val="subscript"/>
        <sz val="11"/>
        <color theme="1"/>
        <rFont val="Calibri"/>
        <family val="2"/>
      </rPr>
      <t>li</t>
    </r>
  </si>
  <si>
    <r>
      <rPr>
        <sz val="11"/>
        <color theme="1"/>
        <rFont val="Calibri"/>
        <family val="2"/>
      </rPr>
      <t>emission factors developed for N2O emissions from synthetic fertiliser and organic N application under conditions i (kg N</t>
    </r>
    <r>
      <rPr>
        <vertAlign val="subscript"/>
        <sz val="11"/>
        <color theme="1"/>
        <rFont val="Calibri"/>
        <family val="2"/>
      </rPr>
      <t>2</t>
    </r>
    <r>
      <rPr>
        <sz val="11"/>
        <color theme="1"/>
        <rFont val="Calibri"/>
        <family val="2"/>
      </rPr>
      <t>O–N (kg N input)</t>
    </r>
    <r>
      <rPr>
        <vertAlign val="superscript"/>
        <sz val="11"/>
        <color theme="1"/>
        <rFont val="Calibri"/>
        <family val="2"/>
      </rPr>
      <t>-1</t>
    </r>
    <r>
      <rPr>
        <sz val="11"/>
        <color theme="1"/>
        <rFont val="Calibri"/>
        <family val="2"/>
      </rPr>
      <t xml:space="preserve"> ); i = l, …n</t>
    </r>
  </si>
  <si>
    <r>
      <rPr>
        <sz val="11"/>
        <color theme="1"/>
        <rFont val="Calibri"/>
        <family val="2"/>
      </rPr>
      <t>F</t>
    </r>
    <r>
      <rPr>
        <vertAlign val="subscript"/>
        <sz val="11"/>
        <color theme="1"/>
        <rFont val="Calibri"/>
        <family val="2"/>
      </rPr>
      <t>cr</t>
    </r>
  </si>
  <si>
    <r>
      <rPr>
        <sz val="11"/>
        <color theme="1"/>
        <rFont val="Calibri"/>
        <family val="2"/>
      </rPr>
      <t>annual amount of N in crop residues (above-ground and below-ground), including N-fixing crops, and from forage/pasture renewal, returned to soils, kg N yr</t>
    </r>
    <r>
      <rPr>
        <vertAlign val="superscript"/>
        <sz val="11"/>
        <color theme="1"/>
        <rFont val="Calibri"/>
        <family val="2"/>
      </rPr>
      <t>-1</t>
    </r>
  </si>
  <si>
    <r>
      <rPr>
        <sz val="11"/>
        <color theme="1"/>
        <rFont val="Calibri"/>
        <family val="2"/>
      </rPr>
      <t>F</t>
    </r>
    <r>
      <rPr>
        <vertAlign val="subscript"/>
        <sz val="11"/>
        <color theme="1"/>
        <rFont val="Calibri"/>
        <family val="2"/>
      </rPr>
      <t>som</t>
    </r>
  </si>
  <si>
    <t>annual amount of N in mineral soils that is mineralised, in association with loss of soil C from soil organic matter as a result of changes to land use or management, kg N yr-1</t>
  </si>
  <si>
    <r>
      <rPr>
        <sz val="11"/>
        <color theme="1"/>
        <rFont val="Calibri"/>
        <family val="2"/>
      </rPr>
      <t>EF</t>
    </r>
    <r>
      <rPr>
        <vertAlign val="subscript"/>
        <sz val="11"/>
        <color theme="1"/>
        <rFont val="Calibri"/>
        <family val="2"/>
      </rPr>
      <t>l</t>
    </r>
  </si>
  <si>
    <r>
      <rPr>
        <sz val="11"/>
        <color theme="1"/>
        <rFont val="Calibri"/>
        <family val="2"/>
      </rPr>
      <t>emission factor for N</t>
    </r>
    <r>
      <rPr>
        <vertAlign val="subscript"/>
        <sz val="11"/>
        <color theme="1"/>
        <rFont val="Calibri"/>
        <family val="2"/>
      </rPr>
      <t>2</t>
    </r>
    <r>
      <rPr>
        <sz val="11"/>
        <color theme="1"/>
        <rFont val="Calibri"/>
        <family val="2"/>
      </rPr>
      <t>O emissions from N inputs, kg N</t>
    </r>
    <r>
      <rPr>
        <vertAlign val="subscript"/>
        <sz val="11"/>
        <color theme="1"/>
        <rFont val="Calibri"/>
        <family val="2"/>
      </rPr>
      <t>2</t>
    </r>
    <r>
      <rPr>
        <sz val="11"/>
        <color theme="1"/>
        <rFont val="Calibri"/>
        <family val="2"/>
      </rPr>
      <t>O–N (kg N input)</t>
    </r>
    <r>
      <rPr>
        <vertAlign val="superscript"/>
        <sz val="11"/>
        <color theme="1"/>
        <rFont val="Calibri"/>
        <family val="2"/>
      </rPr>
      <t>-1</t>
    </r>
  </si>
  <si>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Nos</t>
    </r>
  </si>
  <si>
    <r>
      <rPr>
        <sz val="11"/>
        <color theme="1"/>
        <rFont val="Calibri"/>
        <family val="2"/>
      </rPr>
      <t>annual direct N</t>
    </r>
    <r>
      <rPr>
        <vertAlign val="subscript"/>
        <sz val="11"/>
        <color theme="1"/>
        <rFont val="Calibri"/>
        <family val="2"/>
      </rPr>
      <t>2</t>
    </r>
    <r>
      <rPr>
        <sz val="11"/>
        <color theme="1"/>
        <rFont val="Calibri"/>
        <family val="2"/>
      </rPr>
      <t>O–N emissions from managed organic soils, kg N</t>
    </r>
    <r>
      <rPr>
        <vertAlign val="subscript"/>
        <sz val="11"/>
        <color theme="1"/>
        <rFont val="Calibri"/>
        <family val="2"/>
      </rPr>
      <t>2</t>
    </r>
    <r>
      <rPr>
        <sz val="11"/>
        <color theme="1"/>
        <rFont val="Calibri"/>
        <family val="2"/>
      </rPr>
      <t>O–N yr</t>
    </r>
    <r>
      <rPr>
        <vertAlign val="superscript"/>
        <sz val="11"/>
        <color theme="1"/>
        <rFont val="Calibri"/>
        <family val="2"/>
      </rPr>
      <t>-1</t>
    </r>
  </si>
  <si>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PRP</t>
    </r>
  </si>
  <si>
    <r>
      <rPr>
        <sz val="11"/>
        <color theme="1"/>
        <rFont val="Calibri"/>
        <family val="2"/>
      </rPr>
      <t>annual direct N</t>
    </r>
    <r>
      <rPr>
        <vertAlign val="subscript"/>
        <sz val="11"/>
        <color theme="1"/>
        <rFont val="Calibri"/>
        <family val="2"/>
      </rPr>
      <t>2</t>
    </r>
    <r>
      <rPr>
        <sz val="11"/>
        <color theme="1"/>
        <rFont val="Calibri"/>
        <family val="2"/>
      </rPr>
      <t>O–N emissions from urine and dung inputs to grazed soils, kg N</t>
    </r>
    <r>
      <rPr>
        <vertAlign val="subscript"/>
        <sz val="11"/>
        <color theme="1"/>
        <rFont val="Calibri"/>
        <family val="2"/>
      </rPr>
      <t>2</t>
    </r>
    <r>
      <rPr>
        <sz val="11"/>
        <color theme="1"/>
        <rFont val="Calibri"/>
        <family val="2"/>
      </rPr>
      <t>O–N yr</t>
    </r>
    <r>
      <rPr>
        <vertAlign val="superscript"/>
        <sz val="11"/>
        <color theme="1"/>
        <rFont val="Calibri"/>
        <family val="2"/>
      </rPr>
      <t>1</t>
    </r>
  </si>
  <si>
    <t>Equation 11.2 may be modified in a variety of ways to accommodate any combination of N source-, crop type-, management-, land use-, climate-, soil- or other condition-specific emission factors that a country may be able to obtain for each of the individual N input variables (FSN, FON, FCR, FSOM, FOS, FPRP).</t>
  </si>
  <si>
    <t>Equation 25
IPCC, 2019 "N2O Emissions from Managed Soils, and CO2 Emissions from Lime and Urea Application"V.4, Ch.11, Eq.11.3</t>
  </si>
  <si>
    <r>
      <rPr>
        <sz val="11"/>
        <color theme="1"/>
        <rFont val="Calibri"/>
        <family val="2"/>
      </rPr>
      <t>F</t>
    </r>
    <r>
      <rPr>
        <vertAlign val="subscript"/>
        <sz val="11"/>
        <color theme="1"/>
        <rFont val="Calibri"/>
        <family val="2"/>
      </rPr>
      <t xml:space="preserve">ON </t>
    </r>
    <r>
      <rPr>
        <sz val="11"/>
        <color theme="1"/>
        <rFont val="Calibri"/>
        <family val="2"/>
      </rPr>
      <t>= F</t>
    </r>
    <r>
      <rPr>
        <vertAlign val="subscript"/>
        <sz val="11"/>
        <color theme="1"/>
        <rFont val="Calibri"/>
        <family val="2"/>
      </rPr>
      <t>AM</t>
    </r>
    <r>
      <rPr>
        <sz val="11"/>
        <color theme="1"/>
        <rFont val="Calibri"/>
        <family val="2"/>
      </rPr>
      <t xml:space="preserve"> + F</t>
    </r>
    <r>
      <rPr>
        <vertAlign val="subscript"/>
        <sz val="11"/>
        <color theme="1"/>
        <rFont val="Calibri"/>
        <family val="2"/>
      </rPr>
      <t>SEW</t>
    </r>
    <r>
      <rPr>
        <sz val="11"/>
        <color theme="1"/>
        <rFont val="Calibri"/>
        <family val="2"/>
      </rPr>
      <t xml:space="preserve"> + F</t>
    </r>
    <r>
      <rPr>
        <vertAlign val="subscript"/>
        <sz val="11"/>
        <color theme="1"/>
        <rFont val="Calibri"/>
        <family val="2"/>
      </rPr>
      <t>COMP</t>
    </r>
    <r>
      <rPr>
        <sz val="11"/>
        <color theme="1"/>
        <rFont val="Calibri"/>
        <family val="2"/>
      </rPr>
      <t xml:space="preserve"> + F</t>
    </r>
    <r>
      <rPr>
        <vertAlign val="subscript"/>
        <sz val="11"/>
        <color theme="1"/>
        <rFont val="Calibri"/>
        <family val="2"/>
      </rPr>
      <t>OOA</t>
    </r>
  </si>
  <si>
    <r>
      <rPr>
        <sz val="11"/>
        <color theme="1"/>
        <rFont val="Calibri"/>
        <family val="2"/>
      </rPr>
      <t>F</t>
    </r>
    <r>
      <rPr>
        <vertAlign val="subscript"/>
        <sz val="11"/>
        <color theme="1"/>
        <rFont val="Calibri"/>
        <family val="2"/>
      </rPr>
      <t>ON</t>
    </r>
  </si>
  <si>
    <r>
      <rPr>
        <sz val="11"/>
        <color theme="1"/>
        <rFont val="Calibri"/>
        <family val="2"/>
      </rPr>
      <t>total annual amount of organic N fertiliser applied to soils other than by grazing animals, kg N yr</t>
    </r>
    <r>
      <rPr>
        <vertAlign val="superscript"/>
        <sz val="11"/>
        <color theme="1"/>
        <rFont val="Calibri"/>
        <family val="2"/>
      </rPr>
      <t>-1</t>
    </r>
  </si>
  <si>
    <t>Calculed</t>
  </si>
  <si>
    <r>
      <rPr>
        <sz val="11"/>
        <color theme="1"/>
        <rFont val="Calibri"/>
        <family val="2"/>
      </rPr>
      <t>F</t>
    </r>
    <r>
      <rPr>
        <vertAlign val="subscript"/>
        <sz val="11"/>
        <color theme="1"/>
        <rFont val="Calibri"/>
        <family val="2"/>
      </rPr>
      <t>AM</t>
    </r>
  </si>
  <si>
    <t>annual amount of animal manure N applied to soils, kg N yr-1</t>
  </si>
  <si>
    <r>
      <rPr>
        <sz val="11"/>
        <color theme="1"/>
        <rFont val="Calibri"/>
        <family val="2"/>
      </rPr>
      <t>F</t>
    </r>
    <r>
      <rPr>
        <vertAlign val="subscript"/>
        <sz val="11"/>
        <color theme="1"/>
        <rFont val="Calibri"/>
        <family val="2"/>
      </rPr>
      <t>SEW</t>
    </r>
  </si>
  <si>
    <r>
      <rPr>
        <sz val="11"/>
        <color theme="1"/>
        <rFont val="Calibri"/>
        <family val="2"/>
      </rPr>
      <t>annual amount of total sewage N (coordinate with Waste Sector to ensure that sewage N is not double-counted) that is applied to soils, kg N yr</t>
    </r>
    <r>
      <rPr>
        <vertAlign val="superscript"/>
        <sz val="11"/>
        <color theme="1"/>
        <rFont val="Calibri"/>
        <family val="2"/>
      </rPr>
      <t>-1</t>
    </r>
  </si>
  <si>
    <r>
      <rPr>
        <sz val="11"/>
        <color theme="1"/>
        <rFont val="Calibri"/>
        <family val="2"/>
      </rPr>
      <t>F</t>
    </r>
    <r>
      <rPr>
        <vertAlign val="subscript"/>
        <sz val="11"/>
        <color theme="1"/>
        <rFont val="Calibri"/>
        <family val="2"/>
      </rPr>
      <t>COMP</t>
    </r>
  </si>
  <si>
    <r>
      <rPr>
        <sz val="11"/>
        <color theme="1"/>
        <rFont val="Calibri"/>
        <family val="2"/>
      </rPr>
      <t>annual amount of total compost N applied to soils (ensure that manure N in compost is not double-counted), kg N yr</t>
    </r>
    <r>
      <rPr>
        <vertAlign val="superscript"/>
        <sz val="11"/>
        <color theme="1"/>
        <rFont val="Calibri"/>
        <family val="2"/>
      </rPr>
      <t>-1</t>
    </r>
  </si>
  <si>
    <r>
      <rPr>
        <sz val="11"/>
        <color theme="1"/>
        <rFont val="Calibri"/>
        <family val="2"/>
      </rPr>
      <t>F</t>
    </r>
    <r>
      <rPr>
        <vertAlign val="subscript"/>
        <sz val="11"/>
        <color theme="1"/>
        <rFont val="Calibri"/>
        <family val="2"/>
      </rPr>
      <t>OOA</t>
    </r>
  </si>
  <si>
    <r>
      <rPr>
        <sz val="11"/>
        <color theme="1"/>
        <rFont val="Calibri"/>
        <family val="2"/>
      </rPr>
      <t>annual amount of other organic amendments used as fertiliser (e.g., rendering waste, guano, brewery waste, etc.), kg N yr</t>
    </r>
    <r>
      <rPr>
        <vertAlign val="superscript"/>
        <sz val="11"/>
        <color theme="1"/>
        <rFont val="Calibri"/>
        <family val="2"/>
      </rPr>
      <t>-1</t>
    </r>
  </si>
  <si>
    <t>Equation 26
IPCC, 2019 "N2O Emissions from Managed Soils, and CO2 Emissions from Lime and Urea Application"V.4, Ch.11, Eq.11.4</t>
  </si>
  <si>
    <r>
      <rPr>
        <sz val="11"/>
        <color theme="1"/>
        <rFont val="Calibri"/>
        <family val="2"/>
      </rPr>
      <t xml:space="preserve"> F</t>
    </r>
    <r>
      <rPr>
        <vertAlign val="subscript"/>
        <sz val="11"/>
        <color theme="1"/>
        <rFont val="Calibri"/>
        <family val="2"/>
      </rPr>
      <t>AM</t>
    </r>
    <r>
      <rPr>
        <sz val="11"/>
        <color theme="1"/>
        <rFont val="Calibri"/>
        <family val="2"/>
      </rPr>
      <t xml:space="preserve"> = N</t>
    </r>
    <r>
      <rPr>
        <vertAlign val="subscript"/>
        <sz val="11"/>
        <color theme="1"/>
        <rFont val="Calibri"/>
        <family val="2"/>
      </rPr>
      <t>MMS Avb</t>
    </r>
    <r>
      <rPr>
        <sz val="11"/>
        <color theme="1"/>
        <rFont val="Calibri"/>
        <family val="2"/>
      </rPr>
      <t xml:space="preserve"> x [1 - (Frac</t>
    </r>
    <r>
      <rPr>
        <vertAlign val="subscript"/>
        <sz val="11"/>
        <color theme="1"/>
        <rFont val="Calibri"/>
        <family val="2"/>
      </rPr>
      <t>Feed</t>
    </r>
    <r>
      <rPr>
        <sz val="11"/>
        <color theme="1"/>
        <rFont val="Calibri"/>
        <family val="2"/>
      </rPr>
      <t xml:space="preserve"> + Frac</t>
    </r>
    <r>
      <rPr>
        <vertAlign val="subscript"/>
        <sz val="11"/>
        <color theme="1"/>
        <rFont val="Calibri"/>
        <family val="2"/>
      </rPr>
      <t>Fuel</t>
    </r>
    <r>
      <rPr>
        <sz val="11"/>
        <color theme="1"/>
        <rFont val="Calibri"/>
        <family val="2"/>
      </rPr>
      <t xml:space="preserve"> + Frac</t>
    </r>
    <r>
      <rPr>
        <vertAlign val="subscript"/>
        <sz val="11"/>
        <color theme="1"/>
        <rFont val="Calibri"/>
        <family val="2"/>
      </rPr>
      <t>CNST</t>
    </r>
    <r>
      <rPr>
        <sz val="11"/>
        <color theme="1"/>
        <rFont val="Calibri"/>
        <family val="2"/>
      </rPr>
      <t>)</t>
    </r>
  </si>
  <si>
    <r>
      <rPr>
        <sz val="11"/>
        <color theme="1"/>
        <rFont val="Calibri"/>
        <family val="2"/>
      </rPr>
      <t>F</t>
    </r>
    <r>
      <rPr>
        <vertAlign val="subscript"/>
        <sz val="11"/>
        <color theme="1"/>
        <rFont val="Calibri"/>
        <family val="2"/>
      </rPr>
      <t>AM</t>
    </r>
  </si>
  <si>
    <r>
      <rPr>
        <sz val="11"/>
        <color theme="1"/>
        <rFont val="Calibri"/>
        <family val="2"/>
      </rPr>
      <t>annual amount of animal manure N applied to soils, kg N yr</t>
    </r>
    <r>
      <rPr>
        <vertAlign val="superscript"/>
        <sz val="11"/>
        <color theme="1"/>
        <rFont val="Calibri"/>
        <family val="2"/>
      </rPr>
      <t>-1</t>
    </r>
  </si>
  <si>
    <r>
      <rPr>
        <sz val="11"/>
        <color theme="1"/>
        <rFont val="Calibri"/>
        <family val="2"/>
      </rPr>
      <t>N</t>
    </r>
    <r>
      <rPr>
        <vertAlign val="subscript"/>
        <sz val="11"/>
        <color theme="1"/>
        <rFont val="Calibri"/>
        <family val="2"/>
      </rPr>
      <t>MMS Avb</t>
    </r>
  </si>
  <si>
    <r>
      <rPr>
        <sz val="11"/>
        <color theme="1"/>
        <rFont val="Calibri"/>
        <family val="2"/>
      </rPr>
      <t>amount of managed manure N available for soil application, feed, fuel or construction, kg N yr</t>
    </r>
    <r>
      <rPr>
        <vertAlign val="superscript"/>
        <sz val="11"/>
        <color theme="1"/>
        <rFont val="Calibri"/>
        <family val="2"/>
      </rPr>
      <t>-1</t>
    </r>
  </si>
  <si>
    <r>
      <rPr>
        <sz val="11"/>
        <color theme="1"/>
        <rFont val="Calibri"/>
        <family val="2"/>
      </rPr>
      <t>Frac</t>
    </r>
    <r>
      <rPr>
        <vertAlign val="subscript"/>
        <sz val="11"/>
        <color theme="1"/>
        <rFont val="Calibri"/>
        <family val="2"/>
      </rPr>
      <t>Feed</t>
    </r>
  </si>
  <si>
    <t>fraction of managed manure used for feed</t>
  </si>
  <si>
    <r>
      <rPr>
        <sz val="11"/>
        <color theme="1"/>
        <rFont val="Calibri"/>
        <family val="2"/>
      </rPr>
      <t>Frac</t>
    </r>
    <r>
      <rPr>
        <vertAlign val="subscript"/>
        <sz val="11"/>
        <color theme="1"/>
        <rFont val="Calibri"/>
        <family val="2"/>
      </rPr>
      <t>Fuel</t>
    </r>
  </si>
  <si>
    <t>fraction of managed manure used for fuel</t>
  </si>
  <si>
    <r>
      <rPr>
        <sz val="11"/>
        <color theme="1"/>
        <rFont val="Calibri"/>
        <family val="2"/>
      </rPr>
      <t>Frac</t>
    </r>
    <r>
      <rPr>
        <vertAlign val="subscript"/>
        <sz val="11"/>
        <color theme="1"/>
        <rFont val="Calibri"/>
        <family val="2"/>
      </rPr>
      <t>CNST</t>
    </r>
  </si>
  <si>
    <t>fraction of managed manure used for construction</t>
  </si>
  <si>
    <t>Equation 27
IPCC, 2019 "Emissions from livestock and manure management"V.4, Ch.10, Eq.10.34</t>
  </si>
  <si>
    <r>
      <rPr>
        <sz val="11"/>
        <color theme="1"/>
        <rFont val="Calibri"/>
        <family val="2"/>
      </rPr>
      <t>N</t>
    </r>
    <r>
      <rPr>
        <vertAlign val="subscript"/>
        <sz val="11"/>
        <color theme="1"/>
        <rFont val="Calibri"/>
        <family val="2"/>
      </rPr>
      <t>MMS Avb</t>
    </r>
    <r>
      <rPr>
        <sz val="11"/>
        <color theme="1"/>
        <rFont val="Calibri"/>
        <family val="2"/>
      </rPr>
      <t xml:space="preserve"> = ∑</t>
    </r>
    <r>
      <rPr>
        <vertAlign val="subscript"/>
        <sz val="11"/>
        <color theme="1"/>
        <rFont val="Calibri"/>
        <family val="2"/>
      </rPr>
      <t>(S)</t>
    </r>
    <r>
      <rPr>
        <sz val="11"/>
        <color theme="1"/>
        <rFont val="Calibri"/>
        <family val="2"/>
      </rPr>
      <t>{</t>
    </r>
    <r>
      <rPr>
        <sz val="11"/>
        <color theme="1"/>
        <rFont val="Calibri"/>
        <family val="2"/>
      </rPr>
      <t>∑</t>
    </r>
    <r>
      <rPr>
        <vertAlign val="subscript"/>
        <sz val="11"/>
        <color theme="1"/>
        <rFont val="Calibri"/>
        <family val="2"/>
      </rPr>
      <t>(T)</t>
    </r>
    <r>
      <rPr>
        <sz val="11"/>
        <color theme="1"/>
        <rFont val="Calibri"/>
        <family val="2"/>
      </rPr>
      <t>[(N</t>
    </r>
    <r>
      <rPr>
        <vertAlign val="subscript"/>
        <sz val="11"/>
        <color theme="1"/>
        <rFont val="Calibri"/>
        <family val="2"/>
      </rPr>
      <t>(T)</t>
    </r>
    <r>
      <rPr>
        <sz val="11"/>
        <color theme="1"/>
        <rFont val="Calibri"/>
        <family val="2"/>
      </rPr>
      <t xml:space="preserve"> x N</t>
    </r>
    <r>
      <rPr>
        <vertAlign val="subscript"/>
        <sz val="11"/>
        <color theme="1"/>
        <rFont val="Calibri"/>
        <family val="2"/>
      </rPr>
      <t>ex(T)</t>
    </r>
    <r>
      <rPr>
        <sz val="11"/>
        <color theme="1"/>
        <rFont val="Calibri"/>
        <family val="2"/>
      </rPr>
      <t xml:space="preserve"> x AWMS</t>
    </r>
    <r>
      <rPr>
        <vertAlign val="subscript"/>
        <sz val="11"/>
        <color theme="1"/>
        <rFont val="Calibri"/>
        <family val="2"/>
      </rPr>
      <t>(T, S)</t>
    </r>
    <r>
      <rPr>
        <sz val="11"/>
        <color theme="1"/>
        <rFont val="Calibri"/>
        <family val="2"/>
      </rPr>
      <t xml:space="preserve"> + N</t>
    </r>
    <r>
      <rPr>
        <vertAlign val="subscript"/>
        <sz val="11"/>
        <color theme="1"/>
        <rFont val="Calibri"/>
        <family val="2"/>
      </rPr>
      <t>cdg</t>
    </r>
    <r>
      <rPr>
        <sz val="11"/>
        <color theme="1"/>
        <rFont val="Calibri"/>
        <family val="2"/>
      </rPr>
      <t>) x (1 - Frac</t>
    </r>
    <r>
      <rPr>
        <vertAlign val="subscript"/>
        <sz val="11"/>
        <color theme="1"/>
        <rFont val="Calibri"/>
        <family val="2"/>
      </rPr>
      <t>LossMS(T, S)</t>
    </r>
    <r>
      <rPr>
        <sz val="11"/>
        <color theme="1"/>
        <rFont val="Calibri"/>
        <family val="2"/>
      </rPr>
      <t>)] + [ N</t>
    </r>
    <r>
      <rPr>
        <vertAlign val="subscript"/>
        <sz val="11"/>
        <color theme="1"/>
        <rFont val="Calibri"/>
        <family val="2"/>
      </rPr>
      <t>(T)</t>
    </r>
    <r>
      <rPr>
        <sz val="11"/>
        <color theme="1"/>
        <rFont val="Calibri"/>
        <family val="2"/>
      </rPr>
      <t xml:space="preserve"> x AWMS</t>
    </r>
    <r>
      <rPr>
        <vertAlign val="subscript"/>
        <sz val="11"/>
        <color theme="1"/>
        <rFont val="Calibri"/>
        <family val="2"/>
      </rPr>
      <t>(T, S)</t>
    </r>
    <r>
      <rPr>
        <sz val="11"/>
        <color theme="1"/>
        <rFont val="Calibri"/>
        <family val="2"/>
      </rPr>
      <t xml:space="preserve"> x N</t>
    </r>
    <r>
      <rPr>
        <vertAlign val="subscript"/>
        <sz val="11"/>
        <color theme="1"/>
        <rFont val="Calibri"/>
        <family val="2"/>
      </rPr>
      <t>beddingMS(T, S)</t>
    </r>
    <r>
      <rPr>
        <sz val="11"/>
        <color theme="1"/>
        <rFont val="Calibri"/>
        <family val="2"/>
      </rPr>
      <t>]}</t>
    </r>
  </si>
  <si>
    <r>
      <rPr>
        <sz val="11"/>
        <color theme="1"/>
        <rFont val="Calibri"/>
        <family val="2"/>
      </rPr>
      <t>N</t>
    </r>
    <r>
      <rPr>
        <vertAlign val="subscript"/>
        <sz val="11"/>
        <color theme="1"/>
        <rFont val="Calibri"/>
        <family val="2"/>
      </rPr>
      <t xml:space="preserve">MMS Avb </t>
    </r>
  </si>
  <si>
    <r>
      <rPr>
        <sz val="11"/>
        <color theme="1"/>
        <rFont val="Calibri"/>
        <family val="2"/>
      </rPr>
      <t>amount of managed manure nitrogen available for application to managed soils or for feed, fuel, or construction purposes, kg N yr</t>
    </r>
    <r>
      <rPr>
        <vertAlign val="superscript"/>
        <sz val="11"/>
        <color theme="1"/>
        <rFont val="Calibri"/>
        <family val="2"/>
      </rPr>
      <t>-1</t>
    </r>
  </si>
  <si>
    <r>
      <rPr>
        <sz val="11"/>
        <color theme="1"/>
        <rFont val="Calibri"/>
        <family val="2"/>
      </rPr>
      <t>N</t>
    </r>
    <r>
      <rPr>
        <vertAlign val="subscript"/>
        <sz val="11"/>
        <color theme="1"/>
        <rFont val="Calibri"/>
        <family val="2"/>
      </rPr>
      <t>(T)</t>
    </r>
  </si>
  <si>
    <t>number of head of livestock species/category T in the country</t>
  </si>
  <si>
    <r>
      <rPr>
        <sz val="11"/>
        <color theme="1"/>
        <rFont val="Calibri"/>
        <family val="2"/>
      </rPr>
      <t>N</t>
    </r>
    <r>
      <rPr>
        <vertAlign val="subscript"/>
        <sz val="11"/>
        <color theme="1"/>
        <rFont val="Calibri"/>
        <family val="2"/>
      </rPr>
      <t>ex(T)</t>
    </r>
  </si>
  <si>
    <r>
      <rPr>
        <sz val="11"/>
        <color theme="1"/>
        <rFont val="Calibri"/>
        <family val="2"/>
      </rPr>
      <t>annual average N excretion per animal of species/category T in the country, kg N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</si>
  <si>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1"/>
        <color theme="1"/>
        <rFont val="Calibri"/>
        <family val="2"/>
      </rPr>
      <t>AWMS</t>
    </r>
    <r>
      <rPr>
        <vertAlign val="subscript"/>
        <sz val="11"/>
        <color theme="1"/>
        <rFont val="Calibri"/>
        <family val="2"/>
      </rPr>
      <t>(T, S)</t>
    </r>
  </si>
  <si>
    <t>fraction of total annual nitrogen excretion for each livestock species/category T that is managed in manure management system S in the country, dimensionless</t>
  </si>
  <si>
    <r>
      <rPr>
        <sz val="11"/>
        <color theme="1"/>
        <rFont val="Calibri"/>
        <family val="2"/>
      </rPr>
      <t>Frac</t>
    </r>
    <r>
      <rPr>
        <vertAlign val="subscript"/>
        <sz val="11"/>
        <color theme="1"/>
        <rFont val="Calibri"/>
        <family val="2"/>
      </rPr>
      <t>LOSSMS(T, S)</t>
    </r>
  </si>
  <si>
    <t>total fraction of managed manure nitrogen for livestock category T that is lost in the manure management system S in the country, dimensionless.</t>
  </si>
  <si>
    <r>
      <rPr>
        <sz val="11"/>
        <color theme="1"/>
        <rFont val="Calibri"/>
        <family val="2"/>
      </rPr>
      <t>N</t>
    </r>
    <r>
      <rPr>
        <vertAlign val="subscript"/>
        <sz val="11"/>
        <color theme="1"/>
        <rFont val="Calibri"/>
        <family val="2"/>
      </rPr>
      <t>beddingMS(T, S)</t>
    </r>
  </si>
  <si>
    <r>
      <rPr>
        <sz val="11"/>
        <color theme="1"/>
        <rFont val="Calibri"/>
        <family val="2"/>
      </rPr>
      <t>amount of nitrogen from bedding (to be applied for solid storage and deep bedding MMS if known organic bedding usage), kg N animal</t>
    </r>
    <r>
      <rPr>
        <vertAlign val="superscript"/>
        <sz val="11"/>
        <color theme="1"/>
        <rFont val="Calibri"/>
        <family val="2"/>
      </rPr>
      <t>-1</t>
    </r>
    <r>
      <rPr>
        <sz val="11"/>
        <color theme="1"/>
        <rFont val="Calibri"/>
        <family val="2"/>
      </rPr>
      <t xml:space="preserve"> yr</t>
    </r>
    <r>
      <rPr>
        <vertAlign val="superscript"/>
        <sz val="11"/>
        <color theme="1"/>
        <rFont val="Calibri"/>
        <family val="2"/>
      </rPr>
      <t>-1</t>
    </r>
  </si>
  <si>
    <r>
      <rPr>
        <sz val="11"/>
        <color theme="1"/>
        <rFont val="Calibri"/>
        <family val="2"/>
      </rPr>
      <t>N</t>
    </r>
    <r>
      <rPr>
        <vertAlign val="subscript"/>
        <sz val="11"/>
        <color theme="1"/>
        <rFont val="Calibri"/>
        <family val="2"/>
      </rPr>
      <t>cdg</t>
    </r>
  </si>
  <si>
    <r>
      <rPr>
        <sz val="11"/>
        <color theme="1"/>
        <rFont val="Calibri"/>
        <family val="2"/>
      </rPr>
      <t>amount of nitrogen from co-digestates added to biogas plants such as food wastes or purpose grown crops, kg N yr</t>
    </r>
    <r>
      <rPr>
        <vertAlign val="superscript"/>
        <sz val="11"/>
        <color theme="1"/>
        <rFont val="Calibri"/>
        <family val="2"/>
      </rPr>
      <t>-1</t>
    </r>
  </si>
  <si>
    <t>S</t>
  </si>
  <si>
    <t>manure management system</t>
  </si>
  <si>
    <t>T</t>
  </si>
  <si>
    <t>species/category of livestock</t>
  </si>
  <si>
    <t>Equation 28
IPCC, 2019 "Emissions from livestock and manure management"V.4, Ch.10, Eq.10.34A</t>
  </si>
  <si>
    <r>
      <rPr>
        <sz val="11"/>
        <color theme="1"/>
        <rFont val="Calibri"/>
        <family val="2"/>
      </rPr>
      <t>FRAC</t>
    </r>
    <r>
      <rPr>
        <vertAlign val="subscript"/>
        <sz val="11"/>
        <color theme="1"/>
        <rFont val="Calibri"/>
        <family val="2"/>
      </rPr>
      <t>LOSSMS(T, S)</t>
    </r>
    <r>
      <rPr>
        <sz val="11"/>
        <color theme="1"/>
        <rFont val="Calibri"/>
        <family val="2"/>
      </rPr>
      <t xml:space="preserve"> = FRAC</t>
    </r>
    <r>
      <rPr>
        <vertAlign val="subscript"/>
        <sz val="11"/>
        <color theme="1"/>
        <rFont val="Calibri"/>
        <family val="2"/>
      </rPr>
      <t>GASMS(T, S)</t>
    </r>
    <r>
      <rPr>
        <sz val="11"/>
        <color theme="1"/>
        <rFont val="Calibri"/>
        <family val="2"/>
      </rPr>
      <t xml:space="preserve"> + FRAC</t>
    </r>
    <r>
      <rPr>
        <vertAlign val="subscript"/>
        <sz val="11"/>
        <color theme="1"/>
        <rFont val="Calibri"/>
        <family val="2"/>
      </rPr>
      <t>LEACHSMS(T, S)</t>
    </r>
    <r>
      <rPr>
        <sz val="11"/>
        <color theme="1"/>
        <rFont val="Calibri"/>
        <family val="2"/>
      </rPr>
      <t xml:space="preserve"> + FRAC</t>
    </r>
    <r>
      <rPr>
        <vertAlign val="subscript"/>
        <sz val="11"/>
        <color theme="1"/>
        <rFont val="Calibri"/>
        <family val="2"/>
      </rPr>
      <t>N2MS(S)</t>
    </r>
    <r>
      <rPr>
        <sz val="11"/>
        <color theme="1"/>
        <rFont val="Calibri"/>
        <family val="2"/>
      </rPr>
      <t xml:space="preserve"> + EF</t>
    </r>
    <r>
      <rPr>
        <vertAlign val="subscript"/>
        <sz val="11"/>
        <color theme="1"/>
        <rFont val="Calibri"/>
        <family val="2"/>
      </rPr>
      <t>3(S)</t>
    </r>
  </si>
  <si>
    <r>
      <rPr>
        <sz val="11"/>
        <color theme="1"/>
        <rFont val="Calibri"/>
        <family val="2"/>
      </rPr>
      <t>FRAC</t>
    </r>
    <r>
      <rPr>
        <vertAlign val="subscript"/>
        <sz val="11"/>
        <color theme="1"/>
        <rFont val="Calibri"/>
        <family val="2"/>
      </rPr>
      <t>LOSSMS(T, S)</t>
    </r>
  </si>
  <si>
    <t>total fraction of managed manure nitrogen for livestock category T that is lost in the manure management system S</t>
  </si>
  <si>
    <r>
      <rPr>
        <sz val="11"/>
        <color theme="1"/>
        <rFont val="Calibri"/>
        <family val="2"/>
      </rPr>
      <t>FRAC</t>
    </r>
    <r>
      <rPr>
        <vertAlign val="subscript"/>
        <sz val="11"/>
        <color theme="1"/>
        <rFont val="Calibri"/>
        <family val="2"/>
      </rPr>
      <t>GASMS(T, S)</t>
    </r>
  </si>
  <si>
    <r>
      <rPr>
        <sz val="11"/>
        <color theme="1"/>
        <rFont val="Calibri"/>
        <family val="2"/>
      </rPr>
      <t>fraction of managed manure nitrogen for livestock category T that is lost by volatilisation in the manure management system S as NH</t>
    </r>
    <r>
      <rPr>
        <vertAlign val="subscript"/>
        <sz val="11"/>
        <color theme="1"/>
        <rFont val="Calibri"/>
        <family val="2"/>
      </rPr>
      <t>3</t>
    </r>
    <r>
      <rPr>
        <sz val="11"/>
        <color theme="1"/>
        <rFont val="Calibri"/>
        <family val="2"/>
      </rPr>
      <t xml:space="preserve"> or NO</t>
    </r>
    <r>
      <rPr>
        <vertAlign val="subscript"/>
        <sz val="11"/>
        <color theme="1"/>
        <rFont val="Calibri"/>
        <family val="2"/>
      </rPr>
      <t>X</t>
    </r>
  </si>
  <si>
    <r>
      <rPr>
        <sz val="11"/>
        <color theme="1"/>
        <rFont val="Calibri"/>
        <family val="2"/>
      </rPr>
      <t>FRAC</t>
    </r>
    <r>
      <rPr>
        <vertAlign val="subscript"/>
        <sz val="11"/>
        <color theme="1"/>
        <rFont val="Calibri"/>
        <family val="2"/>
      </rPr>
      <t>LEACHSMS(T, S)</t>
    </r>
  </si>
  <si>
    <t>fraction of managed manure nitrogen for livestock category T that is lost in the manure management system S by leaching or run-off</t>
  </si>
  <si>
    <r>
      <rPr>
        <sz val="11"/>
        <color theme="1"/>
        <rFont val="Calibri"/>
        <family val="2"/>
      </rPr>
      <t>FRAC</t>
    </r>
    <r>
      <rPr>
        <vertAlign val="subscript"/>
        <sz val="11"/>
        <color theme="1"/>
        <rFont val="Calibri"/>
        <family val="2"/>
      </rPr>
      <t>N2MS(S)</t>
    </r>
  </si>
  <si>
    <r>
      <rPr>
        <sz val="11"/>
        <color theme="1"/>
        <rFont val="Calibri"/>
        <family val="2"/>
      </rPr>
      <t>fraction of managed manure nitrogen that is lost in the manure management system S as N</t>
    </r>
    <r>
      <rPr>
        <vertAlign val="subscript"/>
        <sz val="11"/>
        <color theme="1"/>
        <rFont val="Calibri"/>
        <family val="2"/>
      </rPr>
      <t>2</t>
    </r>
  </si>
  <si>
    <r>
      <rPr>
        <sz val="11"/>
        <color theme="1"/>
        <rFont val="Calibri"/>
        <family val="2"/>
      </rPr>
      <t>EF</t>
    </r>
    <r>
      <rPr>
        <vertAlign val="subscript"/>
        <sz val="11"/>
        <color theme="1"/>
        <rFont val="Calibri"/>
        <family val="2"/>
      </rPr>
      <t>3(S)</t>
    </r>
  </si>
  <si>
    <r>
      <rPr>
        <sz val="11"/>
        <color theme="1"/>
        <rFont val="Calibri"/>
        <family val="2"/>
      </rPr>
      <t>emission factor for direct N</t>
    </r>
    <r>
      <rPr>
        <vertAlign val="subscript"/>
        <sz val="11"/>
        <color theme="1"/>
        <rFont val="Calibri"/>
        <family val="2"/>
      </rPr>
      <t>2</t>
    </r>
    <r>
      <rPr>
        <sz val="11"/>
        <color theme="1"/>
        <rFont val="Calibri"/>
        <family val="2"/>
      </rPr>
      <t>O emissions from manure management system S; in this case considered dimensionless</t>
    </r>
  </si>
  <si>
    <t>Equation 29
IPCC, 2019 "Emissions from livestock and manure management"V.4, Ch.10, Eq.10.34B</t>
  </si>
  <si>
    <r>
      <rPr>
        <sz val="11"/>
        <color theme="1"/>
        <rFont val="Calibri"/>
        <family val="2"/>
      </rPr>
      <t>FRAC</t>
    </r>
    <r>
      <rPr>
        <vertAlign val="subscript"/>
        <sz val="11"/>
        <color theme="1"/>
        <rFont val="Calibri"/>
        <family val="2"/>
      </rPr>
      <t>N2MS(S)</t>
    </r>
    <r>
      <rPr>
        <sz val="11"/>
        <color theme="1"/>
        <rFont val="Calibri"/>
        <family val="2"/>
      </rPr>
      <t xml:space="preserve"> = R </t>
    </r>
    <r>
      <rPr>
        <vertAlign val="subscript"/>
        <sz val="11"/>
        <color theme="1"/>
        <rFont val="Calibri"/>
        <family val="2"/>
      </rPr>
      <t>N2(N2O)</t>
    </r>
    <r>
      <rPr>
        <sz val="11"/>
        <color theme="1"/>
        <rFont val="Calibri"/>
        <family val="2"/>
      </rPr>
      <t xml:space="preserve"> x EF</t>
    </r>
    <r>
      <rPr>
        <vertAlign val="subscript"/>
        <sz val="11"/>
        <color theme="1"/>
        <rFont val="Calibri"/>
        <family val="2"/>
      </rPr>
      <t>3(S)</t>
    </r>
  </si>
  <si>
    <r>
      <rPr>
        <sz val="11"/>
        <color theme="1"/>
        <rFont val="Calibri"/>
        <family val="2"/>
      </rPr>
      <t>FRAC</t>
    </r>
    <r>
      <rPr>
        <vertAlign val="subscript"/>
        <sz val="11"/>
        <color theme="1"/>
        <rFont val="Calibri"/>
        <family val="2"/>
      </rPr>
      <t>N2MS(S)</t>
    </r>
  </si>
  <si>
    <r>
      <rPr>
        <sz val="11"/>
        <color theme="1"/>
        <rFont val="Calibri"/>
        <family val="2"/>
      </rPr>
      <t>fraction of managed manure nitrogen for livestock category T that is lost as N</t>
    </r>
    <r>
      <rPr>
        <vertAlign val="subscript"/>
        <sz val="11"/>
        <color theme="1"/>
        <rFont val="Calibri"/>
        <family val="2"/>
      </rPr>
      <t>2</t>
    </r>
    <r>
      <rPr>
        <sz val="11"/>
        <color theme="1"/>
        <rFont val="Calibri"/>
        <family val="2"/>
      </rPr>
      <t xml:space="preserve"> in the manure management system S</t>
    </r>
  </si>
  <si>
    <r>
      <rPr>
        <sz val="11"/>
        <color theme="1"/>
        <rFont val="Calibri"/>
        <family val="2"/>
      </rPr>
      <t xml:space="preserve">R </t>
    </r>
    <r>
      <rPr>
        <vertAlign val="subscript"/>
        <sz val="11"/>
        <color theme="1"/>
        <rFont val="Calibri"/>
        <family val="2"/>
      </rPr>
      <t>N2(N2O)</t>
    </r>
  </si>
  <si>
    <r>
      <rPr>
        <sz val="11"/>
        <color theme="1"/>
        <rFont val="Calibri"/>
        <family val="2"/>
      </rPr>
      <t>emission factor for direct N</t>
    </r>
    <r>
      <rPr>
        <vertAlign val="subscript"/>
        <sz val="11"/>
        <color theme="1"/>
        <rFont val="Calibri"/>
        <family val="2"/>
      </rPr>
      <t>2</t>
    </r>
    <r>
      <rPr>
        <sz val="11"/>
        <color theme="1"/>
        <rFont val="Calibri"/>
        <family val="2"/>
      </rPr>
      <t>O emissions from manure management system S in the country, kg N</t>
    </r>
    <r>
      <rPr>
        <vertAlign val="subscript"/>
        <sz val="11"/>
        <color theme="1"/>
        <rFont val="Calibri"/>
        <family val="2"/>
      </rPr>
      <t>2</t>
    </r>
    <r>
      <rPr>
        <sz val="11"/>
        <color theme="1"/>
        <rFont val="Calibri"/>
        <family val="2"/>
      </rPr>
      <t xml:space="preserve">O-N (kg N) </t>
    </r>
    <r>
      <rPr>
        <vertAlign val="superscript"/>
        <sz val="11"/>
        <color theme="1"/>
        <rFont val="Calibri"/>
        <family val="2"/>
      </rPr>
      <t>-1</t>
    </r>
    <r>
      <rPr>
        <sz val="11"/>
        <color theme="1"/>
        <rFont val="Calibri"/>
        <family val="2"/>
      </rPr>
      <t xml:space="preserve"> in manure management system S</t>
    </r>
  </si>
  <si>
    <r>
      <rPr>
        <sz val="11"/>
        <color theme="1"/>
        <rFont val="Calibri"/>
        <family val="2"/>
      </rPr>
      <t>EF</t>
    </r>
    <r>
      <rPr>
        <vertAlign val="subscript"/>
        <sz val="11"/>
        <color theme="1"/>
        <rFont val="Calibri"/>
        <family val="2"/>
      </rPr>
      <t>3(S)</t>
    </r>
  </si>
  <si>
    <r>
      <rPr>
        <sz val="11"/>
        <color theme="1"/>
        <rFont val="Calibri"/>
        <family val="2"/>
      </rPr>
      <t>Ratio of N</t>
    </r>
    <r>
      <rPr>
        <vertAlign val="subscript"/>
        <sz val="11"/>
        <color theme="1"/>
        <rFont val="Calibri"/>
        <family val="2"/>
      </rPr>
      <t>2</t>
    </r>
    <r>
      <rPr>
        <sz val="11"/>
        <color theme="1"/>
        <rFont val="Calibri"/>
        <family val="2"/>
      </rPr>
      <t xml:space="preserve"> : N</t>
    </r>
    <r>
      <rPr>
        <vertAlign val="subscript"/>
        <sz val="11"/>
        <color theme="1"/>
        <rFont val="Calibri"/>
        <family val="2"/>
      </rPr>
      <t>2</t>
    </r>
    <r>
      <rPr>
        <sz val="11"/>
        <color theme="1"/>
        <rFont val="Calibri"/>
        <family val="2"/>
      </rPr>
      <t>O emissions. The default value of R</t>
    </r>
    <r>
      <rPr>
        <vertAlign val="subscript"/>
        <sz val="11"/>
        <color theme="1"/>
        <rFont val="Calibri"/>
        <family val="2"/>
      </rPr>
      <t>N2(N2O)</t>
    </r>
    <r>
      <rPr>
        <sz val="11"/>
        <color theme="1"/>
        <rFont val="Calibri"/>
        <family val="2"/>
      </rPr>
      <t xml:space="preserve"> is 3 kg N</t>
    </r>
    <r>
      <rPr>
        <vertAlign val="subscript"/>
        <sz val="11"/>
        <color theme="1"/>
        <rFont val="Calibri"/>
        <family val="2"/>
      </rPr>
      <t>2</t>
    </r>
    <r>
      <rPr>
        <sz val="11"/>
        <color theme="1"/>
        <rFont val="Calibri"/>
        <family val="2"/>
      </rPr>
      <t>-N (kg N</t>
    </r>
    <r>
      <rPr>
        <vertAlign val="subscript"/>
        <sz val="11"/>
        <color theme="1"/>
        <rFont val="Calibri"/>
        <family val="2"/>
      </rPr>
      <t>2</t>
    </r>
    <r>
      <rPr>
        <sz val="11"/>
        <color theme="1"/>
        <rFont val="Calibri"/>
        <family val="2"/>
      </rPr>
      <t>O-N)</t>
    </r>
    <r>
      <rPr>
        <vertAlign val="superscript"/>
        <sz val="11"/>
        <color theme="1"/>
        <rFont val="Calibri"/>
        <family val="2"/>
      </rPr>
      <t>-1</t>
    </r>
  </si>
  <si>
    <t>Equation 30
IPCC, 2019 "N2O Emissions from Managed Soils, and CO2 Emissions from Lime and Urea Application"V.4, Ch.11, Eq.11.6</t>
  </si>
  <si>
    <r>
      <rPr>
        <sz val="11"/>
        <color theme="1"/>
        <rFont val="Calibri"/>
        <family val="2"/>
      </rPr>
      <t>F</t>
    </r>
    <r>
      <rPr>
        <vertAlign val="subscript"/>
        <sz val="11"/>
        <color theme="1"/>
        <rFont val="Calibri"/>
        <family val="2"/>
      </rPr>
      <t>CR</t>
    </r>
    <r>
      <rPr>
        <sz val="11"/>
        <color theme="1"/>
        <rFont val="Calibri"/>
        <family val="2"/>
      </rPr>
      <t xml:space="preserve"> = </t>
    </r>
    <r>
      <rPr>
        <sz val="11"/>
        <color theme="1"/>
        <rFont val="Calibri"/>
        <family val="2"/>
      </rPr>
      <t>∑{[AGR</t>
    </r>
    <r>
      <rPr>
        <vertAlign val="subscript"/>
        <sz val="11"/>
        <color theme="1"/>
        <rFont val="Calibri"/>
        <family val="2"/>
      </rPr>
      <t>(T)</t>
    </r>
    <r>
      <rPr>
        <sz val="11"/>
        <color theme="1"/>
        <rFont val="Calibri"/>
        <family val="2"/>
      </rPr>
      <t xml:space="preserve"> x N</t>
    </r>
    <r>
      <rPr>
        <vertAlign val="subscript"/>
        <sz val="11"/>
        <color theme="1"/>
        <rFont val="Calibri"/>
        <family val="2"/>
      </rPr>
      <t>AG(T)</t>
    </r>
    <r>
      <rPr>
        <sz val="11"/>
        <color theme="1"/>
        <rFont val="Calibri"/>
        <family val="2"/>
      </rPr>
      <t xml:space="preserve"> x (1 - Frac</t>
    </r>
    <r>
      <rPr>
        <vertAlign val="subscript"/>
        <sz val="11"/>
        <color theme="1"/>
        <rFont val="Calibri"/>
        <family val="2"/>
      </rPr>
      <t>Remove(T)</t>
    </r>
    <r>
      <rPr>
        <sz val="11"/>
        <color theme="1"/>
        <rFont val="Calibri"/>
        <family val="2"/>
      </rPr>
      <t xml:space="preserve"> - (Frac</t>
    </r>
    <r>
      <rPr>
        <vertAlign val="subscript"/>
        <sz val="11"/>
        <color theme="1"/>
        <rFont val="Calibri"/>
        <family val="2"/>
      </rPr>
      <t>Burnt(T)</t>
    </r>
    <r>
      <rPr>
        <sz val="11"/>
        <color theme="1"/>
        <rFont val="Calibri"/>
        <family val="2"/>
      </rPr>
      <t xml:space="preserve"> x C</t>
    </r>
    <r>
      <rPr>
        <vertAlign val="subscript"/>
        <sz val="11"/>
        <color theme="1"/>
        <rFont val="Calibri"/>
        <family val="2"/>
      </rPr>
      <t>f</t>
    </r>
    <r>
      <rPr>
        <sz val="11"/>
        <color theme="1"/>
        <rFont val="Calibri"/>
        <family val="2"/>
      </rPr>
      <t>))] + [B</t>
    </r>
    <r>
      <rPr>
        <vertAlign val="subscript"/>
        <sz val="11"/>
        <color theme="1"/>
        <rFont val="Calibri"/>
        <family val="2"/>
      </rPr>
      <t>GR(T)</t>
    </r>
    <r>
      <rPr>
        <sz val="11"/>
        <color theme="1"/>
        <rFont val="Calibri"/>
        <family val="2"/>
      </rPr>
      <t xml:space="preserve"> x N</t>
    </r>
    <r>
      <rPr>
        <vertAlign val="subscript"/>
        <sz val="11"/>
        <color theme="1"/>
        <rFont val="Calibri"/>
        <family val="2"/>
      </rPr>
      <t>BG(T)</t>
    </r>
    <r>
      <rPr>
        <sz val="11"/>
        <color theme="1"/>
        <rFont val="Calibri"/>
        <family val="2"/>
      </rPr>
      <t>]}</t>
    </r>
  </si>
  <si>
    <r>
      <rPr>
        <sz val="11"/>
        <color theme="1"/>
        <rFont val="Calibri"/>
        <family val="2"/>
      </rPr>
      <t>F</t>
    </r>
    <r>
      <rPr>
        <vertAlign val="subscript"/>
        <sz val="11"/>
        <color theme="1"/>
        <rFont val="Calibri"/>
        <family val="2"/>
      </rPr>
      <t>CR</t>
    </r>
  </si>
  <si>
    <r>
      <rPr>
        <sz val="11"/>
        <color theme="1"/>
        <rFont val="Calibri"/>
        <family val="2"/>
      </rPr>
      <t>annual amount of N in crop residues (above and below ground), including N-fixing crops, and from forage/pasture renewal, returned to soils annually, kg N yr</t>
    </r>
    <r>
      <rPr>
        <vertAlign val="superscript"/>
        <sz val="11"/>
        <color theme="1"/>
        <rFont val="Calibri"/>
        <family val="2"/>
      </rPr>
      <t>-1</t>
    </r>
  </si>
  <si>
    <r>
      <rPr>
        <sz val="11"/>
        <color theme="1"/>
        <rFont val="Calibri"/>
        <family val="2"/>
      </rPr>
      <t>AGR</t>
    </r>
    <r>
      <rPr>
        <vertAlign val="subscript"/>
        <sz val="11"/>
        <color theme="1"/>
        <rFont val="Calibri"/>
        <family val="2"/>
      </rPr>
      <t>(T)</t>
    </r>
  </si>
  <si>
    <r>
      <rPr>
        <sz val="11"/>
        <color theme="1"/>
        <rFont val="Calibri"/>
        <family val="2"/>
      </rPr>
      <t>annual total amount of above-ground crop residue for crop T, kg d.m. yr</t>
    </r>
    <r>
      <rPr>
        <vertAlign val="superscript"/>
        <sz val="11"/>
        <color theme="1"/>
        <rFont val="Calibri"/>
        <family val="2"/>
      </rPr>
      <t>-1</t>
    </r>
  </si>
  <si>
    <r>
      <rPr>
        <sz val="11"/>
        <color theme="1"/>
        <rFont val="Calibri"/>
        <family val="2"/>
      </rPr>
      <t>N</t>
    </r>
    <r>
      <rPr>
        <vertAlign val="subscript"/>
        <sz val="11"/>
        <color theme="1"/>
        <rFont val="Calibri"/>
        <family val="2"/>
      </rPr>
      <t>AG(T)</t>
    </r>
  </si>
  <si>
    <r>
      <rPr>
        <sz val="11"/>
        <color theme="1"/>
        <rFont val="Calibri"/>
        <family val="2"/>
      </rPr>
      <t>N content of above-ground residues for crop T, kg N (kg d.m.)</t>
    </r>
    <r>
      <rPr>
        <vertAlign val="superscript"/>
        <sz val="11"/>
        <color theme="1"/>
        <rFont val="Calibri"/>
        <family val="2"/>
      </rPr>
      <t>-1</t>
    </r>
  </si>
  <si>
    <r>
      <rPr>
        <sz val="11"/>
        <color theme="1"/>
        <rFont val="Calibri"/>
        <family val="2"/>
      </rPr>
      <t>Frac</t>
    </r>
    <r>
      <rPr>
        <vertAlign val="subscript"/>
        <sz val="11"/>
        <color theme="1"/>
        <rFont val="Calibri"/>
        <family val="2"/>
      </rPr>
      <t>Remove(T)</t>
    </r>
  </si>
  <si>
    <t>fraction of above-ground residues of crop T removed annually for purposes such as feed, bedding and construction, dimensionless. Survey of experts in country is required to obtain data. If data for FracRemove are not available, assume no removal</t>
  </si>
  <si>
    <r>
      <rPr>
        <sz val="11"/>
        <color theme="1"/>
        <rFont val="Calibri"/>
        <family val="2"/>
      </rPr>
      <t>Frac</t>
    </r>
    <r>
      <rPr>
        <vertAlign val="subscript"/>
        <sz val="11"/>
        <color theme="1"/>
        <rFont val="Calibri"/>
        <family val="2"/>
      </rPr>
      <t>Burnt(T)</t>
    </r>
  </si>
  <si>
    <t>fraction of annual harvested area of crop T burnt, dimensionless</t>
  </si>
  <si>
    <t>Cf</t>
  </si>
  <si>
    <t>combustion factor (dimensionless)</t>
  </si>
  <si>
    <r>
      <rPr>
        <sz val="11"/>
        <color theme="1"/>
        <rFont val="Calibri"/>
        <family val="2"/>
      </rPr>
      <t>B</t>
    </r>
    <r>
      <rPr>
        <vertAlign val="subscript"/>
        <sz val="11"/>
        <color theme="1"/>
        <rFont val="Calibri"/>
        <family val="2"/>
      </rPr>
      <t>GR(T)</t>
    </r>
  </si>
  <si>
    <r>
      <rPr>
        <sz val="11"/>
        <color theme="1"/>
        <rFont val="Calibri"/>
        <family val="2"/>
      </rPr>
      <t>annual total amount of belowground crop residue for crop T, kg d.m. yr</t>
    </r>
    <r>
      <rPr>
        <vertAlign val="superscript"/>
        <sz val="11"/>
        <color theme="1"/>
        <rFont val="Calibri"/>
        <family val="2"/>
      </rPr>
      <t>-1</t>
    </r>
  </si>
  <si>
    <r>
      <rPr>
        <sz val="11"/>
        <color theme="1"/>
        <rFont val="Calibri"/>
        <family val="2"/>
      </rPr>
      <t>N</t>
    </r>
    <r>
      <rPr>
        <vertAlign val="subscript"/>
        <sz val="11"/>
        <color theme="1"/>
        <rFont val="Calibri"/>
        <family val="2"/>
      </rPr>
      <t>BG(T)</t>
    </r>
  </si>
  <si>
    <r>
      <rPr>
        <sz val="11"/>
        <color theme="1"/>
        <rFont val="Calibri"/>
        <family val="2"/>
      </rPr>
      <t>N content of below-ground residues for crop T, kg N (kg d.m.)</t>
    </r>
    <r>
      <rPr>
        <vertAlign val="superscript"/>
        <sz val="11"/>
        <color theme="1"/>
        <rFont val="Calibri"/>
        <family val="2"/>
      </rPr>
      <t>-1</t>
    </r>
  </si>
  <si>
    <t>Equation 31
IPCC, 2019 "N2O Emissions from Managed Soils, and CO2 Emissions from Lime and Urea Application"V.4, Ch.11, Eq.11.6</t>
  </si>
  <si>
    <r>
      <rPr>
        <sz val="11"/>
        <color theme="1"/>
        <rFont val="Calibri"/>
        <family val="2"/>
      </rPr>
      <t>AGR</t>
    </r>
    <r>
      <rPr>
        <vertAlign val="subscript"/>
        <sz val="11"/>
        <color theme="1"/>
        <rFont val="Calibri"/>
        <family val="2"/>
      </rPr>
      <t>(T)</t>
    </r>
    <r>
      <rPr>
        <sz val="11"/>
        <color theme="1"/>
        <rFont val="Calibri"/>
        <family val="2"/>
      </rPr>
      <t xml:space="preserve"> = AG</t>
    </r>
    <r>
      <rPr>
        <vertAlign val="subscript"/>
        <sz val="11"/>
        <color theme="1"/>
        <rFont val="Calibri"/>
        <family val="2"/>
      </rPr>
      <t>DM(T)</t>
    </r>
    <r>
      <rPr>
        <sz val="11"/>
        <color theme="1"/>
        <rFont val="Calibri"/>
        <family val="2"/>
      </rPr>
      <t xml:space="preserve"> x Area</t>
    </r>
    <r>
      <rPr>
        <vertAlign val="subscript"/>
        <sz val="11"/>
        <color theme="1"/>
        <rFont val="Calibri"/>
        <family val="2"/>
      </rPr>
      <t>(T)</t>
    </r>
  </si>
  <si>
    <r>
      <rPr>
        <sz val="11"/>
        <color theme="1"/>
        <rFont val="Calibri"/>
        <family val="2"/>
      </rPr>
      <t>AGR</t>
    </r>
    <r>
      <rPr>
        <vertAlign val="subscript"/>
        <sz val="11"/>
        <color theme="1"/>
        <rFont val="Calibri"/>
        <family val="2"/>
      </rPr>
      <t>(T)</t>
    </r>
  </si>
  <si>
    <r>
      <rPr>
        <sz val="11"/>
        <color theme="1"/>
        <rFont val="Calibri"/>
        <family val="2"/>
      </rPr>
      <t>annual total amount of above-ground crop residue for crop T, kg d.m. yr</t>
    </r>
    <r>
      <rPr>
        <vertAlign val="superscript"/>
        <sz val="11"/>
        <color theme="1"/>
        <rFont val="Calibri"/>
        <family val="2"/>
      </rPr>
      <t>-1</t>
    </r>
  </si>
  <si>
    <r>
      <rPr>
        <sz val="11"/>
        <color theme="1"/>
        <rFont val="Calibri"/>
        <family val="2"/>
      </rPr>
      <t>AG</t>
    </r>
    <r>
      <rPr>
        <vertAlign val="subscript"/>
        <sz val="11"/>
        <color theme="1"/>
        <rFont val="Calibri"/>
        <family val="2"/>
      </rPr>
      <t>DM(T)</t>
    </r>
  </si>
  <si>
    <r>
      <rPr>
        <sz val="11"/>
        <color theme="1"/>
        <rFont val="Calibri"/>
        <family val="2"/>
      </rPr>
      <t>Above-ground residue dry matter for crop T, kg d.m. ha</t>
    </r>
    <r>
      <rPr>
        <vertAlign val="superscript"/>
        <sz val="11"/>
        <color theme="1"/>
        <rFont val="Calibri"/>
        <family val="2"/>
      </rPr>
      <t>-1</t>
    </r>
  </si>
  <si>
    <t>Area</t>
  </si>
  <si>
    <r>
      <rPr>
        <sz val="11"/>
        <color theme="1"/>
        <rFont val="Calibri"/>
        <family val="2"/>
      </rPr>
      <t>total annual area harvested of crop T, ha yr</t>
    </r>
    <r>
      <rPr>
        <vertAlign val="superscript"/>
        <sz val="11"/>
        <color theme="1"/>
        <rFont val="Calibri"/>
        <family val="2"/>
      </rPr>
      <t>-1</t>
    </r>
  </si>
  <si>
    <t>Equation 32
IPCC, 2019 "N2O Emissions from Managed Soils, and CO2 Emissions from Lime and Urea Application"V.4, Ch.11, Eq.11.6</t>
  </si>
  <si>
    <r>
      <rPr>
        <sz val="11"/>
        <color theme="1"/>
        <rFont val="Calibri"/>
        <family val="2"/>
      </rPr>
      <t>AG</t>
    </r>
    <r>
      <rPr>
        <vertAlign val="subscript"/>
        <sz val="11"/>
        <color theme="1"/>
        <rFont val="Calibri"/>
        <family val="2"/>
      </rPr>
      <t>DM(T)</t>
    </r>
    <r>
      <rPr>
        <sz val="11"/>
        <color theme="1"/>
        <rFont val="Calibri"/>
        <family val="2"/>
      </rPr>
      <t xml:space="preserve"> = Crop</t>
    </r>
    <r>
      <rPr>
        <vertAlign val="subscript"/>
        <sz val="11"/>
        <color theme="1"/>
        <rFont val="Calibri"/>
        <family val="2"/>
      </rPr>
      <t>(T)</t>
    </r>
    <r>
      <rPr>
        <sz val="11"/>
        <color theme="1"/>
        <rFont val="Calibri"/>
        <family val="2"/>
      </rPr>
      <t xml:space="preserve"> x R</t>
    </r>
    <r>
      <rPr>
        <vertAlign val="subscript"/>
        <sz val="11"/>
        <color theme="1"/>
        <rFont val="Calibri"/>
        <family val="2"/>
      </rPr>
      <t>AG(T)</t>
    </r>
  </si>
  <si>
    <r>
      <rPr>
        <sz val="11"/>
        <color theme="1"/>
        <rFont val="Calibri"/>
        <family val="2"/>
      </rPr>
      <t>AG</t>
    </r>
    <r>
      <rPr>
        <vertAlign val="subscript"/>
        <sz val="11"/>
        <color theme="1"/>
        <rFont val="Calibri"/>
        <family val="2"/>
      </rPr>
      <t>DM(T)</t>
    </r>
  </si>
  <si>
    <r>
      <rPr>
        <sz val="11"/>
        <color theme="1"/>
        <rFont val="Calibri"/>
        <family val="2"/>
      </rPr>
      <t>Above-ground residue dry matter for crop T, kg d.m. ha</t>
    </r>
    <r>
      <rPr>
        <vertAlign val="superscript"/>
        <sz val="11"/>
        <color theme="1"/>
        <rFont val="Calibri"/>
        <family val="2"/>
      </rPr>
      <t>-1</t>
    </r>
  </si>
  <si>
    <r>
      <rPr>
        <sz val="11"/>
        <color theme="1"/>
        <rFont val="Calibri"/>
        <family val="2"/>
      </rPr>
      <t>Crop</t>
    </r>
    <r>
      <rPr>
        <vertAlign val="subscript"/>
        <sz val="11"/>
        <color theme="1"/>
        <rFont val="Calibri"/>
        <family val="2"/>
      </rPr>
      <t>(T)</t>
    </r>
  </si>
  <si>
    <r>
      <rPr>
        <sz val="11"/>
        <color theme="1"/>
        <rFont val="Calibri"/>
        <family val="2"/>
      </rPr>
      <t>harvested annual dry matter yield for crop T, kg d.m. ha</t>
    </r>
    <r>
      <rPr>
        <vertAlign val="superscript"/>
        <sz val="11"/>
        <color theme="1"/>
        <rFont val="Calibri"/>
        <family val="2"/>
      </rPr>
      <t>-1</t>
    </r>
  </si>
  <si>
    <r>
      <rPr>
        <sz val="11"/>
        <color theme="1"/>
        <rFont val="Calibri"/>
        <family val="2"/>
      </rPr>
      <t>R</t>
    </r>
    <r>
      <rPr>
        <vertAlign val="subscript"/>
        <sz val="11"/>
        <color theme="1"/>
        <rFont val="Calibri"/>
        <family val="2"/>
      </rPr>
      <t>AG(T)</t>
    </r>
  </si>
  <si>
    <r>
      <rPr>
        <sz val="11"/>
        <color theme="1"/>
        <rFont val="Calibri"/>
        <family val="2"/>
      </rPr>
      <t>ratio of above-ground residue dry matter to harvested yield for crop T (Crop(T)), kg d.m. há</t>
    </r>
    <r>
      <rPr>
        <vertAlign val="superscript"/>
        <sz val="11"/>
        <color theme="1"/>
        <rFont val="Calibri"/>
        <family val="2"/>
      </rPr>
      <t>-1</t>
    </r>
    <r>
      <rPr>
        <sz val="11"/>
        <color theme="1"/>
        <rFont val="Calibri"/>
        <family val="2"/>
      </rPr>
      <t xml:space="preserve"> (kg d.m. ha-1 )</t>
    </r>
    <r>
      <rPr>
        <vertAlign val="superscript"/>
        <sz val="11"/>
        <color theme="1"/>
        <rFont val="Calibri"/>
        <family val="2"/>
      </rPr>
      <t xml:space="preserve"> -1</t>
    </r>
  </si>
  <si>
    <t>Equation 33
IPCC, 2019 "N2O Emissions from Managed Soils, and CO2 Emissions from Lime and Urea Application"V.4, Ch.11, Eq.11.6</t>
  </si>
  <si>
    <r>
      <rPr>
        <sz val="11"/>
        <color theme="1"/>
        <rFont val="Calibri"/>
        <family val="2"/>
      </rPr>
      <t>B</t>
    </r>
    <r>
      <rPr>
        <vertAlign val="subscript"/>
        <sz val="11"/>
        <color theme="1"/>
        <rFont val="Calibri"/>
        <family val="2"/>
      </rPr>
      <t>GR(T)</t>
    </r>
    <r>
      <rPr>
        <sz val="11"/>
        <color theme="1"/>
        <rFont val="Calibri"/>
        <family val="2"/>
      </rPr>
      <t xml:space="preserve"> =  (Crop</t>
    </r>
    <r>
      <rPr>
        <vertAlign val="subscript"/>
        <sz val="11"/>
        <color theme="1"/>
        <rFont val="Calibri"/>
        <family val="2"/>
      </rPr>
      <t>(T)</t>
    </r>
    <r>
      <rPr>
        <sz val="11"/>
        <color theme="1"/>
        <rFont val="Calibri"/>
        <family val="2"/>
      </rPr>
      <t xml:space="preserve"> + AG</t>
    </r>
    <r>
      <rPr>
        <vertAlign val="subscript"/>
        <sz val="11"/>
        <color theme="1"/>
        <rFont val="Calibri"/>
        <family val="2"/>
      </rPr>
      <t>DM(T)</t>
    </r>
    <r>
      <rPr>
        <sz val="11"/>
        <color theme="1"/>
        <rFont val="Calibri"/>
        <family val="2"/>
      </rPr>
      <t>) x RS</t>
    </r>
    <r>
      <rPr>
        <vertAlign val="subscript"/>
        <sz val="11"/>
        <color theme="1"/>
        <rFont val="Calibri"/>
        <family val="2"/>
      </rPr>
      <t>(T)</t>
    </r>
    <r>
      <rPr>
        <sz val="11"/>
        <color theme="1"/>
        <rFont val="Calibri"/>
        <family val="2"/>
      </rPr>
      <t xml:space="preserve"> x Area</t>
    </r>
    <r>
      <rPr>
        <vertAlign val="subscript"/>
        <sz val="11"/>
        <color theme="1"/>
        <rFont val="Calibri"/>
        <family val="2"/>
      </rPr>
      <t>(T)</t>
    </r>
    <r>
      <rPr>
        <sz val="11"/>
        <color theme="1"/>
        <rFont val="Calibri"/>
        <family val="2"/>
      </rPr>
      <t xml:space="preserve"> x Frac</t>
    </r>
    <r>
      <rPr>
        <vertAlign val="subscript"/>
        <sz val="11"/>
        <color theme="1"/>
        <rFont val="Calibri"/>
        <family val="2"/>
      </rPr>
      <t>Renew(T)</t>
    </r>
  </si>
  <si>
    <r>
      <rPr>
        <sz val="11"/>
        <color theme="1"/>
        <rFont val="Calibri"/>
        <family val="2"/>
      </rPr>
      <t>B</t>
    </r>
    <r>
      <rPr>
        <vertAlign val="subscript"/>
        <sz val="11"/>
        <color theme="1"/>
        <rFont val="Calibri"/>
        <family val="2"/>
      </rPr>
      <t>GR(T)</t>
    </r>
  </si>
  <si>
    <r>
      <rPr>
        <sz val="11"/>
        <color theme="1"/>
        <rFont val="Calibri"/>
        <family val="2"/>
      </rPr>
      <t>annual total amount of belowground crop residue for crop T, kg d.m. yr</t>
    </r>
    <r>
      <rPr>
        <vertAlign val="superscript"/>
        <sz val="11"/>
        <color theme="1"/>
        <rFont val="Calibri"/>
        <family val="2"/>
      </rPr>
      <t>-1</t>
    </r>
  </si>
  <si>
    <r>
      <rPr>
        <sz val="11"/>
        <color theme="1"/>
        <rFont val="Calibri"/>
        <family val="2"/>
      </rPr>
      <t>Crop</t>
    </r>
    <r>
      <rPr>
        <vertAlign val="subscript"/>
        <sz val="11"/>
        <color theme="1"/>
        <rFont val="Calibri"/>
        <family val="2"/>
      </rPr>
      <t>(T)</t>
    </r>
  </si>
  <si>
    <r>
      <rPr>
        <sz val="11"/>
        <color theme="1"/>
        <rFont val="Calibri"/>
        <family val="2"/>
      </rPr>
      <t>harvested annual dry matter yield for crop T, kg d.m. ha</t>
    </r>
    <r>
      <rPr>
        <vertAlign val="superscript"/>
        <sz val="11"/>
        <color theme="1"/>
        <rFont val="Calibri"/>
        <family val="2"/>
      </rPr>
      <t>-1</t>
    </r>
  </si>
  <si>
    <r>
      <rPr>
        <sz val="11"/>
        <color theme="1"/>
        <rFont val="Calibri"/>
        <family val="2"/>
      </rPr>
      <t>AG</t>
    </r>
    <r>
      <rPr>
        <vertAlign val="subscript"/>
        <sz val="11"/>
        <color theme="1"/>
        <rFont val="Calibri"/>
        <family val="2"/>
      </rPr>
      <t>DM(T)</t>
    </r>
  </si>
  <si>
    <r>
      <rPr>
        <sz val="11"/>
        <color theme="1"/>
        <rFont val="Calibri"/>
        <family val="2"/>
      </rPr>
      <t>Above-ground residue dry matter for crop T, kg d.m. ha</t>
    </r>
    <r>
      <rPr>
        <vertAlign val="superscript"/>
        <sz val="11"/>
        <color theme="1"/>
        <rFont val="Calibri"/>
        <family val="2"/>
      </rPr>
      <t>-1</t>
    </r>
  </si>
  <si>
    <r>
      <rPr>
        <sz val="11"/>
        <color theme="1"/>
        <rFont val="Calibri"/>
        <family val="2"/>
      </rPr>
      <t>RS</t>
    </r>
    <r>
      <rPr>
        <vertAlign val="subscript"/>
        <sz val="11"/>
        <color theme="1"/>
        <rFont val="Calibri"/>
        <family val="2"/>
      </rPr>
      <t>(T)</t>
    </r>
  </si>
  <si>
    <r>
      <rPr>
        <sz val="11"/>
        <color theme="1"/>
        <rFont val="Calibri"/>
        <family val="2"/>
      </rPr>
      <t>ratio+ of below-ground root biomass to above-ground shoot biomass for crop T, kg d.m. ha</t>
    </r>
    <r>
      <rPr>
        <vertAlign val="superscript"/>
        <sz val="11"/>
        <color theme="1"/>
        <rFont val="Calibri"/>
        <family val="2"/>
      </rPr>
      <t>-1</t>
    </r>
    <r>
      <rPr>
        <sz val="11"/>
        <color theme="1"/>
        <rFont val="Calibri"/>
        <family val="2"/>
      </rPr>
      <t xml:space="preserve"> (kg d.m. ha-1 ) </t>
    </r>
    <r>
      <rPr>
        <vertAlign val="superscript"/>
        <sz val="11"/>
        <color theme="1"/>
        <rFont val="Calibri"/>
        <family val="2"/>
      </rPr>
      <t>-1</t>
    </r>
  </si>
  <si>
    <r>
      <rPr>
        <sz val="11"/>
        <color theme="1"/>
        <rFont val="Calibri"/>
        <family val="2"/>
      </rPr>
      <t>total annual area harvested of crop T, ha yr</t>
    </r>
    <r>
      <rPr>
        <vertAlign val="superscript"/>
        <sz val="11"/>
        <color theme="1"/>
        <rFont val="Calibri"/>
        <family val="2"/>
      </rPr>
      <t>-1</t>
    </r>
  </si>
  <si>
    <r>
      <rPr>
        <sz val="11"/>
        <color theme="1"/>
        <rFont val="Calibri"/>
        <family val="2"/>
      </rPr>
      <t>Frac</t>
    </r>
    <r>
      <rPr>
        <vertAlign val="subscript"/>
        <sz val="11"/>
        <color theme="1"/>
        <rFont val="Calibri"/>
        <family val="2"/>
      </rPr>
      <t>Renew(T)</t>
    </r>
  </si>
  <si>
    <t>fraction of total area under crop T that is renewed annually 15, dimensionless. For countries where pastures are renewed on average every X years, FracRenew = 1/X. For annual crops FracRenew = 1</t>
  </si>
  <si>
    <t>Equation 34
IPCC, 2019 "N2O Emissions from Managed Soils, and CO2 Emissions from Lime and Urea Application"V.4, Ch.11, Eq.11.7</t>
  </si>
  <si>
    <r>
      <rPr>
        <sz val="11"/>
        <color theme="1"/>
        <rFont val="Calibri"/>
        <family val="2"/>
      </rPr>
      <t>Crop</t>
    </r>
    <r>
      <rPr>
        <vertAlign val="subscript"/>
        <sz val="11"/>
        <color theme="1"/>
        <rFont val="Calibri"/>
        <family val="2"/>
      </rPr>
      <t>(T)</t>
    </r>
    <r>
      <rPr>
        <sz val="11"/>
        <color theme="1"/>
        <rFont val="Calibri"/>
        <family val="2"/>
      </rPr>
      <t xml:space="preserve"> = Yield Fresh </t>
    </r>
    <r>
      <rPr>
        <vertAlign val="subscript"/>
        <sz val="11"/>
        <color theme="1"/>
        <rFont val="Calibri"/>
        <family val="2"/>
      </rPr>
      <t>(T)</t>
    </r>
    <r>
      <rPr>
        <sz val="11"/>
        <color theme="1"/>
        <rFont val="Calibri"/>
        <family val="2"/>
      </rPr>
      <t xml:space="preserve"> x Dry</t>
    </r>
  </si>
  <si>
    <r>
      <rPr>
        <sz val="11"/>
        <color theme="1"/>
        <rFont val="Calibri"/>
        <family val="2"/>
      </rPr>
      <t>Crop</t>
    </r>
    <r>
      <rPr>
        <vertAlign val="subscript"/>
        <sz val="11"/>
        <color theme="1"/>
        <rFont val="Calibri"/>
        <family val="2"/>
      </rPr>
      <t>(T)</t>
    </r>
  </si>
  <si>
    <r>
      <rPr>
        <sz val="11"/>
        <color theme="1"/>
        <rFont val="Calibri"/>
        <family val="2"/>
      </rPr>
      <t>harvested annual dry matter yield for crop T, kg d.m. ha</t>
    </r>
    <r>
      <rPr>
        <vertAlign val="superscript"/>
        <sz val="11"/>
        <color theme="1"/>
        <rFont val="Calibri"/>
        <family val="2"/>
      </rPr>
      <t>-1</t>
    </r>
  </si>
  <si>
    <r>
      <rPr>
        <sz val="11"/>
        <color theme="1"/>
        <rFont val="Calibri"/>
        <family val="2"/>
      </rPr>
      <t>Yield Fresh</t>
    </r>
    <r>
      <rPr>
        <vertAlign val="subscript"/>
        <sz val="11"/>
        <color theme="1"/>
        <rFont val="Calibri"/>
        <family val="2"/>
      </rPr>
      <t>(T)</t>
    </r>
  </si>
  <si>
    <r>
      <rPr>
        <sz val="11"/>
        <color theme="1"/>
        <rFont val="Calibri"/>
        <family val="2"/>
      </rPr>
      <t>harvested fresh yield for crop T, kg fresh weight ha</t>
    </r>
    <r>
      <rPr>
        <vertAlign val="superscript"/>
        <sz val="11"/>
        <color theme="1"/>
        <rFont val="Calibri"/>
        <family val="2"/>
      </rPr>
      <t>-1</t>
    </r>
  </si>
  <si>
    <t>Dry</t>
  </si>
  <si>
    <r>
      <rPr>
        <sz val="11"/>
        <color theme="1"/>
        <rFont val="Calibri"/>
        <family val="2"/>
      </rPr>
      <t>dry matter fraction of harvested crop T, kg d.m. (kg fresh weight)</t>
    </r>
    <r>
      <rPr>
        <vertAlign val="superscript"/>
        <sz val="11"/>
        <color theme="1"/>
        <rFont val="Calibri"/>
        <family val="2"/>
      </rPr>
      <t>-1</t>
    </r>
  </si>
  <si>
    <t>Equation 35
IPCC, 2019 "N2O Emissions from Managed Soils, and CO2 Emissions from Lime and Urea Application"V.4, Ch.11, Eq.11.8</t>
  </si>
  <si>
    <r>
      <rPr>
        <sz val="11"/>
        <color theme="1"/>
        <rFont val="Calibri"/>
        <family val="2"/>
      </rPr>
      <t>F</t>
    </r>
    <r>
      <rPr>
        <vertAlign val="subscript"/>
        <sz val="11"/>
        <color theme="1"/>
        <rFont val="Calibri"/>
        <family val="2"/>
      </rPr>
      <t>SOM</t>
    </r>
    <r>
      <rPr>
        <sz val="11"/>
        <color theme="1"/>
        <rFont val="Calibri"/>
        <family val="2"/>
      </rPr>
      <t xml:space="preserve"> = </t>
    </r>
    <r>
      <rPr>
        <sz val="11"/>
        <color theme="1"/>
        <rFont val="Calibri"/>
        <family val="2"/>
      </rPr>
      <t>∑</t>
    </r>
    <r>
      <rPr>
        <vertAlign val="subscript"/>
        <sz val="11"/>
        <color theme="1"/>
        <rFont val="Calibri"/>
        <family val="2"/>
      </rPr>
      <t>(LU)</t>
    </r>
    <r>
      <rPr>
        <sz val="11"/>
        <color theme="1"/>
        <rFont val="Calibri"/>
        <family val="2"/>
      </rPr>
      <t>[(</t>
    </r>
    <r>
      <rPr>
        <sz val="11"/>
        <color theme="1"/>
        <rFont val="Calibri"/>
        <family val="2"/>
      </rPr>
      <t>∆C</t>
    </r>
    <r>
      <rPr>
        <vertAlign val="subscript"/>
        <sz val="11"/>
        <color theme="1"/>
        <rFont val="Calibri"/>
        <family val="2"/>
      </rPr>
      <t>Mineral, LU</t>
    </r>
    <r>
      <rPr>
        <sz val="11"/>
        <color theme="1"/>
        <rFont val="Calibri"/>
        <family val="2"/>
      </rPr>
      <t xml:space="preserve"> x (1/R)) x 1000]</t>
    </r>
  </si>
  <si>
    <r>
      <rPr>
        <sz val="11"/>
        <color theme="1"/>
        <rFont val="Calibri"/>
        <family val="2"/>
      </rPr>
      <t>F</t>
    </r>
    <r>
      <rPr>
        <vertAlign val="subscript"/>
        <sz val="11"/>
        <color theme="1"/>
        <rFont val="Calibri"/>
        <family val="2"/>
      </rPr>
      <t>SOM</t>
    </r>
  </si>
  <si>
    <t>the net annual amount of N mineralised in mineral soils as a result of loss of soil carbon through change in land use or management, kg N</t>
  </si>
  <si>
    <t xml:space="preserve">calculed </t>
  </si>
  <si>
    <r>
      <rPr>
        <sz val="11"/>
        <color theme="1"/>
        <rFont val="Calibri"/>
        <family val="2"/>
      </rPr>
      <t>∆C</t>
    </r>
    <r>
      <rPr>
        <vertAlign val="subscript"/>
        <sz val="11"/>
        <color theme="1"/>
        <rFont val="Calibri"/>
        <family val="2"/>
      </rPr>
      <t>Mineral, LU</t>
    </r>
  </si>
  <si>
    <r>
      <rPr>
        <sz val="11"/>
        <color theme="1"/>
        <rFont val="Calibri"/>
        <family val="2"/>
      </rPr>
      <t xml:space="preserve">average annual loss of soil carbon for each land-use type (LU), tonnes C (Note: for Approach 1 for land representation, ∆CMineral LU , will have a single value for all land-uses and management systems. Using Approaches 2 and 3 for land representation the value for ∆CMineral LU , will be disaggregated by individual land-use and/or management systems. Box 2.2 ∆CMineral = </t>
    </r>
    <r>
      <rPr>
        <b/>
        <sz val="11"/>
        <color theme="1"/>
        <rFont val="Calibri"/>
        <family val="2"/>
      </rPr>
      <t>1,0</t>
    </r>
    <r>
      <rPr>
        <sz val="11"/>
        <color theme="1"/>
        <rFont val="Calibri"/>
        <family val="2"/>
      </rPr>
      <t>.</t>
    </r>
  </si>
  <si>
    <t>R</t>
  </si>
  <si>
    <r>
      <rPr>
        <sz val="11"/>
        <color theme="1"/>
        <rFont val="Calibri"/>
        <family val="2"/>
      </rPr>
      <t xml:space="preserve">C:N ratio of the soil organic matter. A default value of </t>
    </r>
    <r>
      <rPr>
        <b/>
        <sz val="11"/>
        <color theme="1"/>
        <rFont val="Calibri"/>
        <family val="2"/>
      </rPr>
      <t>15</t>
    </r>
    <r>
      <rPr>
        <sz val="11"/>
        <color theme="1"/>
        <rFont val="Calibri"/>
        <family val="2"/>
      </rPr>
      <t xml:space="preserve"> (uncertainty range from 10 to 30) for the C:N ratio (R) may be used for situations involving land-use change from Forest Land or Grassland to Cropland, in the absence of more specific data for the area. A default value of 10 (range from 8 to 15) may be used for situations involving management changes on Cropland Remaining Cropland. C:N ratio can change over time, land use, or management practice 17. If countries can document changes in C:N ratio, then different values can be used over the time series, land use, or management practice.</t>
    </r>
  </si>
  <si>
    <t>LU</t>
  </si>
  <si>
    <t>land-use and/or management system type</t>
  </si>
  <si>
    <t>Equation 36
IPCC, 2019 "N2O Emissions from Managed Soils, and CO2 Emissions from Lime and Urea Application"V.4, Ch.11, Eq.11.1</t>
  </si>
  <si>
    <r>
      <rPr>
        <sz val="11"/>
        <color theme="1"/>
        <rFont val="Calibri"/>
        <family val="2"/>
      </rPr>
      <t>N</t>
    </r>
    <r>
      <rPr>
        <vertAlign val="subscript"/>
        <sz val="11"/>
        <color theme="1"/>
        <rFont val="Calibri"/>
        <family val="2"/>
      </rPr>
      <t>2</t>
    </r>
    <r>
      <rPr>
        <sz val="11"/>
        <color theme="1"/>
        <rFont val="Calibri"/>
        <family val="2"/>
      </rPr>
      <t>O-N</t>
    </r>
    <r>
      <rPr>
        <vertAlign val="subscript"/>
        <sz val="11"/>
        <color theme="1"/>
        <rFont val="Calibri"/>
        <family val="2"/>
      </rPr>
      <t>os</t>
    </r>
    <r>
      <rPr>
        <sz val="11"/>
        <color theme="1"/>
        <rFont val="Calibri"/>
        <family val="2"/>
      </rPr>
      <t xml:space="preserve"> = (F</t>
    </r>
    <r>
      <rPr>
        <vertAlign val="subscript"/>
        <sz val="11"/>
        <color theme="1"/>
        <rFont val="Calibri"/>
        <family val="2"/>
      </rPr>
      <t>os, CG, Trop</t>
    </r>
    <r>
      <rPr>
        <sz val="11"/>
        <color theme="1"/>
        <rFont val="Calibri"/>
        <family val="2"/>
      </rPr>
      <t xml:space="preserve"> x EF</t>
    </r>
    <r>
      <rPr>
        <vertAlign val="subscript"/>
        <sz val="11"/>
        <color theme="1"/>
        <rFont val="Calibri"/>
        <family val="2"/>
      </rPr>
      <t>2 CG, Trop</t>
    </r>
    <r>
      <rPr>
        <sz val="11"/>
        <color theme="1"/>
        <rFont val="Calibri"/>
        <family val="2"/>
      </rPr>
      <t>) x (F</t>
    </r>
    <r>
      <rPr>
        <vertAlign val="subscript"/>
        <sz val="11"/>
        <color theme="1"/>
        <rFont val="Calibri"/>
        <family val="2"/>
      </rPr>
      <t>os, F, Trop</t>
    </r>
    <r>
      <rPr>
        <sz val="11"/>
        <color theme="1"/>
        <rFont val="Calibri"/>
        <family val="2"/>
      </rPr>
      <t xml:space="preserve"> x EF</t>
    </r>
    <r>
      <rPr>
        <vertAlign val="subscript"/>
        <sz val="11"/>
        <color theme="1"/>
        <rFont val="Calibri"/>
        <family val="2"/>
      </rPr>
      <t>2 F, Trop</t>
    </r>
    <r>
      <rPr>
        <sz val="11"/>
        <color theme="1"/>
        <rFont val="Calibri"/>
        <family val="2"/>
      </rPr>
      <t>)</t>
    </r>
  </si>
  <si>
    <r>
      <rPr>
        <sz val="11"/>
        <color theme="1"/>
        <rFont val="Calibri"/>
        <family val="2"/>
      </rPr>
      <t>F</t>
    </r>
    <r>
      <rPr>
        <vertAlign val="subscript"/>
        <sz val="11"/>
        <color theme="1"/>
        <rFont val="Calibri"/>
        <family val="2"/>
      </rPr>
      <t>os</t>
    </r>
  </si>
  <si>
    <t>annual area of managed/drained organic soils, ha (Note: the subscripts CG, F, Temp, Trop, NR and NP refer to Cropland and Grassland, Forest Land, Temperate, Tropical, Nutrient Rich, and Nutrient Poor, respectively)</t>
  </si>
  <si>
    <r>
      <rPr>
        <sz val="11"/>
        <color theme="1"/>
        <rFont val="Calibri"/>
        <family val="2"/>
      </rPr>
      <t>EF</t>
    </r>
    <r>
      <rPr>
        <vertAlign val="subscript"/>
        <sz val="11"/>
        <color theme="1"/>
        <rFont val="Calibri"/>
        <family val="2"/>
      </rPr>
      <t>2</t>
    </r>
  </si>
  <si>
    <r>
      <rPr>
        <sz val="11"/>
        <color theme="1"/>
        <rFont val="Calibri"/>
        <family val="2"/>
      </rPr>
      <t>emission factor for N</t>
    </r>
    <r>
      <rPr>
        <vertAlign val="subscript"/>
        <sz val="11"/>
        <color theme="1"/>
        <rFont val="Calibri"/>
        <family val="2"/>
      </rPr>
      <t>2</t>
    </r>
    <r>
      <rPr>
        <sz val="11"/>
        <color theme="1"/>
        <rFont val="Calibri"/>
        <family val="2"/>
      </rPr>
      <t>O emissions from drained/managed organic soils, kg N</t>
    </r>
    <r>
      <rPr>
        <vertAlign val="subscript"/>
        <sz val="11"/>
        <color theme="1"/>
        <rFont val="Calibri"/>
        <family val="2"/>
      </rPr>
      <t>2</t>
    </r>
    <r>
      <rPr>
        <sz val="11"/>
        <color theme="1"/>
        <rFont val="Calibri"/>
        <family val="2"/>
      </rPr>
      <t>O–N ha</t>
    </r>
    <r>
      <rPr>
        <vertAlign val="superscript"/>
        <sz val="11"/>
        <color theme="1"/>
        <rFont val="Calibri"/>
        <family val="2"/>
      </rPr>
      <t>-1</t>
    </r>
    <r>
      <rPr>
        <sz val="11"/>
        <color theme="1"/>
        <rFont val="Calibri"/>
        <family val="2"/>
      </rPr>
      <t xml:space="preserve"> yr</t>
    </r>
    <r>
      <rPr>
        <vertAlign val="superscript"/>
        <sz val="11"/>
        <color theme="1"/>
        <rFont val="Calibri"/>
        <family val="2"/>
      </rPr>
      <t>-1</t>
    </r>
    <r>
      <rPr>
        <sz val="11"/>
        <color theme="1"/>
        <rFont val="Calibri"/>
        <family val="2"/>
      </rPr>
      <t xml:space="preserve"> ; (See guidance in 2013 Supplement to the 2006 IPCC Guidelines for National Greenhouse Gas Inventories: Wetlands (Wetlands Supplement), Chapter 2, Table 2.5 where further disaggregation by climate and land use is available) (Note: the subscripts CG, F, Temp, Trop, NR and NP refer to Cropland and Grassland, Forest Land, Temperate, Tropical, Nutrient Rich, and Nutrient Poor, respectively)</t>
    </r>
  </si>
  <si>
    <t>Equation 37
IPCC, 2019 "N2O Emissions from Managed Soils, and CO2 Emissions from Lime and Urea Application"V.4, Ch.11, Eq.11.5</t>
  </si>
  <si>
    <r>
      <rPr>
        <sz val="11"/>
        <color theme="1"/>
        <rFont val="Calibri"/>
        <family val="2"/>
      </rPr>
      <t>F</t>
    </r>
    <r>
      <rPr>
        <vertAlign val="subscript"/>
        <sz val="11"/>
        <color theme="1"/>
        <rFont val="Calibri"/>
        <family val="2"/>
      </rPr>
      <t>PRP</t>
    </r>
    <r>
      <rPr>
        <sz val="11"/>
        <color theme="1"/>
        <rFont val="Calibri"/>
        <family val="2"/>
      </rPr>
      <t xml:space="preserve"> = ∑</t>
    </r>
    <r>
      <rPr>
        <vertAlign val="subscript"/>
        <sz val="11"/>
        <color theme="1"/>
        <rFont val="Calibri"/>
        <family val="2"/>
      </rPr>
      <t>(T)</t>
    </r>
    <r>
      <rPr>
        <sz val="11"/>
        <color theme="1"/>
        <rFont val="Calibri"/>
        <family val="2"/>
      </rPr>
      <t>[(N</t>
    </r>
    <r>
      <rPr>
        <vertAlign val="subscript"/>
        <sz val="11"/>
        <color theme="1"/>
        <rFont val="Calibri"/>
        <family val="2"/>
      </rPr>
      <t>(T)</t>
    </r>
    <r>
      <rPr>
        <sz val="11"/>
        <color theme="1"/>
        <rFont val="Calibri"/>
        <family val="2"/>
      </rPr>
      <t xml:space="preserve"> x (Nex</t>
    </r>
    <r>
      <rPr>
        <vertAlign val="subscript"/>
        <sz val="11"/>
        <color theme="1"/>
        <rFont val="Calibri"/>
        <family val="2"/>
      </rPr>
      <t>(T)</t>
    </r>
    <r>
      <rPr>
        <sz val="11"/>
        <color theme="1"/>
        <rFont val="Calibri"/>
        <family val="2"/>
      </rPr>
      <t>) x MS</t>
    </r>
    <r>
      <rPr>
        <vertAlign val="subscript"/>
        <sz val="11"/>
        <color theme="1"/>
        <rFont val="Calibri"/>
        <family val="2"/>
      </rPr>
      <t>(T, PRP)</t>
    </r>
    <r>
      <rPr>
        <sz val="11"/>
        <color theme="1"/>
        <rFont val="Calibri"/>
        <family val="2"/>
      </rPr>
      <t>]</t>
    </r>
  </si>
  <si>
    <r>
      <rPr>
        <sz val="11"/>
        <color theme="1"/>
        <rFont val="Calibri"/>
        <family val="2"/>
      </rPr>
      <t>F</t>
    </r>
    <r>
      <rPr>
        <vertAlign val="subscript"/>
        <sz val="11"/>
        <color theme="1"/>
        <rFont val="Calibri"/>
        <family val="2"/>
      </rPr>
      <t>PRP</t>
    </r>
  </si>
  <si>
    <t>annual amount of urine and dung N deposited on pasture, range, paddock by grazing animals, kg N yr-1</t>
  </si>
  <si>
    <r>
      <rPr>
        <sz val="11"/>
        <color theme="1"/>
        <rFont val="Calibri"/>
        <family val="2"/>
      </rPr>
      <t>N</t>
    </r>
    <r>
      <rPr>
        <vertAlign val="subscript"/>
        <sz val="11"/>
        <color theme="1"/>
        <rFont val="Calibri"/>
        <family val="2"/>
      </rPr>
      <t>(T)</t>
    </r>
  </si>
  <si>
    <r>
      <rPr>
        <sz val="11"/>
        <color theme="1"/>
        <rFont val="Calibri"/>
        <family val="2"/>
      </rPr>
      <t>Nex</t>
    </r>
    <r>
      <rPr>
        <vertAlign val="subscript"/>
        <sz val="11"/>
        <color theme="1"/>
        <rFont val="Calibri"/>
        <family val="2"/>
      </rPr>
      <t>(T)</t>
    </r>
  </si>
  <si>
    <t>annual average N excretion per head of species/category T in the country, kg N animal-1 yr1</t>
  </si>
  <si>
    <r>
      <rPr>
        <sz val="11"/>
        <color theme="1"/>
        <rFont val="Calibri"/>
        <family val="2"/>
      </rPr>
      <t>MS</t>
    </r>
    <r>
      <rPr>
        <vertAlign val="subscript"/>
        <sz val="11"/>
        <color theme="1"/>
        <rFont val="Calibri"/>
        <family val="2"/>
      </rPr>
      <t>(T, PRP)</t>
    </r>
  </si>
  <si>
    <t>fraction of total annual N excretion for each livestock species/category T that is deposited on pasture, range and paddock</t>
  </si>
  <si>
    <t>Equation 38
IPCC, 2019 "N2O Emissions from Managed Soils, and CO2 Emissions from Lime and Urea Application"V.4, Ch.11, Eq.11.1</t>
  </si>
  <si>
    <r>
      <rPr>
        <sz val="11"/>
        <color theme="1"/>
        <rFont val="Calibri"/>
        <family val="2"/>
      </rPr>
      <t>N</t>
    </r>
    <r>
      <rPr>
        <vertAlign val="subscript"/>
        <sz val="11"/>
        <color theme="1"/>
        <rFont val="Calibri"/>
        <family val="2"/>
      </rPr>
      <t>2</t>
    </r>
    <r>
      <rPr>
        <sz val="11"/>
        <color theme="1"/>
        <rFont val="Calibri"/>
        <family val="2"/>
      </rPr>
      <t>O-N</t>
    </r>
    <r>
      <rPr>
        <vertAlign val="subscript"/>
        <sz val="11"/>
        <color theme="1"/>
        <rFont val="Calibri"/>
        <family val="2"/>
      </rPr>
      <t>PRP</t>
    </r>
    <r>
      <rPr>
        <sz val="11"/>
        <color theme="1"/>
        <rFont val="Calibri"/>
        <family val="2"/>
      </rPr>
      <t xml:space="preserve"> = [(F</t>
    </r>
    <r>
      <rPr>
        <vertAlign val="subscript"/>
        <sz val="11"/>
        <color theme="1"/>
        <rFont val="Calibri"/>
        <family val="2"/>
      </rPr>
      <t>PRP, CPP</t>
    </r>
    <r>
      <rPr>
        <sz val="11"/>
        <color theme="1"/>
        <rFont val="Calibri"/>
        <family val="2"/>
      </rPr>
      <t xml:space="preserve"> x EF</t>
    </r>
    <r>
      <rPr>
        <vertAlign val="subscript"/>
        <sz val="11"/>
        <color theme="1"/>
        <rFont val="Calibri"/>
        <family val="2"/>
      </rPr>
      <t>3 PRP, CPP</t>
    </r>
    <r>
      <rPr>
        <sz val="11"/>
        <color theme="1"/>
        <rFont val="Calibri"/>
        <family val="2"/>
      </rPr>
      <t>)]</t>
    </r>
  </si>
  <si>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NPRP</t>
    </r>
  </si>
  <si>
    <r>
      <rPr>
        <sz val="11"/>
        <color theme="1"/>
        <rFont val="Calibri"/>
        <family val="2"/>
      </rPr>
      <t>annual direct N</t>
    </r>
    <r>
      <rPr>
        <vertAlign val="subscript"/>
        <sz val="11"/>
        <color theme="1"/>
        <rFont val="Calibri"/>
        <family val="2"/>
      </rPr>
      <t>2</t>
    </r>
    <r>
      <rPr>
        <sz val="11"/>
        <color theme="1"/>
        <rFont val="Calibri"/>
        <family val="2"/>
      </rPr>
      <t>O–N emissions from urine and dung inputs to grazed soils, kg N</t>
    </r>
    <r>
      <rPr>
        <vertAlign val="subscript"/>
        <sz val="11"/>
        <color theme="1"/>
        <rFont val="Calibri"/>
        <family val="2"/>
      </rPr>
      <t>2</t>
    </r>
    <r>
      <rPr>
        <sz val="11"/>
        <color theme="1"/>
        <rFont val="Calibri"/>
        <family val="2"/>
      </rPr>
      <t>O–N yr</t>
    </r>
    <r>
      <rPr>
        <vertAlign val="superscript"/>
        <sz val="11"/>
        <color theme="1"/>
        <rFont val="Calibri"/>
        <family val="2"/>
      </rPr>
      <t>1</t>
    </r>
  </si>
  <si>
    <r>
      <rPr>
        <sz val="11"/>
        <color theme="1"/>
        <rFont val="Calibri"/>
        <family val="2"/>
      </rPr>
      <t>F</t>
    </r>
    <r>
      <rPr>
        <vertAlign val="subscript"/>
        <sz val="11"/>
        <color theme="1"/>
        <rFont val="Calibri"/>
        <family val="2"/>
      </rPr>
      <t>PRP, CPP</t>
    </r>
  </si>
  <si>
    <r>
      <rPr>
        <sz val="11"/>
        <color theme="1"/>
        <rFont val="Calibri"/>
        <family val="2"/>
      </rPr>
      <t>annual amount of urine and dung N deposited by grazing animals on pasture, range and paddock, kg N yr</t>
    </r>
    <r>
      <rPr>
        <vertAlign val="superscript"/>
        <sz val="11"/>
        <color theme="1"/>
        <rFont val="Calibri"/>
        <family val="2"/>
      </rPr>
      <t xml:space="preserve">-1 </t>
    </r>
    <r>
      <rPr>
        <sz val="11"/>
        <color theme="1"/>
        <rFont val="Calibri"/>
        <family val="2"/>
      </rPr>
      <t>(Note: the subscripts CPP and SO refer to Cattle, Poultry and Pigs, and Sheep and Other animals, respectively)</t>
    </r>
  </si>
  <si>
    <r>
      <rPr>
        <sz val="11"/>
        <color theme="1"/>
        <rFont val="Calibri"/>
        <family val="2"/>
      </rPr>
      <t>EF</t>
    </r>
    <r>
      <rPr>
        <vertAlign val="subscript"/>
        <sz val="11"/>
        <color theme="1"/>
        <rFont val="Calibri"/>
        <family val="2"/>
      </rPr>
      <t>3 PRP, CPP</t>
    </r>
  </si>
  <si>
    <r>
      <rPr>
        <sz val="11"/>
        <color theme="1"/>
        <rFont val="Calibri"/>
        <family val="2"/>
      </rPr>
      <t>emission factor for N</t>
    </r>
    <r>
      <rPr>
        <vertAlign val="subscript"/>
        <sz val="11"/>
        <color theme="1"/>
        <rFont val="Calibri"/>
        <family val="2"/>
      </rPr>
      <t>2</t>
    </r>
    <r>
      <rPr>
        <sz val="11"/>
        <color theme="1"/>
        <rFont val="Calibri"/>
        <family val="2"/>
      </rPr>
      <t>O emissions from urine and dung N deposited on pasture, range and paddock by grazing animals, kg N</t>
    </r>
    <r>
      <rPr>
        <vertAlign val="subscript"/>
        <sz val="11"/>
        <color theme="1"/>
        <rFont val="Calibri"/>
        <family val="2"/>
      </rPr>
      <t>2</t>
    </r>
    <r>
      <rPr>
        <sz val="11"/>
        <color theme="1"/>
        <rFont val="Calibri"/>
        <family val="2"/>
      </rPr>
      <t>O–N (kg N input)</t>
    </r>
    <r>
      <rPr>
        <vertAlign val="superscript"/>
        <sz val="11"/>
        <color theme="1"/>
        <rFont val="Calibri"/>
        <family val="2"/>
      </rPr>
      <t>-1</t>
    </r>
    <r>
      <rPr>
        <sz val="11"/>
        <color theme="1"/>
        <rFont val="Calibri"/>
        <family val="2"/>
      </rPr>
      <t xml:space="preserve"> ;  (Note: the subscripts CPP and SO refer to Cattle, Poultry and Pigs, and Sheep and Other animals, respectively)</t>
    </r>
  </si>
  <si>
    <t>Equation 39
IPCC, 2019 "N2O Emissions from Managed Soils, and CO2 Emissions from Lime and Urea Application"V.4, Ch.11, Eq.11.9</t>
  </si>
  <si>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(ATD)</t>
    </r>
    <r>
      <rPr>
        <sz val="11"/>
        <color theme="1"/>
        <rFont val="Calibri"/>
        <family val="2"/>
      </rPr>
      <t>-N = {{∑</t>
    </r>
    <r>
      <rPr>
        <vertAlign val="subscript"/>
        <sz val="11"/>
        <color theme="1"/>
        <rFont val="Calibri"/>
        <family val="2"/>
      </rPr>
      <t>i</t>
    </r>
    <r>
      <rPr>
        <sz val="11"/>
        <color theme="1"/>
        <rFont val="Calibri"/>
        <family val="2"/>
      </rPr>
      <t xml:space="preserve"> (F</t>
    </r>
    <r>
      <rPr>
        <vertAlign val="subscript"/>
        <sz val="11"/>
        <color theme="1"/>
        <rFont val="Calibri"/>
        <family val="2"/>
      </rPr>
      <t>SNi</t>
    </r>
    <r>
      <rPr>
        <sz val="11"/>
        <color theme="1"/>
        <rFont val="Calibri"/>
        <family val="2"/>
      </rPr>
      <t xml:space="preserve"> x Frac</t>
    </r>
    <r>
      <rPr>
        <vertAlign val="subscript"/>
        <sz val="11"/>
        <color theme="1"/>
        <rFont val="Calibri"/>
        <family val="2"/>
      </rPr>
      <t>GASFi</t>
    </r>
    <r>
      <rPr>
        <sz val="11"/>
        <color theme="1"/>
        <rFont val="Calibri"/>
        <family val="2"/>
      </rPr>
      <t>) + [(F</t>
    </r>
    <r>
      <rPr>
        <vertAlign val="subscript"/>
        <sz val="11"/>
        <color theme="1"/>
        <rFont val="Calibri"/>
        <family val="2"/>
      </rPr>
      <t>ON</t>
    </r>
    <r>
      <rPr>
        <sz val="11"/>
        <color theme="1"/>
        <rFont val="Calibri"/>
        <family val="2"/>
      </rPr>
      <t xml:space="preserve"> + F</t>
    </r>
    <r>
      <rPr>
        <vertAlign val="subscript"/>
        <sz val="11"/>
        <color theme="1"/>
        <rFont val="Calibri"/>
        <family val="2"/>
      </rPr>
      <t>PRP</t>
    </r>
    <r>
      <rPr>
        <sz val="11"/>
        <color theme="1"/>
        <rFont val="Calibri"/>
        <family val="2"/>
      </rPr>
      <t>) x Frac</t>
    </r>
    <r>
      <rPr>
        <vertAlign val="subscript"/>
        <sz val="11"/>
        <color theme="1"/>
        <rFont val="Calibri"/>
        <family val="2"/>
      </rPr>
      <t>GASM</t>
    </r>
    <r>
      <rPr>
        <sz val="11"/>
        <color theme="1"/>
        <rFont val="Calibri"/>
        <family val="2"/>
      </rPr>
      <t>]} x EF</t>
    </r>
    <r>
      <rPr>
        <vertAlign val="subscript"/>
        <sz val="11"/>
        <color theme="1"/>
        <rFont val="Calibri"/>
        <family val="2"/>
      </rPr>
      <t>4</t>
    </r>
    <r>
      <rPr>
        <sz val="11"/>
        <color theme="1"/>
        <rFont val="Calibri"/>
        <family val="2"/>
      </rPr>
      <t>} x 44/28</t>
    </r>
  </si>
  <si>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(ATD)</t>
    </r>
    <r>
      <rPr>
        <sz val="11"/>
        <color theme="1"/>
        <rFont val="Calibri"/>
        <family val="2"/>
      </rPr>
      <t>-N</t>
    </r>
  </si>
  <si>
    <r>
      <rPr>
        <sz val="11"/>
        <color theme="1"/>
        <rFont val="Calibri"/>
        <family val="2"/>
      </rPr>
      <t>annual amount of N</t>
    </r>
    <r>
      <rPr>
        <vertAlign val="subscript"/>
        <sz val="11"/>
        <color theme="1"/>
        <rFont val="Calibri"/>
        <family val="2"/>
      </rPr>
      <t>2</t>
    </r>
    <r>
      <rPr>
        <sz val="11"/>
        <color theme="1"/>
        <rFont val="Calibri"/>
        <family val="2"/>
      </rPr>
      <t>O–N produced from atmospheric deposition of N volatilised from managed soils, kg N</t>
    </r>
    <r>
      <rPr>
        <vertAlign val="subscript"/>
        <sz val="11"/>
        <color theme="1"/>
        <rFont val="Calibri"/>
        <family val="2"/>
      </rPr>
      <t>2</t>
    </r>
    <r>
      <rPr>
        <sz val="11"/>
        <color theme="1"/>
        <rFont val="Calibri"/>
        <family val="2"/>
      </rPr>
      <t>O–N yr</t>
    </r>
    <r>
      <rPr>
        <vertAlign val="superscript"/>
        <sz val="11"/>
        <color theme="1"/>
        <rFont val="Calibri"/>
        <family val="2"/>
      </rPr>
      <t>-1</t>
    </r>
  </si>
  <si>
    <r>
      <rPr>
        <sz val="11"/>
        <color theme="1"/>
        <rFont val="Calibri"/>
        <family val="2"/>
      </rPr>
      <t>F</t>
    </r>
    <r>
      <rPr>
        <vertAlign val="subscript"/>
        <sz val="11"/>
        <color theme="1"/>
        <rFont val="Calibri"/>
        <family val="2"/>
      </rPr>
      <t xml:space="preserve">SNi </t>
    </r>
  </si>
  <si>
    <r>
      <rPr>
        <sz val="11"/>
        <color theme="1"/>
        <rFont val="Calibri"/>
        <family val="2"/>
      </rPr>
      <t>annual amount of synthetic fertiliser N applied to soils under different conditions i, kg N yr</t>
    </r>
    <r>
      <rPr>
        <vertAlign val="superscript"/>
        <sz val="11"/>
        <color theme="1"/>
        <rFont val="Calibri"/>
        <family val="2"/>
      </rPr>
      <t>-1</t>
    </r>
  </si>
  <si>
    <r>
      <rPr>
        <sz val="11"/>
        <color theme="1"/>
        <rFont val="Calibri"/>
        <family val="2"/>
      </rPr>
      <t>Frac</t>
    </r>
    <r>
      <rPr>
        <vertAlign val="subscript"/>
        <sz val="11"/>
        <color theme="1"/>
        <rFont val="Calibri"/>
        <family val="2"/>
      </rPr>
      <t>GASFi</t>
    </r>
  </si>
  <si>
    <r>
      <rPr>
        <sz val="11"/>
        <color theme="1"/>
        <rFont val="Calibri"/>
        <family val="2"/>
      </rPr>
      <t>fraction of synthetic fertiliser N that volatilises as NH</t>
    </r>
    <r>
      <rPr>
        <vertAlign val="subscript"/>
        <sz val="11"/>
        <color theme="1"/>
        <rFont val="Calibri"/>
        <family val="2"/>
      </rPr>
      <t>3</t>
    </r>
    <r>
      <rPr>
        <sz val="11"/>
        <color theme="1"/>
        <rFont val="Calibri"/>
        <family val="2"/>
      </rPr>
      <t xml:space="preserve"> and NO</t>
    </r>
    <r>
      <rPr>
        <vertAlign val="subscript"/>
        <sz val="11"/>
        <color theme="1"/>
        <rFont val="Calibri"/>
        <family val="2"/>
      </rPr>
      <t>x</t>
    </r>
    <r>
      <rPr>
        <sz val="11"/>
        <color theme="1"/>
        <rFont val="Calibri"/>
        <family val="2"/>
      </rPr>
      <t xml:space="preserve"> under different conditions i, kg N volatilised (kg of N applied)</t>
    </r>
    <r>
      <rPr>
        <vertAlign val="superscript"/>
        <sz val="11"/>
        <color theme="1"/>
        <rFont val="Calibri"/>
        <family val="2"/>
      </rPr>
      <t>-1</t>
    </r>
  </si>
  <si>
    <r>
      <rPr>
        <sz val="11"/>
        <color theme="1"/>
        <rFont val="Calibri"/>
        <family val="2"/>
      </rPr>
      <t>F</t>
    </r>
    <r>
      <rPr>
        <vertAlign val="subscript"/>
        <sz val="11"/>
        <color theme="1"/>
        <rFont val="Calibri"/>
        <family val="2"/>
      </rPr>
      <t>ON</t>
    </r>
  </si>
  <si>
    <r>
      <rPr>
        <sz val="11"/>
        <color theme="1"/>
        <rFont val="Calibri"/>
        <family val="2"/>
      </rPr>
      <t>annual amount of managed animal manure, compost, sewage sludge and other organic N additions applied to soils, kg N yr</t>
    </r>
    <r>
      <rPr>
        <vertAlign val="superscript"/>
        <sz val="11"/>
        <color theme="1"/>
        <rFont val="Calibri"/>
        <family val="2"/>
      </rPr>
      <t>-1</t>
    </r>
  </si>
  <si>
    <r>
      <rPr>
        <sz val="11"/>
        <color theme="1"/>
        <rFont val="Calibri"/>
        <family val="2"/>
      </rPr>
      <t>F</t>
    </r>
    <r>
      <rPr>
        <vertAlign val="subscript"/>
        <sz val="11"/>
        <color theme="1"/>
        <rFont val="Calibri"/>
        <family val="2"/>
      </rPr>
      <t>PRP</t>
    </r>
  </si>
  <si>
    <r>
      <rPr>
        <sz val="11"/>
        <color theme="1"/>
        <rFont val="Calibri"/>
        <family val="2"/>
      </rPr>
      <t>annual amount of urine and dung N deposited by grazing animals on pasture, range and paddock, kg N yr</t>
    </r>
    <r>
      <rPr>
        <vertAlign val="superscript"/>
        <sz val="11"/>
        <color theme="1"/>
        <rFont val="Calibri"/>
        <family val="2"/>
      </rPr>
      <t>-1</t>
    </r>
  </si>
  <si>
    <r>
      <rPr>
        <sz val="11"/>
        <color theme="1"/>
        <rFont val="Calibri"/>
        <family val="2"/>
      </rPr>
      <t>Frac</t>
    </r>
    <r>
      <rPr>
        <vertAlign val="subscript"/>
        <sz val="11"/>
        <color theme="1"/>
        <rFont val="Calibri"/>
        <family val="2"/>
      </rPr>
      <t>GASM</t>
    </r>
  </si>
  <si>
    <r>
      <rPr>
        <sz val="11"/>
        <color theme="1"/>
        <rFont val="Calibri"/>
        <family val="2"/>
      </rPr>
      <t>fraction of applied organic N fertiliser materials (F</t>
    </r>
    <r>
      <rPr>
        <vertAlign val="subscript"/>
        <sz val="11"/>
        <color theme="1"/>
        <rFont val="Calibri"/>
        <family val="2"/>
      </rPr>
      <t>ON</t>
    </r>
    <r>
      <rPr>
        <sz val="11"/>
        <color theme="1"/>
        <rFont val="Calibri"/>
        <family val="2"/>
      </rPr>
      <t>) and of urine and dung N deposited by grazing animals (F</t>
    </r>
    <r>
      <rPr>
        <vertAlign val="subscript"/>
        <sz val="11"/>
        <color theme="1"/>
        <rFont val="Calibri"/>
        <family val="2"/>
      </rPr>
      <t>PRP</t>
    </r>
    <r>
      <rPr>
        <sz val="11"/>
        <color theme="1"/>
        <rFont val="Calibri"/>
        <family val="2"/>
      </rPr>
      <t>) that volatilises as NH</t>
    </r>
    <r>
      <rPr>
        <vertAlign val="subscript"/>
        <sz val="11"/>
        <color theme="1"/>
        <rFont val="Calibri"/>
        <family val="2"/>
      </rPr>
      <t>3</t>
    </r>
    <r>
      <rPr>
        <sz val="11"/>
        <color theme="1"/>
        <rFont val="Calibri"/>
        <family val="2"/>
      </rPr>
      <t xml:space="preserve"> and NO</t>
    </r>
    <r>
      <rPr>
        <vertAlign val="subscript"/>
        <sz val="11"/>
        <color theme="1"/>
        <rFont val="Calibri"/>
        <family val="2"/>
      </rPr>
      <t>x</t>
    </r>
    <r>
      <rPr>
        <sz val="11"/>
        <color theme="1"/>
        <rFont val="Calibri"/>
        <family val="2"/>
      </rPr>
      <t>, kg N volatilised (kg of N applied or deposited)</t>
    </r>
    <r>
      <rPr>
        <vertAlign val="superscript"/>
        <sz val="11"/>
        <color theme="1"/>
        <rFont val="Calibri"/>
        <family val="2"/>
      </rPr>
      <t>-1</t>
    </r>
  </si>
  <si>
    <r>
      <rPr>
        <sz val="11"/>
        <color theme="1"/>
        <rFont val="Calibri"/>
        <family val="2"/>
      </rPr>
      <t>EF</t>
    </r>
    <r>
      <rPr>
        <vertAlign val="subscript"/>
        <sz val="11"/>
        <color theme="1"/>
        <rFont val="Calibri"/>
        <family val="2"/>
      </rPr>
      <t>4</t>
    </r>
  </si>
  <si>
    <r>
      <rPr>
        <sz val="11"/>
        <color theme="1"/>
        <rFont val="Calibri"/>
        <family val="2"/>
      </rPr>
      <t>emission factor for N</t>
    </r>
    <r>
      <rPr>
        <vertAlign val="subscript"/>
        <sz val="11"/>
        <color theme="1"/>
        <rFont val="Calibri"/>
        <family val="2"/>
      </rPr>
      <t>2</t>
    </r>
    <r>
      <rPr>
        <sz val="11"/>
        <color theme="1"/>
        <rFont val="Calibri"/>
        <family val="2"/>
      </rPr>
      <t>O emissions from atmospheric deposition of N on soils and water surfaces, [kg N–N</t>
    </r>
    <r>
      <rPr>
        <vertAlign val="subscript"/>
        <sz val="11"/>
        <color theme="1"/>
        <rFont val="Calibri"/>
        <family val="2"/>
      </rPr>
      <t>2</t>
    </r>
    <r>
      <rPr>
        <sz val="11"/>
        <color theme="1"/>
        <rFont val="Calibri"/>
        <family val="2"/>
      </rPr>
      <t>O (kg NH</t>
    </r>
    <r>
      <rPr>
        <vertAlign val="subscript"/>
        <sz val="11"/>
        <color theme="1"/>
        <rFont val="Calibri"/>
        <family val="2"/>
      </rPr>
      <t>3</t>
    </r>
    <r>
      <rPr>
        <sz val="11"/>
        <color theme="1"/>
        <rFont val="Calibri"/>
        <family val="2"/>
      </rPr>
      <t>–N + NO</t>
    </r>
    <r>
      <rPr>
        <vertAlign val="subscript"/>
        <sz val="11"/>
        <color theme="1"/>
        <rFont val="Calibri"/>
        <family val="2"/>
      </rPr>
      <t>x</t>
    </r>
    <r>
      <rPr>
        <sz val="11"/>
        <color theme="1"/>
        <rFont val="Calibri"/>
        <family val="2"/>
      </rPr>
      <t>–N volatilised)</t>
    </r>
    <r>
      <rPr>
        <vertAlign val="superscript"/>
        <sz val="11"/>
        <color theme="1"/>
        <rFont val="Calibri"/>
        <family val="2"/>
      </rPr>
      <t>-1</t>
    </r>
    <r>
      <rPr>
        <sz val="11"/>
        <color theme="1"/>
        <rFont val="Calibri"/>
        <family val="2"/>
      </rPr>
      <t xml:space="preserve"> ]</t>
    </r>
  </si>
  <si>
    <t>Equation 40
IPCC, 2019 "N2O Emissions from Managed Soils, and CO2 Emissions from Lime and Urea Application"V.4, Ch.11, Eq.11.10</t>
  </si>
  <si>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(L)</t>
    </r>
    <r>
      <rPr>
        <sz val="11"/>
        <color theme="1"/>
        <rFont val="Calibri"/>
        <family val="2"/>
      </rPr>
      <t>-N = [</t>
    </r>
    <r>
      <rPr>
        <sz val="11"/>
        <color theme="1"/>
        <rFont val="Calibri"/>
        <family val="2"/>
      </rPr>
      <t>(F</t>
    </r>
    <r>
      <rPr>
        <vertAlign val="subscript"/>
        <sz val="11"/>
        <color theme="1"/>
        <rFont val="Calibri"/>
        <family val="2"/>
      </rPr>
      <t xml:space="preserve">SN  </t>
    </r>
    <r>
      <rPr>
        <sz val="11"/>
        <color theme="1"/>
        <rFont val="Calibri"/>
        <family val="2"/>
      </rPr>
      <t>+ F</t>
    </r>
    <r>
      <rPr>
        <vertAlign val="subscript"/>
        <sz val="11"/>
        <color theme="1"/>
        <rFont val="Calibri"/>
        <family val="2"/>
      </rPr>
      <t>ON</t>
    </r>
    <r>
      <rPr>
        <sz val="11"/>
        <color theme="1"/>
        <rFont val="Calibri"/>
        <family val="2"/>
      </rPr>
      <t xml:space="preserve"> + F</t>
    </r>
    <r>
      <rPr>
        <vertAlign val="subscript"/>
        <sz val="11"/>
        <color theme="1"/>
        <rFont val="Calibri"/>
        <family val="2"/>
      </rPr>
      <t xml:space="preserve">PRP </t>
    </r>
    <r>
      <rPr>
        <sz val="11"/>
        <color theme="1"/>
        <rFont val="Calibri"/>
        <family val="2"/>
      </rPr>
      <t>+ F</t>
    </r>
    <r>
      <rPr>
        <vertAlign val="subscript"/>
        <sz val="11"/>
        <color theme="1"/>
        <rFont val="Calibri"/>
        <family val="2"/>
      </rPr>
      <t>CR</t>
    </r>
    <r>
      <rPr>
        <sz val="11"/>
        <color theme="1"/>
        <rFont val="Calibri"/>
        <family val="2"/>
      </rPr>
      <t xml:space="preserve"> + F</t>
    </r>
    <r>
      <rPr>
        <vertAlign val="subscript"/>
        <sz val="11"/>
        <color theme="1"/>
        <rFont val="Calibri"/>
        <family val="2"/>
      </rPr>
      <t>SOM</t>
    </r>
    <r>
      <rPr>
        <sz val="11"/>
        <color theme="1"/>
        <rFont val="Calibri"/>
        <family val="2"/>
      </rPr>
      <t>) x Frac</t>
    </r>
    <r>
      <rPr>
        <vertAlign val="subscript"/>
        <sz val="11"/>
        <color theme="1"/>
        <rFont val="Calibri"/>
        <family val="2"/>
      </rPr>
      <t>LEACH-(H)</t>
    </r>
    <r>
      <rPr>
        <sz val="11"/>
        <color theme="1"/>
        <rFont val="Calibri"/>
        <family val="2"/>
      </rPr>
      <t xml:space="preserve"> x EF</t>
    </r>
    <r>
      <rPr>
        <vertAlign val="subscript"/>
        <sz val="11"/>
        <color theme="1"/>
        <rFont val="Calibri"/>
        <family val="2"/>
      </rPr>
      <t>5</t>
    </r>
    <r>
      <rPr>
        <sz val="11"/>
        <color theme="1"/>
        <rFont val="Calibri"/>
        <family val="2"/>
      </rPr>
      <t>] x 44/28</t>
    </r>
  </si>
  <si>
    <r>
      <rPr>
        <sz val="11"/>
        <color theme="1"/>
        <rFont val="Calibri"/>
        <family val="2"/>
      </rPr>
      <t>N</t>
    </r>
    <r>
      <rPr>
        <vertAlign val="subscript"/>
        <sz val="11"/>
        <color theme="1"/>
        <rFont val="Calibri"/>
        <family val="2"/>
      </rPr>
      <t>2</t>
    </r>
    <r>
      <rPr>
        <sz val="11"/>
        <color theme="1"/>
        <rFont val="Calibri"/>
        <family val="2"/>
      </rPr>
      <t>O</t>
    </r>
    <r>
      <rPr>
        <vertAlign val="subscript"/>
        <sz val="11"/>
        <color theme="1"/>
        <rFont val="Calibri"/>
        <family val="2"/>
      </rPr>
      <t>(L)</t>
    </r>
    <r>
      <rPr>
        <sz val="11"/>
        <color theme="1"/>
        <rFont val="Calibri"/>
        <family val="2"/>
      </rPr>
      <t>-N</t>
    </r>
  </si>
  <si>
    <r>
      <rPr>
        <sz val="11"/>
        <color theme="1"/>
        <rFont val="Calibri"/>
        <family val="2"/>
      </rPr>
      <t>annual amount of N</t>
    </r>
    <r>
      <rPr>
        <vertAlign val="subscript"/>
        <sz val="11"/>
        <color theme="1"/>
        <rFont val="Calibri"/>
        <family val="2"/>
      </rPr>
      <t>2</t>
    </r>
    <r>
      <rPr>
        <sz val="11"/>
        <color theme="1"/>
        <rFont val="Calibri"/>
        <family val="2"/>
      </rPr>
      <t>O–N produced from leaching and runoff of N additions tomanaged soils in regions where leaching/runoff occurs, kg N</t>
    </r>
    <r>
      <rPr>
        <vertAlign val="subscript"/>
        <sz val="11"/>
        <color theme="1"/>
        <rFont val="Calibri"/>
        <family val="2"/>
      </rPr>
      <t>2</t>
    </r>
    <r>
      <rPr>
        <sz val="11"/>
        <color theme="1"/>
        <rFont val="Calibri"/>
        <family val="2"/>
      </rPr>
      <t>O–N yr</t>
    </r>
    <r>
      <rPr>
        <vertAlign val="superscript"/>
        <sz val="11"/>
        <color theme="1"/>
        <rFont val="Calibri"/>
        <family val="2"/>
      </rPr>
      <t>-1</t>
    </r>
  </si>
  <si>
    <r>
      <rPr>
        <sz val="11"/>
        <color theme="1"/>
        <rFont val="Calibri"/>
        <family val="2"/>
      </rPr>
      <t>F</t>
    </r>
    <r>
      <rPr>
        <vertAlign val="subscript"/>
        <sz val="11"/>
        <color theme="1"/>
        <rFont val="Calibri"/>
        <family val="2"/>
      </rPr>
      <t>SN</t>
    </r>
  </si>
  <si>
    <r>
      <rPr>
        <sz val="11"/>
        <color theme="1"/>
        <rFont val="Calibri"/>
        <family val="2"/>
      </rPr>
      <t>annual amount of synthetic fertiliser N applied to soils in regions where leaching/runoff occurs, kg N yr</t>
    </r>
    <r>
      <rPr>
        <vertAlign val="superscript"/>
        <sz val="11"/>
        <color theme="1"/>
        <rFont val="Calibri"/>
        <family val="2"/>
      </rPr>
      <t>-1</t>
    </r>
  </si>
  <si>
    <r>
      <rPr>
        <sz val="11"/>
        <color theme="1"/>
        <rFont val="Calibri"/>
        <family val="2"/>
      </rPr>
      <t>F</t>
    </r>
    <r>
      <rPr>
        <vertAlign val="subscript"/>
        <sz val="11"/>
        <color theme="1"/>
        <rFont val="Calibri"/>
        <family val="2"/>
      </rPr>
      <t>ON</t>
    </r>
  </si>
  <si>
    <r>
      <rPr>
        <sz val="11"/>
        <color theme="1"/>
        <rFont val="Calibri"/>
        <family val="2"/>
      </rPr>
      <t>annual amount of managed animal manure, compost, sewage sludge and other organic N additions applied to soils in regions where leaching/runoff occurs, kg N yr</t>
    </r>
    <r>
      <rPr>
        <vertAlign val="superscript"/>
        <sz val="11"/>
        <color theme="1"/>
        <rFont val="Calibri"/>
        <family val="2"/>
      </rPr>
      <t>-1</t>
    </r>
  </si>
  <si>
    <r>
      <rPr>
        <sz val="11"/>
        <color theme="1"/>
        <rFont val="Calibri"/>
        <family val="2"/>
      </rPr>
      <t>F</t>
    </r>
    <r>
      <rPr>
        <vertAlign val="subscript"/>
        <sz val="11"/>
        <color theme="1"/>
        <rFont val="Calibri"/>
        <family val="2"/>
      </rPr>
      <t>PRP</t>
    </r>
  </si>
  <si>
    <r>
      <rPr>
        <sz val="11"/>
        <color theme="1"/>
        <rFont val="Calibri"/>
        <family val="2"/>
      </rPr>
      <t>annual amount of urine and dung N deposited by grazing animals in regions where leaching/runoff occurs, kg N yr</t>
    </r>
    <r>
      <rPr>
        <vertAlign val="superscript"/>
        <sz val="11"/>
        <color theme="1"/>
        <rFont val="Calibri"/>
        <family val="2"/>
      </rPr>
      <t>-1</t>
    </r>
  </si>
  <si>
    <r>
      <rPr>
        <sz val="11"/>
        <color theme="1"/>
        <rFont val="Calibri"/>
        <family val="2"/>
      </rPr>
      <t>F</t>
    </r>
    <r>
      <rPr>
        <vertAlign val="subscript"/>
        <sz val="11"/>
        <color theme="1"/>
        <rFont val="Calibri"/>
        <family val="2"/>
      </rPr>
      <t>CR</t>
    </r>
  </si>
  <si>
    <t>amount of N in crop residues (above- and below-ground), including N-fixing crops, and from forage/pasture renewal, returned to soils annually in regions where leaching/runoff occurs, kg N yr</t>
  </si>
  <si>
    <r>
      <rPr>
        <sz val="11"/>
        <color theme="1"/>
        <rFont val="Calibri"/>
        <family val="2"/>
      </rPr>
      <t>F</t>
    </r>
    <r>
      <rPr>
        <vertAlign val="subscript"/>
        <sz val="11"/>
        <color theme="1"/>
        <rFont val="Calibri"/>
        <family val="2"/>
      </rPr>
      <t>SOM</t>
    </r>
  </si>
  <si>
    <r>
      <rPr>
        <sz val="11"/>
        <color theme="1"/>
        <rFont val="Calibri"/>
        <family val="2"/>
      </rPr>
      <t>annual amount of N mineralised in mineral soils associated with loss of soil C from soil organic matter as a result of changes to land use or management in regions where leaching/runoff occurs, kg N yr</t>
    </r>
    <r>
      <rPr>
        <vertAlign val="superscript"/>
        <sz val="11"/>
        <color theme="1"/>
        <rFont val="Calibri"/>
        <family val="2"/>
      </rPr>
      <t>-1</t>
    </r>
  </si>
  <si>
    <r>
      <rPr>
        <sz val="11"/>
        <color theme="1"/>
        <rFont val="Calibri"/>
        <family val="2"/>
      </rPr>
      <t>Frac</t>
    </r>
    <r>
      <rPr>
        <vertAlign val="subscript"/>
        <sz val="11"/>
        <color theme="1"/>
        <rFont val="Calibri"/>
        <family val="2"/>
      </rPr>
      <t>LEACH-(H)</t>
    </r>
  </si>
  <si>
    <r>
      <rPr>
        <sz val="11"/>
        <color theme="1"/>
        <rFont val="Calibri"/>
        <family val="2"/>
      </rPr>
      <t>fraction of all N added to/mineralised in managed soils in regions where leaching/runoff occurs that is lost through leaching and runoff, kg N (kg of N additions)</t>
    </r>
    <r>
      <rPr>
        <vertAlign val="superscript"/>
        <sz val="11"/>
        <color theme="1"/>
        <rFont val="Calibri"/>
        <family val="2"/>
      </rPr>
      <t>-1</t>
    </r>
  </si>
  <si>
    <r>
      <rPr>
        <sz val="11"/>
        <color theme="1"/>
        <rFont val="Calibri"/>
        <family val="2"/>
      </rPr>
      <t>EF</t>
    </r>
    <r>
      <rPr>
        <vertAlign val="subscript"/>
        <sz val="11"/>
        <color theme="1"/>
        <rFont val="Calibri"/>
        <family val="2"/>
      </rPr>
      <t>5</t>
    </r>
  </si>
  <si>
    <r>
      <rPr>
        <sz val="11"/>
        <color theme="1"/>
        <rFont val="Calibri"/>
        <family val="2"/>
      </rPr>
      <t>emission factor for N2O emissions from N leaching and runoff, kg N</t>
    </r>
    <r>
      <rPr>
        <vertAlign val="subscript"/>
        <sz val="11"/>
        <color theme="1"/>
        <rFont val="Calibri"/>
        <family val="2"/>
      </rPr>
      <t>2</t>
    </r>
    <r>
      <rPr>
        <sz val="11"/>
        <color theme="1"/>
        <rFont val="Calibri"/>
        <family val="2"/>
      </rPr>
      <t>O–N (kg N leached and runoff)</t>
    </r>
    <r>
      <rPr>
        <vertAlign val="superscript"/>
        <sz val="11"/>
        <color theme="1"/>
        <rFont val="Calibri"/>
        <family val="2"/>
      </rPr>
      <t>-1</t>
    </r>
  </si>
  <si>
    <t>CO2 emissions</t>
  </si>
  <si>
    <t>Equation 41
IPCC, 2019 "N2O Emissions from Managed Soils, and CO2 Emissions from Lime and Urea Application"V.4, Ch.11, Eq.11.12</t>
  </si>
  <si>
    <r>
      <rPr>
        <sz val="11"/>
        <color theme="1"/>
        <rFont val="Calibri"/>
        <family val="2"/>
      </rPr>
      <t>CO</t>
    </r>
    <r>
      <rPr>
        <vertAlign val="subscript"/>
        <sz val="11"/>
        <color theme="1"/>
        <rFont val="Calibri"/>
        <family val="2"/>
      </rPr>
      <t>2</t>
    </r>
    <r>
      <rPr>
        <sz val="11"/>
        <color theme="1"/>
        <rFont val="Calibri"/>
        <family val="2"/>
      </rPr>
      <t xml:space="preserve">-C </t>
    </r>
    <r>
      <rPr>
        <vertAlign val="subscript"/>
        <sz val="11"/>
        <color theme="1"/>
        <rFont val="Calibri"/>
        <family val="2"/>
      </rPr>
      <t>Emission</t>
    </r>
    <r>
      <rPr>
        <sz val="11"/>
        <color theme="1"/>
        <rFont val="Calibri"/>
        <family val="2"/>
      </rPr>
      <t xml:space="preserve"> = [(M</t>
    </r>
    <r>
      <rPr>
        <vertAlign val="subscript"/>
        <sz val="11"/>
        <color theme="1"/>
        <rFont val="Calibri"/>
        <family val="2"/>
      </rPr>
      <t>Limestone</t>
    </r>
    <r>
      <rPr>
        <sz val="11"/>
        <color theme="1"/>
        <rFont val="Calibri"/>
        <family val="2"/>
      </rPr>
      <t xml:space="preserve"> x EF</t>
    </r>
    <r>
      <rPr>
        <vertAlign val="subscript"/>
        <sz val="11"/>
        <color theme="1"/>
        <rFont val="Calibri"/>
        <family val="2"/>
      </rPr>
      <t>Limestone</t>
    </r>
    <r>
      <rPr>
        <sz val="11"/>
        <color theme="1"/>
        <rFont val="Calibri"/>
        <family val="2"/>
      </rPr>
      <t>) + (M</t>
    </r>
    <r>
      <rPr>
        <vertAlign val="subscript"/>
        <sz val="11"/>
        <color theme="1"/>
        <rFont val="Calibri"/>
        <family val="2"/>
      </rPr>
      <t>Dolomite</t>
    </r>
    <r>
      <rPr>
        <sz val="11"/>
        <color theme="1"/>
        <rFont val="Calibri"/>
        <family val="2"/>
      </rPr>
      <t xml:space="preserve"> x EF</t>
    </r>
    <r>
      <rPr>
        <vertAlign val="subscript"/>
        <sz val="11"/>
        <color theme="1"/>
        <rFont val="Calibri"/>
        <family val="2"/>
      </rPr>
      <t>Dolomite</t>
    </r>
    <r>
      <rPr>
        <sz val="11"/>
        <color theme="1"/>
        <rFont val="Calibri"/>
        <family val="2"/>
      </rPr>
      <t>)] x 44/12</t>
    </r>
  </si>
  <si>
    <r>
      <rPr>
        <sz val="11"/>
        <color theme="1"/>
        <rFont val="Calibri"/>
        <family val="2"/>
      </rPr>
      <t>CO</t>
    </r>
    <r>
      <rPr>
        <vertAlign val="subscript"/>
        <sz val="11"/>
        <color theme="1"/>
        <rFont val="Calibri"/>
        <family val="2"/>
      </rPr>
      <t>2</t>
    </r>
    <r>
      <rPr>
        <sz val="11"/>
        <color theme="1"/>
        <rFont val="Calibri"/>
        <family val="2"/>
      </rPr>
      <t xml:space="preserve">-C </t>
    </r>
    <r>
      <rPr>
        <vertAlign val="subscript"/>
        <sz val="11"/>
        <color theme="1"/>
        <rFont val="Calibri"/>
        <family val="2"/>
      </rPr>
      <t>Emission</t>
    </r>
  </si>
  <si>
    <r>
      <rPr>
        <sz val="11"/>
        <color theme="1"/>
        <rFont val="Calibri"/>
        <family val="2"/>
      </rPr>
      <t>annual C emissions from lime application, tonnes C yr</t>
    </r>
    <r>
      <rPr>
        <vertAlign val="superscript"/>
        <sz val="11"/>
        <color theme="1"/>
        <rFont val="Calibri"/>
        <family val="2"/>
      </rPr>
      <t>-1</t>
    </r>
  </si>
  <si>
    <t>M</t>
  </si>
  <si>
    <r>
      <rPr>
        <sz val="11"/>
        <color theme="1"/>
        <rFont val="Calibri"/>
        <family val="2"/>
      </rPr>
      <t>annual amount of calcic limestone (CaCO</t>
    </r>
    <r>
      <rPr>
        <vertAlign val="subscript"/>
        <sz val="11"/>
        <color theme="1"/>
        <rFont val="Calibri"/>
        <family val="2"/>
      </rPr>
      <t>3</t>
    </r>
    <r>
      <rPr>
        <sz val="11"/>
        <color theme="1"/>
        <rFont val="Calibri"/>
        <family val="2"/>
      </rPr>
      <t>) or dolomite (CaMg(CO</t>
    </r>
    <r>
      <rPr>
        <vertAlign val="subscript"/>
        <sz val="11"/>
        <color theme="1"/>
        <rFont val="Calibri"/>
        <family val="2"/>
      </rPr>
      <t>3</t>
    </r>
    <r>
      <rPr>
        <sz val="11"/>
        <color theme="1"/>
        <rFont val="Calibri"/>
        <family val="2"/>
      </rPr>
      <t>)</t>
    </r>
    <r>
      <rPr>
        <vertAlign val="subscript"/>
        <sz val="11"/>
        <color theme="1"/>
        <rFont val="Calibri"/>
        <family val="2"/>
      </rPr>
      <t>2</t>
    </r>
    <r>
      <rPr>
        <sz val="11"/>
        <color theme="1"/>
        <rFont val="Calibri"/>
        <family val="2"/>
      </rPr>
      <t>), tonnes yr</t>
    </r>
    <r>
      <rPr>
        <vertAlign val="superscript"/>
        <sz val="11"/>
        <color theme="1"/>
        <rFont val="Calibri"/>
        <family val="2"/>
      </rPr>
      <t>-1</t>
    </r>
  </si>
  <si>
    <r>
      <rPr>
        <sz val="11"/>
        <color theme="1"/>
        <rFont val="Calibri"/>
        <family val="2"/>
      </rPr>
      <t>emission factor, tonne of C (tonne of limestone or dolomite)</t>
    </r>
    <r>
      <rPr>
        <vertAlign val="superscript"/>
        <sz val="11"/>
        <color theme="1"/>
        <rFont val="Calibri"/>
        <family val="2"/>
      </rPr>
      <t>-1</t>
    </r>
  </si>
  <si>
    <t>Equation 42
IPCC, 2019 "N2O Emissions from Managed Soils, and CO2 Emissions from Lime and Urea Application"V.4, Ch.11, Eq.11.12</t>
  </si>
  <si>
    <r>
      <rPr>
        <sz val="11"/>
        <color theme="1"/>
        <rFont val="Calibri"/>
        <family val="2"/>
      </rPr>
      <t>CO</t>
    </r>
    <r>
      <rPr>
        <vertAlign val="subscript"/>
        <sz val="11"/>
        <color theme="1"/>
        <rFont val="Calibri"/>
        <family val="2"/>
      </rPr>
      <t>2</t>
    </r>
    <r>
      <rPr>
        <sz val="11"/>
        <color theme="1"/>
        <rFont val="Calibri"/>
        <family val="2"/>
      </rPr>
      <t xml:space="preserve">-C </t>
    </r>
    <r>
      <rPr>
        <vertAlign val="subscript"/>
        <sz val="11"/>
        <color theme="1"/>
        <rFont val="Calibri"/>
        <family val="2"/>
      </rPr>
      <t>Emission</t>
    </r>
    <r>
      <rPr>
        <sz val="11"/>
        <color theme="1"/>
        <rFont val="Calibri"/>
        <family val="2"/>
      </rPr>
      <t xml:space="preserve"> = [(M</t>
    </r>
    <r>
      <rPr>
        <vertAlign val="subscript"/>
        <sz val="11"/>
        <color theme="1"/>
        <rFont val="Calibri"/>
        <family val="2"/>
      </rPr>
      <t xml:space="preserve">urea </t>
    </r>
    <r>
      <rPr>
        <sz val="11"/>
        <color theme="1"/>
        <rFont val="Calibri"/>
        <family val="2"/>
      </rPr>
      <t>x EF</t>
    </r>
    <r>
      <rPr>
        <vertAlign val="subscript"/>
        <sz val="11"/>
        <color theme="1"/>
        <rFont val="Calibri"/>
        <family val="2"/>
      </rPr>
      <t>urea)</t>
    </r>
    <r>
      <rPr>
        <sz val="11"/>
        <color theme="1"/>
        <rFont val="Calibri"/>
        <family val="2"/>
      </rPr>
      <t xml:space="preserve"> x 44/12</t>
    </r>
  </si>
  <si>
    <r>
      <rPr>
        <sz val="11"/>
        <color theme="1"/>
        <rFont val="Calibri"/>
        <family val="2"/>
      </rPr>
      <t>CO</t>
    </r>
    <r>
      <rPr>
        <vertAlign val="subscript"/>
        <sz val="11"/>
        <color theme="1"/>
        <rFont val="Calibri"/>
        <family val="2"/>
      </rPr>
      <t>2</t>
    </r>
    <r>
      <rPr>
        <sz val="11"/>
        <color theme="1"/>
        <rFont val="Calibri"/>
        <family val="2"/>
      </rPr>
      <t xml:space="preserve">-C </t>
    </r>
    <r>
      <rPr>
        <vertAlign val="subscript"/>
        <sz val="11"/>
        <color theme="1"/>
        <rFont val="Calibri"/>
        <family val="2"/>
      </rPr>
      <t>Emission</t>
    </r>
  </si>
  <si>
    <r>
      <rPr>
        <sz val="11"/>
        <color theme="1"/>
        <rFont val="Calibri"/>
        <family val="2"/>
      </rPr>
      <t>annual C emissions from urea application, tonnes C yr</t>
    </r>
    <r>
      <rPr>
        <vertAlign val="superscript"/>
        <sz val="11"/>
        <color theme="1"/>
        <rFont val="Calibri"/>
        <family val="2"/>
      </rPr>
      <t>-1</t>
    </r>
  </si>
  <si>
    <r>
      <rPr>
        <sz val="11"/>
        <color theme="1"/>
        <rFont val="Calibri"/>
        <family val="2"/>
      </rPr>
      <t>M</t>
    </r>
    <r>
      <rPr>
        <vertAlign val="subscript"/>
        <sz val="11"/>
        <color theme="1"/>
        <rFont val="Calibri"/>
        <family val="2"/>
      </rPr>
      <t>urea</t>
    </r>
  </si>
  <si>
    <r>
      <rPr>
        <sz val="11"/>
        <color theme="1"/>
        <rFont val="Calibri"/>
        <family val="2"/>
      </rPr>
      <t>annual amount of urea fertilisation, tonnes urea yr</t>
    </r>
    <r>
      <rPr>
        <vertAlign val="superscript"/>
        <sz val="11"/>
        <color theme="1"/>
        <rFont val="Calibri"/>
        <family val="2"/>
      </rPr>
      <t>-1</t>
    </r>
  </si>
  <si>
    <r>
      <rPr>
        <sz val="11"/>
        <color theme="1"/>
        <rFont val="Calibri"/>
        <family val="2"/>
      </rPr>
      <t>EF</t>
    </r>
    <r>
      <rPr>
        <vertAlign val="subscript"/>
        <sz val="11"/>
        <color theme="1"/>
        <rFont val="Calibri"/>
        <family val="2"/>
      </rPr>
      <t>urea</t>
    </r>
  </si>
  <si>
    <r>
      <rPr>
        <sz val="11"/>
        <color theme="1"/>
        <rFont val="Calibri"/>
        <family val="2"/>
      </rPr>
      <t>emission factor, tonne of C (tonne of urea)</t>
    </r>
    <r>
      <rPr>
        <vertAlign val="superscript"/>
        <sz val="11"/>
        <color theme="1"/>
        <rFont val="Calibri"/>
        <family val="2"/>
      </rPr>
      <t>-1</t>
    </r>
  </si>
  <si>
    <t xml:space="preserve">Emissão total da propriedade </t>
  </si>
  <si>
    <t xml:space="preserve">Emissão produção alimentos (N2O + CO2) </t>
  </si>
  <si>
    <t>Município</t>
  </si>
  <si>
    <t>Há venda de animais?</t>
  </si>
  <si>
    <t>Há compra de animais?</t>
  </si>
  <si>
    <t>Período médio em lactação                              (dias)</t>
  </si>
  <si>
    <t>Energia elétrica não renovável (KWh)</t>
  </si>
  <si>
    <t>Combustível (litros)</t>
  </si>
  <si>
    <t>MUDANÇA DE USO DA TERRA</t>
  </si>
  <si>
    <t>ENERGIA E TRANSPORTE</t>
  </si>
  <si>
    <t>PLANTIO DE ÁRVORES</t>
  </si>
  <si>
    <t>PRODUTOS DA PROPRIEDADE</t>
  </si>
  <si>
    <t>MANEJO DE DEJETOS</t>
  </si>
  <si>
    <t>SISTEMA DE PRODUÇÃO POR CATEGORIAS</t>
  </si>
  <si>
    <t>DETALHAMENTO POR CATEGORIAS</t>
  </si>
  <si>
    <r>
      <t>kg CO</t>
    </r>
    <r>
      <rPr>
        <b/>
        <vertAlign val="subscript"/>
        <sz val="11"/>
        <color theme="1"/>
        <rFont val="Calibri"/>
        <family val="2"/>
      </rPr>
      <t>2</t>
    </r>
    <r>
      <rPr>
        <b/>
        <sz val="11"/>
        <color theme="1"/>
        <rFont val="Calibri"/>
        <family val="2"/>
      </rPr>
      <t xml:space="preserve"> eq/un</t>
    </r>
  </si>
  <si>
    <t>Estados brasileiros</t>
  </si>
  <si>
    <t>Alagoas (AL)</t>
  </si>
  <si>
    <t>Amapá (AP)</t>
  </si>
  <si>
    <t>Amazonas (AM)</t>
  </si>
  <si>
    <t>Bahia (BA)</t>
  </si>
  <si>
    <t>Ceará (CE)</t>
  </si>
  <si>
    <t>Distrito Federal (DF)</t>
  </si>
  <si>
    <t>Espírito Santo (ES)</t>
  </si>
  <si>
    <t>Goiás (GO)</t>
  </si>
  <si>
    <t>Maranhão (MA)</t>
  </si>
  <si>
    <t>Mato Grosso (MT)</t>
  </si>
  <si>
    <t>Mato Grosso do Sul (MS)</t>
  </si>
  <si>
    <t>Minas Gerais (MG)</t>
  </si>
  <si>
    <t>Pará (PA)</t>
  </si>
  <si>
    <t>Paraíba (PB)</t>
  </si>
  <si>
    <t>Paraná (PR)</t>
  </si>
  <si>
    <t>Pernambuco (PE)</t>
  </si>
  <si>
    <t>Piauí (PI)</t>
  </si>
  <si>
    <t>Rio de Janeiro (RJ)</t>
  </si>
  <si>
    <t>Rio Grande do Norte (RN)</t>
  </si>
  <si>
    <t>Rio Grande do Sul (RS)</t>
  </si>
  <si>
    <t>Rondônia (RO)</t>
  </si>
  <si>
    <t>Roraima (RR)</t>
  </si>
  <si>
    <t>Santa Catarina (SC)</t>
  </si>
  <si>
    <t>São Paulo (SP)</t>
  </si>
  <si>
    <t>Sergipe (SE)</t>
  </si>
  <si>
    <t>Tocantins (TO)</t>
  </si>
  <si>
    <t>TOTAL (Ton CO2eq/ano)</t>
  </si>
  <si>
    <t>Rendimento de carcaça (%)</t>
  </si>
  <si>
    <t>Carcaça                                          (kg CO2eq/kg carcaça)</t>
  </si>
  <si>
    <t>Peso vivo                                     (kg CO2eq/kg peso vivo)</t>
  </si>
  <si>
    <t>Hectare                                     (kg CO2eq/ha)</t>
  </si>
  <si>
    <t xml:space="preserve">Emissão metano entérico </t>
  </si>
  <si>
    <t xml:space="preserve">Emissão dejetos (CH4+N2O) </t>
  </si>
  <si>
    <t>Emissão total</t>
  </si>
  <si>
    <t xml:space="preserve">Remoção total </t>
  </si>
  <si>
    <t xml:space="preserve">Balanço de carbono </t>
  </si>
  <si>
    <r>
      <t>Emissão óxido nitroso indireto dejetos total (Total N</t>
    </r>
    <r>
      <rPr>
        <b/>
        <vertAlign val="subscript"/>
        <sz val="11"/>
        <color theme="2"/>
        <rFont val="Calibri"/>
        <family val="2"/>
      </rPr>
      <t>2</t>
    </r>
    <r>
      <rPr>
        <b/>
        <sz val="11"/>
        <color theme="2"/>
        <rFont val="Calibri"/>
        <family val="2"/>
      </rPr>
      <t>OI</t>
    </r>
    <r>
      <rPr>
        <b/>
        <vertAlign val="subscript"/>
        <sz val="11"/>
        <color theme="2"/>
        <rFont val="Calibri"/>
        <family val="2"/>
      </rPr>
      <t>manure</t>
    </r>
    <r>
      <rPr>
        <b/>
        <sz val="11"/>
        <color theme="2"/>
        <rFont val="Calibri"/>
        <family val="2"/>
      </rPr>
      <t>)</t>
    </r>
  </si>
  <si>
    <r>
      <t>Emissão óxido nitroso direto dejetos total (Total N</t>
    </r>
    <r>
      <rPr>
        <b/>
        <vertAlign val="subscript"/>
        <sz val="11"/>
        <color theme="2"/>
        <rFont val="Calibri"/>
        <family val="2"/>
      </rPr>
      <t>2</t>
    </r>
    <r>
      <rPr>
        <b/>
        <sz val="11"/>
        <color theme="2"/>
        <rFont val="Calibri"/>
        <family val="2"/>
      </rPr>
      <t>OD</t>
    </r>
    <r>
      <rPr>
        <b/>
        <vertAlign val="subscript"/>
        <sz val="11"/>
        <color theme="2"/>
        <rFont val="Calibri"/>
        <family val="2"/>
      </rPr>
      <t>manure</t>
    </r>
    <r>
      <rPr>
        <b/>
        <sz val="11"/>
        <color theme="2"/>
        <rFont val="Calibri"/>
        <family val="2"/>
      </rPr>
      <t>)</t>
    </r>
  </si>
  <si>
    <r>
      <t>Emissão metano dejetos total (Total CH</t>
    </r>
    <r>
      <rPr>
        <b/>
        <vertAlign val="subscript"/>
        <sz val="11"/>
        <color theme="2"/>
        <rFont val="Calibri"/>
        <family val="2"/>
      </rPr>
      <t>4manure</t>
    </r>
    <r>
      <rPr>
        <b/>
        <sz val="11"/>
        <color theme="2"/>
        <rFont val="Calibri"/>
        <family val="2"/>
      </rPr>
      <t>)</t>
    </r>
  </si>
  <si>
    <t>Remoção (Árvores)</t>
  </si>
  <si>
    <t>Remoção (Kg CO2 eq./arv.ano)</t>
  </si>
  <si>
    <t>Remoção árvores (Kg CO2 eq/ano)</t>
  </si>
  <si>
    <t>Total remoção árvores (Ton CO2eq/ano)</t>
  </si>
  <si>
    <t>Árvores</t>
  </si>
  <si>
    <t>Eucalyptus urograndis</t>
  </si>
  <si>
    <t>Gravillea robusta</t>
  </si>
  <si>
    <t>Remoção árvores</t>
  </si>
  <si>
    <t>Artigo</t>
  </si>
  <si>
    <t>Idade</t>
  </si>
  <si>
    <t>Numero arvores/há</t>
  </si>
  <si>
    <t>Volume</t>
  </si>
  <si>
    <t>Incremento Anual</t>
  </si>
  <si>
    <t>Incr. Anual/arv</t>
  </si>
  <si>
    <t>Taxa de remoção</t>
  </si>
  <si>
    <t>ano</t>
  </si>
  <si>
    <t>numero</t>
  </si>
  <si>
    <t>m3</t>
  </si>
  <si>
    <t>m3/ano</t>
  </si>
  <si>
    <t>m3/arv.ano</t>
  </si>
  <si>
    <t>Kg CO2 eq./arv.ano</t>
  </si>
  <si>
    <t>Pezzopane et al. 2021</t>
  </si>
  <si>
    <t>Muller et al. 2009</t>
  </si>
  <si>
    <t>Eucalyptus grandis</t>
  </si>
  <si>
    <t>Dados não publicados</t>
  </si>
  <si>
    <t>Corymbia citriodora (Eucalipto citriodora)</t>
  </si>
  <si>
    <t>Radomski et al. (2011)</t>
  </si>
  <si>
    <t>1.    MULLER, M. D.; FERNANDES, E. N.; CASTRO, C. R. T.; PACIULLO, D. S. C.; ALVES, F. F. Estimativa de acúmulo de biomassa e carbono em sistema agrossilvipastoril na zona da mata mineira. Pesquisa Florestal Brasileira, v. 60, p. 11-17, 2009.</t>
  </si>
  <si>
    <t>2.    TSUKAMOTO FILHO, A. A. Fixação de carbono em um sistema agroflorestal com eucalipto na região do cerrado de Minas Gerais. 2003. 98p. Tese (Doutorado em Ciência Florestal) – Universidade Federal de Viçosa, Viçosa.</t>
  </si>
  <si>
    <t>3. Radomski, M.I.; RIBASKI, J. . Produção da grevílea e eucalipto em sistema silvipastoril na região do Arenito Caiuá, noroeste do Paraná.. Documentos, v. 231, p. 01-33, 2011</t>
  </si>
  <si>
    <t>4. Pezzopane, José Ricardo Macedo; BOSI, CRISTIAM ; DE CAMPOS BERNARDI, ALBERTO CARLOS ; MULLER, MARCELO DIAS ; DE OLIVEIRA, PATRÍCIA PERONDI ANCHÃO . Managing eucalyptus trees in agroforestry systems: Productivity parameters and PAR transmittance. AGRICULTURE ECOSYSTEMS &amp; ENVIRONMENT, v. 312, p. 107350, 2021</t>
  </si>
  <si>
    <t>Dieta contendo forragem entre 15 e 75% misturada com silagem e ou grãos; &gt; 75% de forragem de alta qualidade da dieta total</t>
  </si>
  <si>
    <t xml:space="preserve">the mature body weight of an adult animal individually, mature females, mature males and
steers) in moderate body condition4
, kg </t>
  </si>
  <si>
    <t>Combustíveis</t>
  </si>
  <si>
    <t>Diesel</t>
  </si>
  <si>
    <t>Etanol</t>
  </si>
  <si>
    <t>Gasolina</t>
  </si>
  <si>
    <t>Nelore</t>
  </si>
  <si>
    <t>Angus</t>
  </si>
  <si>
    <t>Guzerá</t>
  </si>
  <si>
    <t>Canchim</t>
  </si>
  <si>
    <t>Senepol</t>
  </si>
  <si>
    <t>Brangus</t>
  </si>
  <si>
    <t>Caracu</t>
  </si>
  <si>
    <t>Hereford</t>
  </si>
  <si>
    <t>Brahman</t>
  </si>
  <si>
    <t>Charolês</t>
  </si>
  <si>
    <t>Simental</t>
  </si>
  <si>
    <t>Bonsmara</t>
  </si>
  <si>
    <t>Limousin</t>
  </si>
  <si>
    <t>Raças</t>
  </si>
  <si>
    <t>Outros</t>
  </si>
  <si>
    <t xml:space="preserve">                             </t>
  </si>
  <si>
    <t>Nome da propriedade</t>
  </si>
  <si>
    <t>Bezerros(as) vivos(as) (cabeças)</t>
  </si>
  <si>
    <t>Novilhos(as) 1 a 2 anos vivos(as) (cabeças)</t>
  </si>
  <si>
    <t>Novilhos(as) &gt;2 anos vivos(as) (cabeças)</t>
  </si>
  <si>
    <t>Energia elétrica renovável (KWh)</t>
  </si>
  <si>
    <t>Vacas vivas (cabeças)</t>
  </si>
  <si>
    <t>Touros vivos (cabeças)</t>
  </si>
  <si>
    <t>Carcaça fêmea vendida (kg)</t>
  </si>
  <si>
    <t>Carcaça macho vendida (kg)</t>
  </si>
  <si>
    <t>Estoque de carbono no solo (ton/hectares)</t>
  </si>
  <si>
    <t>Situação da área 20 anos atrás</t>
  </si>
  <si>
    <t>Descrição                                                             (Nome da área)</t>
  </si>
  <si>
    <t>Cultura para ensilagem (1 safra e pousio) - Plantio convencional</t>
  </si>
  <si>
    <t>Cultura para ensilagem (1 safra e pousio) - Plantio direto</t>
  </si>
  <si>
    <t>Cultura para ensilagem (2 safras) - Plantio convencional</t>
  </si>
  <si>
    <t>Cultura para ensilagem (2 safras) - Plantio direto</t>
  </si>
  <si>
    <t>Sistemas integrados; Rotação de culturas com plantio direto; Plantas de cobertura na entresafra</t>
  </si>
  <si>
    <t>Cultura para ensilagem (1 safra e pousio) - Plantio Convencional</t>
  </si>
  <si>
    <t>Cultura para ensilagem (1 safra e pousio) - Plantio Direto</t>
  </si>
  <si>
    <t>Cultura para ensilagem (2 safras) - Convencional</t>
  </si>
  <si>
    <t>Cultura para ensilagem (2 safras) - Direto</t>
  </si>
  <si>
    <t>Cangaian</t>
  </si>
  <si>
    <t>Gir</t>
  </si>
  <si>
    <t>Indubrasil</t>
  </si>
  <si>
    <t>Punganur</t>
  </si>
  <si>
    <t>Sindi</t>
  </si>
  <si>
    <t>Tabapuã</t>
  </si>
  <si>
    <t>Energia renovável</t>
  </si>
  <si>
    <t>Energia não renovável</t>
  </si>
  <si>
    <t>Hídrica (elétrica convencional)</t>
  </si>
  <si>
    <t>Petróleo</t>
  </si>
  <si>
    <t>Solar</t>
  </si>
  <si>
    <t>Carvão mineral</t>
  </si>
  <si>
    <t>Eólica</t>
  </si>
  <si>
    <t>Gás natural</t>
  </si>
  <si>
    <t xml:space="preserve">Biomassa </t>
  </si>
  <si>
    <t>Geotérmica</t>
  </si>
  <si>
    <t>Oceânica</t>
  </si>
  <si>
    <t>Área de reserva legal + APP (hectare)</t>
  </si>
  <si>
    <r>
      <t xml:space="preserve">PLANILHA BAIXO CARBONO CORTE                                                                                                                               </t>
    </r>
    <r>
      <rPr>
        <sz val="36"/>
        <color theme="2"/>
        <rFont val="Calibri"/>
        <family val="2"/>
      </rPr>
      <t>DADOS REBANHO</t>
    </r>
  </si>
  <si>
    <r>
      <t xml:space="preserve">PLANILHA BAIXO CARBONO CORTE                                                                                                                               </t>
    </r>
    <r>
      <rPr>
        <sz val="36"/>
        <color theme="2"/>
        <rFont val="Calibri"/>
        <family val="2"/>
      </rPr>
      <t>DADOS ALIMENTAÇÃO</t>
    </r>
  </si>
  <si>
    <t>Peso carcaça total (kg)</t>
  </si>
  <si>
    <t>Peso vivo total (kg)</t>
  </si>
  <si>
    <t>Peso médio</t>
  </si>
  <si>
    <t>Produtos</t>
  </si>
  <si>
    <t>DESCRIÇÃO DOS INGREDIENTES NÃO CONTEMPLADOS NA LISTA</t>
  </si>
  <si>
    <t>Período (dias)</t>
  </si>
  <si>
    <t>Informações referentes à propriedade</t>
  </si>
  <si>
    <t>Emissões por categoria</t>
  </si>
  <si>
    <t>Categorias</t>
  </si>
  <si>
    <t>kg CO2 eq/un</t>
  </si>
  <si>
    <t>Total                                    (kg CO2 eq/dia)</t>
  </si>
  <si>
    <t>kg MS</t>
  </si>
  <si>
    <t>Resultado remoção</t>
  </si>
  <si>
    <t>Fim da simulação (dd/mm/aaaa)</t>
  </si>
  <si>
    <t>kg CH4/cabeça/período</t>
  </si>
  <si>
    <t xml:space="preserve">kg CH4/período </t>
  </si>
  <si>
    <t>kg CH4/animal/período</t>
  </si>
  <si>
    <t>kg CH4/período</t>
  </si>
  <si>
    <t>Ton CH4/período</t>
  </si>
  <si>
    <t>kg N/animal/período</t>
  </si>
  <si>
    <t>kg N2O/período</t>
  </si>
  <si>
    <t>kg N/período</t>
  </si>
  <si>
    <t xml:space="preserve">kg N2O/período </t>
  </si>
  <si>
    <t>kg CO2eq/período</t>
  </si>
  <si>
    <t>TOTAL (Ton CO2eq/período)</t>
  </si>
  <si>
    <t>Total remoção árvores (Ton CO2eq/período)</t>
  </si>
  <si>
    <t>TOTAL REMOÇÃO (matriz de transição + ávores) (Ton CO2eq/período)</t>
  </si>
  <si>
    <t>Início da simulação (dd/mm/aaaa)</t>
  </si>
  <si>
    <t>Total CH4 enteric (kg CH4/período)</t>
  </si>
  <si>
    <t>Total CH4manure (kg CH4/período)</t>
  </si>
  <si>
    <t>Total N2ODmanure (kg N2O/período)</t>
  </si>
  <si>
    <t>Total N2OImanure (kg N2O/período)</t>
  </si>
  <si>
    <t>Total                                          (Ton CO2eq/período)</t>
  </si>
  <si>
    <t>Emissão metperíodo entérico (kg CO2eq/período)</t>
  </si>
  <si>
    <t>Emissão dejetos (CH4+N2O) (kg CO2eq/período)</t>
  </si>
  <si>
    <t>Emissão produção alimentos (kg CO2eq/período)</t>
  </si>
  <si>
    <t>Emissão GEE total (kg CO2eq/período)</t>
  </si>
  <si>
    <t>Remoção GEE total (kg CO2eq/período)</t>
  </si>
  <si>
    <t>Emissão com remoção - Balanço de C (kg CO2eq/período)</t>
  </si>
  <si>
    <t>EF enteric                           (kg CH4/animal/período)</t>
  </si>
  <si>
    <t>EF manure                           (kg CH4/animal/período)</t>
  </si>
  <si>
    <t>NEX                                                                                                         (kg N2O/animal/período)</t>
  </si>
  <si>
    <t>Metperíodo entérico                  (kg CH4/período)</t>
  </si>
  <si>
    <t>Metperíodo dejetos                       (kg CH4/período)</t>
  </si>
  <si>
    <t>Óxido nitroso direto dejetos                                     (kg N2O/período)</t>
  </si>
  <si>
    <t>Óxido nitroso indireto dejetos                                       (kg N2O/período)</t>
  </si>
  <si>
    <t>Total Alimentação (kg CO2eq/período)</t>
  </si>
  <si>
    <t>Total remoção matriz de transição (Ton CO2eq/período)</t>
  </si>
  <si>
    <t>Total remoção (Ton CO2eq/período)</t>
  </si>
  <si>
    <t>Concentrado</t>
  </si>
  <si>
    <t>Resíduo úmido de cervejaria</t>
  </si>
  <si>
    <t>Resíduo seco de cervejaria</t>
  </si>
  <si>
    <t>Milho (grão)</t>
  </si>
  <si>
    <t>Ração 16% PB</t>
  </si>
  <si>
    <t>Ração 18% PB</t>
  </si>
  <si>
    <t>Ração 20% PB</t>
  </si>
  <si>
    <t>Ração 22% PB</t>
  </si>
  <si>
    <t>Ração 24% PB</t>
  </si>
  <si>
    <t>Ração 30% PB</t>
  </si>
  <si>
    <t>Ração 36% PB</t>
  </si>
  <si>
    <t>Sais de cálcio de ácidos graxos</t>
  </si>
  <si>
    <t>Gordura</t>
  </si>
  <si>
    <t xml:space="preserve">Sabão de cálcio de óleo de palma </t>
  </si>
  <si>
    <t>Óleo de salmão</t>
  </si>
  <si>
    <t>Óleo vegetal</t>
  </si>
  <si>
    <t xml:space="preserve">Triglicerídeo fracionado de óleo de palma </t>
  </si>
  <si>
    <t>Óleo de palma hidrogenado</t>
  </si>
  <si>
    <t>Leite</t>
  </si>
  <si>
    <t>Mineral</t>
  </si>
  <si>
    <t>Proteína</t>
  </si>
  <si>
    <t xml:space="preserve">Volumoso </t>
  </si>
  <si>
    <t xml:space="preserve">Baçaço de cana </t>
  </si>
  <si>
    <t>Feno Tifton 85</t>
  </si>
  <si>
    <t>Intensivo - Panicum maximum (Colonião, Tobiatã e Tanzânia)</t>
  </si>
  <si>
    <t>Intensivo - Pennisetum purpureum (Elefante, Cameron, Napier)</t>
  </si>
  <si>
    <t>Intensivo - Cynodon (Coastcross, Tifton)</t>
  </si>
  <si>
    <t>Intensivo - Brachiaria brizantha (Marandu)</t>
  </si>
  <si>
    <t>Semi-intensivo - Panicum maximum (Colonião, Tobiatã e Tanzânia)</t>
  </si>
  <si>
    <t>Semi-intensivo - Brachiaria brizantha (Marandu)</t>
  </si>
  <si>
    <t>Semi-intensivo - Brachiaria decumbens (Australiana)</t>
  </si>
  <si>
    <t>Semi-intensivo - Cynodon plectostachyus (Estrela)</t>
  </si>
  <si>
    <t>Semi-intensivo - Andropogon gayanus (Andropogon)</t>
  </si>
  <si>
    <t>Extensivo - Brachiaria decumbens (Australiana, Ipean)</t>
  </si>
  <si>
    <t>Extensivo - Brachiaria humidicola (Quicuio)</t>
  </si>
  <si>
    <t>Extensivo - Brachiaria dictyoneura</t>
  </si>
  <si>
    <t>Extensivo - Paspalum notatum (Grama batatais, Pensacola)</t>
  </si>
  <si>
    <t>Extensivo - Milinis minutiflora (Gordura)</t>
  </si>
  <si>
    <t>Extensivo - Andropogon gayanus (Andropogon)</t>
  </si>
  <si>
    <t>Outro ingrediente concentrado</t>
  </si>
  <si>
    <t>Outro ingrediente volumoso</t>
  </si>
  <si>
    <t>Fazenda Teste</t>
  </si>
  <si>
    <t>São Carlos</t>
  </si>
  <si>
    <t>Área 1</t>
  </si>
  <si>
    <t>Área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</si>
</sst>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0"/>
    <numFmt numFmtId="167" formatCode="0.0000"/>
    <numFmt numFmtId="168" formatCode="#,##0.000"/>
  </numFmts>
  <fonts count="7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4"/>
      <color theme="0"/>
      <name val="Calibri"/>
      <family val="2"/>
    </font>
    <font>
      <sz val="11"/>
      <name val="Calibri"/>
      <family val="2"/>
    </font>
    <font>
      <b/>
      <sz val="16"/>
      <color rgb="FF7F7F7F"/>
      <name val="Calibri"/>
      <family val="2"/>
    </font>
    <font>
      <sz val="11"/>
      <color theme="1"/>
      <name val="Calibri"/>
      <family val="2"/>
    </font>
    <font>
      <b/>
      <sz val="16"/>
      <color theme="0"/>
      <name val="Calibri"/>
      <family val="2"/>
    </font>
    <font>
      <b/>
      <sz val="10"/>
      <color theme="1"/>
      <name val="Calibri"/>
      <family val="2"/>
    </font>
    <font>
      <sz val="10"/>
      <color theme="1"/>
      <name val="Calibri"/>
      <family val="2"/>
    </font>
    <font>
      <sz val="11"/>
      <color rgb="FFE7E6E6"/>
      <name val="Calibri"/>
      <family val="2"/>
    </font>
    <font>
      <b/>
      <sz val="16"/>
      <color rgb="FFFFFFFF"/>
      <name val="Calibri"/>
      <family val="2"/>
    </font>
    <font>
      <b/>
      <sz val="11"/>
      <color theme="1"/>
      <name val="Calibri"/>
      <family val="2"/>
    </font>
    <font>
      <b/>
      <sz val="11"/>
      <color rgb="FFFF0000"/>
      <name val="Calibri"/>
      <family val="2"/>
    </font>
    <font>
      <b/>
      <sz val="11"/>
      <color theme="1"/>
      <name val="Calibri"/>
      <family val="2"/>
    </font>
    <font>
      <b/>
      <sz val="11"/>
      <color rgb="FFEEECE1"/>
      <name val="Calibri"/>
      <family val="2"/>
    </font>
    <font>
      <sz val="11"/>
      <color rgb="FFEEECE1"/>
      <name val="Calibri"/>
      <family val="2"/>
    </font>
    <font>
      <b/>
      <sz val="12"/>
      <color theme="0"/>
      <name val="Calibri"/>
      <family val="2"/>
    </font>
    <font>
      <sz val="11"/>
      <color theme="0"/>
      <name val="Calibri"/>
      <family val="2"/>
    </font>
    <font>
      <b/>
      <sz val="11"/>
      <color theme="0"/>
      <name val="Calibri"/>
      <family val="2"/>
    </font>
    <font>
      <b/>
      <u/>
      <sz val="11"/>
      <color theme="0"/>
      <name val="Calibri"/>
      <family val="2"/>
    </font>
    <font>
      <sz val="11"/>
      <color rgb="FF0D0D0D"/>
      <name val="Calibri"/>
      <family val="2"/>
    </font>
    <font>
      <b/>
      <u/>
      <sz val="11"/>
      <color theme="0"/>
      <name val="Calibri"/>
      <family val="2"/>
    </font>
    <font>
      <sz val="11"/>
      <color theme="1"/>
      <name val="Courier New"/>
      <family val="3"/>
    </font>
    <font>
      <sz val="11"/>
      <color rgb="FF17365D"/>
      <name val="Courier New"/>
      <family val="3"/>
    </font>
    <font>
      <b/>
      <sz val="11"/>
      <color rgb="FFFFFFFF"/>
      <name val="Calibri"/>
      <family val="2"/>
    </font>
    <font>
      <sz val="9"/>
      <color rgb="FF000000"/>
      <name val="&quot;Google Sans Mono&quot;"/>
    </font>
    <font>
      <b/>
      <sz val="10"/>
      <color rgb="FF0D0D0D"/>
      <name val="Calibri"/>
      <family val="2"/>
    </font>
    <font>
      <b/>
      <u/>
      <sz val="11"/>
      <color theme="1"/>
      <name val="Calibri"/>
      <family val="2"/>
    </font>
    <font>
      <sz val="12"/>
      <color theme="1"/>
      <name val="Times New Roman"/>
      <family val="1"/>
    </font>
    <font>
      <b/>
      <sz val="12"/>
      <color theme="1"/>
      <name val="Calibri"/>
      <family val="2"/>
    </font>
    <font>
      <b/>
      <sz val="12"/>
      <color rgb="FF000000"/>
      <name val="Calibri"/>
      <family val="2"/>
    </font>
    <font>
      <sz val="12"/>
      <color theme="1"/>
      <name val="Calibri"/>
      <family val="2"/>
    </font>
    <font>
      <b/>
      <u/>
      <sz val="11"/>
      <color theme="0"/>
      <name val="Calibri"/>
      <family val="2"/>
    </font>
    <font>
      <b/>
      <u/>
      <sz val="11"/>
      <color theme="1"/>
      <name val="Calibri"/>
      <family val="2"/>
    </font>
    <font>
      <sz val="11"/>
      <color rgb="FFFF0000"/>
      <name val="Calibri"/>
      <family val="2"/>
    </font>
    <font>
      <b/>
      <sz val="12"/>
      <color theme="1"/>
      <name val="Times New Roman"/>
      <family val="1"/>
    </font>
    <font>
      <sz val="12"/>
      <color rgb="FFC0504D"/>
      <name val="Times New Roman"/>
      <family val="1"/>
    </font>
    <font>
      <b/>
      <u/>
      <sz val="11"/>
      <color theme="1"/>
      <name val="Calibri"/>
      <family val="2"/>
    </font>
    <font>
      <b/>
      <u/>
      <sz val="11"/>
      <color theme="1"/>
      <name val="Calibri"/>
      <family val="2"/>
    </font>
    <font>
      <b/>
      <u/>
      <sz val="11"/>
      <color theme="1"/>
      <name val="Calibri"/>
      <family val="2"/>
    </font>
    <font>
      <b/>
      <sz val="10"/>
      <color theme="1"/>
      <name val="Trebuchet MS"/>
      <family val="2"/>
    </font>
    <font>
      <sz val="10"/>
      <color theme="1"/>
      <name val="Trebuchet MS"/>
      <family val="2"/>
    </font>
    <font>
      <i/>
      <sz val="11"/>
      <color theme="1"/>
      <name val="Calibri"/>
      <family val="2"/>
    </font>
    <font>
      <b/>
      <u/>
      <sz val="11"/>
      <color theme="1"/>
      <name val="Calibri"/>
      <family val="2"/>
    </font>
    <font>
      <b/>
      <u/>
      <sz val="11"/>
      <color theme="1"/>
      <name val="Calibri"/>
      <family val="2"/>
    </font>
    <font>
      <b/>
      <u/>
      <sz val="11"/>
      <color theme="1"/>
      <name val="Calibri"/>
      <family val="2"/>
    </font>
    <font>
      <b/>
      <u/>
      <sz val="11"/>
      <color theme="1"/>
      <name val="Calibri"/>
      <family val="2"/>
    </font>
    <font>
      <b/>
      <u/>
      <sz val="11"/>
      <color theme="1"/>
      <name val="Calibri"/>
      <family val="2"/>
    </font>
    <font>
      <vertAlign val="subscript"/>
      <sz val="11"/>
      <color theme="1"/>
      <name val="Calibri"/>
      <family val="2"/>
    </font>
    <font>
      <b/>
      <vertAlign val="subscript"/>
      <sz val="11"/>
      <color theme="1"/>
      <name val="Calibri"/>
      <family val="2"/>
    </font>
    <font>
      <b/>
      <vertAlign val="superscript"/>
      <sz val="11"/>
      <color theme="1"/>
      <name val="Calibri"/>
      <family val="2"/>
    </font>
    <font>
      <b/>
      <vertAlign val="subscript"/>
      <sz val="11"/>
      <color theme="0"/>
      <name val="Calibri"/>
      <family val="2"/>
    </font>
    <font>
      <b/>
      <vertAlign val="superscript"/>
      <sz val="12"/>
      <color rgb="FF000000"/>
      <name val="Calibri"/>
      <family val="2"/>
    </font>
    <font>
      <u/>
      <sz val="11"/>
      <color theme="1"/>
      <name val="Calibri"/>
      <family val="2"/>
    </font>
    <font>
      <vertAlign val="superscript"/>
      <sz val="11"/>
      <color theme="1"/>
      <name val="Calibri"/>
      <family val="2"/>
    </font>
    <font>
      <b/>
      <vertAlign val="subscript"/>
      <sz val="10"/>
      <color theme="1"/>
      <name val="Trebuchet MS"/>
      <family val="2"/>
    </font>
    <font>
      <vertAlign val="superscript"/>
      <sz val="10"/>
      <color theme="1"/>
      <name val="Trebuchet MS"/>
      <family val="2"/>
    </font>
    <font>
      <vertAlign val="subscript"/>
      <sz val="10"/>
      <color theme="1"/>
      <name val="Trebuchet MS"/>
      <family val="2"/>
    </font>
    <font>
      <sz val="14"/>
      <color theme="0"/>
      <name val="Calibri"/>
      <family val="2"/>
    </font>
    <font>
      <b/>
      <sz val="11"/>
      <color theme="1"/>
      <name val="Calibri"/>
      <family val="2"/>
      <scheme val="minor"/>
    </font>
    <font>
      <b/>
      <sz val="11"/>
      <color theme="2"/>
      <name val="Calibri"/>
      <family val="2"/>
    </font>
    <font>
      <b/>
      <vertAlign val="subscript"/>
      <sz val="11"/>
      <color theme="2"/>
      <name val="Calibri"/>
      <family val="2"/>
    </font>
    <font>
      <sz val="11"/>
      <color theme="2"/>
      <name val="Calibri"/>
      <family val="2"/>
    </font>
    <font>
      <sz val="11"/>
      <color rgb="FF000000"/>
      <name val="Calibri"/>
      <family val="2"/>
      <scheme val="minor"/>
    </font>
    <font>
      <b/>
      <sz val="10"/>
      <color theme="1"/>
      <name val="Calibri"/>
      <family val="2"/>
      <scheme val="minor"/>
    </font>
    <font>
      <b/>
      <sz val="36"/>
      <color theme="2"/>
      <name val="Calibri"/>
      <family val="2"/>
    </font>
    <font>
      <b/>
      <sz val="11"/>
      <color theme="0" tint="-4.9989318521683403E-2"/>
      <name val="Calibri"/>
      <family val="2"/>
    </font>
    <font>
      <sz val="10"/>
      <color theme="0" tint="-4.9989318521683403E-2"/>
      <name val="Calibri"/>
      <family val="2"/>
    </font>
    <font>
      <sz val="10"/>
      <name val="Calibri"/>
      <family val="2"/>
    </font>
    <font>
      <sz val="36"/>
      <color theme="2"/>
      <name val="Calibri"/>
      <family val="2"/>
    </font>
    <font>
      <sz val="11"/>
      <color theme="1"/>
      <name val="Calibri"/>
      <family val="2"/>
      <scheme val="major"/>
    </font>
    <font>
      <b/>
      <sz val="10"/>
      <color theme="1"/>
      <name val="Calibri"/>
      <family val="2"/>
      <scheme val="major"/>
    </font>
    <font>
      <b/>
      <sz val="10"/>
      <color rgb="FF1F1F1F"/>
      <name val="Calibri"/>
      <family val="2"/>
      <scheme val="major"/>
    </font>
  </fonts>
  <fills count="96">
    <fill>
      <patternFill patternType="none"/>
    </fill>
    <fill>
      <patternFill patternType="gray125"/>
    </fill>
    <fill>
      <patternFill patternType="solid">
        <fgColor rgb="FF76923C"/>
        <bgColor rgb="FF76923C"/>
      </patternFill>
    </fill>
    <fill>
      <patternFill patternType="solid">
        <fgColor rgb="FFF2F2F2"/>
        <bgColor rgb="FFF2F2F2"/>
      </patternFill>
    </fill>
    <fill>
      <patternFill patternType="solid">
        <fgColor rgb="FF0F243E"/>
        <bgColor rgb="FF0F243E"/>
      </patternFill>
    </fill>
    <fill>
      <patternFill patternType="solid">
        <fgColor rgb="FFEAF1DD"/>
        <bgColor rgb="FFEAF1DD"/>
      </patternFill>
    </fill>
    <fill>
      <patternFill patternType="solid">
        <fgColor rgb="FFD6E3BC"/>
        <bgColor rgb="FFD6E3BC"/>
      </patternFill>
    </fill>
    <fill>
      <patternFill patternType="solid">
        <fgColor rgb="FF92D050"/>
        <bgColor rgb="FF92D050"/>
      </patternFill>
    </fill>
    <fill>
      <patternFill patternType="solid">
        <fgColor theme="0"/>
        <bgColor theme="0"/>
      </patternFill>
    </fill>
    <fill>
      <patternFill patternType="solid">
        <fgColor rgb="FF003366"/>
        <bgColor rgb="FF003366"/>
      </patternFill>
    </fill>
    <fill>
      <patternFill patternType="solid">
        <fgColor rgb="FFEEECE1"/>
        <bgColor rgb="FFEEECE1"/>
      </patternFill>
    </fill>
    <fill>
      <patternFill patternType="solid">
        <fgColor rgb="FF990000"/>
        <bgColor rgb="FF990000"/>
      </patternFill>
    </fill>
    <fill>
      <patternFill patternType="solid">
        <fgColor rgb="FFC2D69B"/>
        <bgColor rgb="FFC2D69B"/>
      </patternFill>
    </fill>
    <fill>
      <patternFill patternType="solid">
        <fgColor rgb="FF974806"/>
        <bgColor rgb="FF974806"/>
      </patternFill>
    </fill>
    <fill>
      <patternFill patternType="solid">
        <fgColor rgb="FFE36C09"/>
        <bgColor rgb="FFE36C09"/>
      </patternFill>
    </fill>
    <fill>
      <patternFill patternType="solid">
        <fgColor rgb="FFFABF8F"/>
        <bgColor rgb="FFFABF8F"/>
      </patternFill>
    </fill>
    <fill>
      <patternFill patternType="solid">
        <fgColor rgb="FF17365D"/>
        <bgColor rgb="FF17365D"/>
      </patternFill>
    </fill>
    <fill>
      <patternFill patternType="solid">
        <fgColor rgb="FFFFFFFF"/>
        <bgColor rgb="FFFFFFFF"/>
      </patternFill>
    </fill>
    <fill>
      <patternFill patternType="solid">
        <fgColor theme="4"/>
        <bgColor theme="4"/>
      </patternFill>
    </fill>
    <fill>
      <patternFill patternType="solid">
        <fgColor rgb="FFF2DBDB"/>
        <bgColor rgb="FFF2DBDB"/>
      </patternFill>
    </fill>
    <fill>
      <patternFill patternType="solid">
        <fgColor rgb="FFDBE5F1"/>
        <bgColor rgb="FFDBE5F1"/>
      </patternFill>
    </fill>
    <fill>
      <patternFill patternType="solid">
        <fgColor rgb="FFD99594"/>
        <bgColor rgb="FFD99594"/>
      </patternFill>
    </fill>
    <fill>
      <patternFill patternType="solid">
        <fgColor rgb="FFBDD6EE"/>
        <bgColor rgb="FFBDD6EE"/>
      </patternFill>
    </fill>
    <fill>
      <patternFill patternType="solid">
        <fgColor rgb="FFCCC0D9"/>
        <bgColor rgb="FFCCC0D9"/>
      </patternFill>
    </fill>
    <fill>
      <patternFill patternType="solid">
        <fgColor rgb="FFB2A1C7"/>
        <bgColor rgb="FFB2A1C7"/>
      </patternFill>
    </fill>
    <fill>
      <patternFill patternType="solid">
        <fgColor rgb="FF95B3D7"/>
        <bgColor rgb="FF95B3D7"/>
      </patternFill>
    </fill>
    <fill>
      <patternFill patternType="solid">
        <fgColor rgb="FFD8D8D8"/>
        <bgColor rgb="FFD8D8D8"/>
      </patternFill>
    </fill>
    <fill>
      <patternFill patternType="solid">
        <fgColor rgb="FF4F6128"/>
        <bgColor rgb="FF4F6128"/>
      </patternFill>
    </fill>
    <fill>
      <patternFill patternType="solid">
        <fgColor rgb="FF99CC00"/>
        <bgColor rgb="FF99CC00"/>
      </patternFill>
    </fill>
    <fill>
      <patternFill patternType="solid">
        <fgColor rgb="FF33CC33"/>
        <bgColor rgb="FF33CC33"/>
      </patternFill>
    </fill>
    <fill>
      <patternFill patternType="solid">
        <fgColor theme="2" tint="-4.9989318521683403E-2"/>
        <bgColor rgb="FF0F243E"/>
      </patternFill>
    </fill>
    <fill>
      <patternFill patternType="solid">
        <fgColor theme="2" tint="-4.9989318521683403E-2"/>
        <bgColor rgb="FF92D050"/>
      </patternFill>
    </fill>
    <fill>
      <patternFill patternType="solid">
        <fgColor theme="2" tint="-4.9989318521683403E-2"/>
        <bgColor rgb="FFEAF1DD"/>
      </patternFill>
    </fill>
    <fill>
      <patternFill patternType="solid">
        <fgColor theme="2" tint="-4.9989318521683403E-2"/>
        <bgColor rgb="FFD6E3BC"/>
      </patternFill>
    </fill>
    <fill>
      <patternFill patternType="solid">
        <fgColor rgb="FF002060"/>
        <bgColor rgb="FF003366"/>
      </patternFill>
    </fill>
    <fill>
      <patternFill patternType="solid">
        <fgColor rgb="FF002060"/>
        <bgColor indexed="64"/>
      </patternFill>
    </fill>
    <fill>
      <patternFill patternType="solid">
        <fgColor rgb="FF0F243E"/>
        <bgColor indexed="64"/>
      </patternFill>
    </fill>
    <fill>
      <patternFill patternType="solid">
        <fgColor theme="2" tint="-4.9989318521683403E-2"/>
        <bgColor indexed="64"/>
      </patternFill>
    </fill>
    <fill>
      <patternFill patternType="solid">
        <fgColor theme="6" tint="0.79998168889431442"/>
        <bgColor rgb="FFD6E3BC"/>
      </patternFill>
    </fill>
    <fill>
      <patternFill patternType="solid">
        <fgColor theme="2" tint="-4.9989318521683403E-2"/>
        <bgColor rgb="FFF2F2F2"/>
      </patternFill>
    </fill>
    <fill>
      <patternFill patternType="solid">
        <fgColor theme="8" tint="0.59999389629810485"/>
        <bgColor rgb="FFEAF1DD"/>
      </patternFill>
    </fill>
    <fill>
      <patternFill patternType="solid">
        <fgColor rgb="FF92D050"/>
        <bgColor rgb="FFFFFF66"/>
      </patternFill>
    </fill>
    <fill>
      <patternFill patternType="solid">
        <fgColor theme="8" tint="0.59999389629810485"/>
        <bgColor rgb="FFC2D69B"/>
      </patternFill>
    </fill>
    <fill>
      <patternFill patternType="solid">
        <fgColor theme="4" tint="-0.499984740745262"/>
        <bgColor rgb="FFFABF8F"/>
      </patternFill>
    </fill>
    <fill>
      <patternFill patternType="solid">
        <fgColor theme="4" tint="-0.499984740745262"/>
        <bgColor indexed="64"/>
      </patternFill>
    </fill>
    <fill>
      <patternFill patternType="solid">
        <fgColor theme="4" tint="-0.499984740745262"/>
        <bgColor rgb="FFE36C09"/>
      </patternFill>
    </fill>
    <fill>
      <patternFill patternType="solid">
        <fgColor theme="8" tint="0.59999389629810485"/>
        <bgColor indexed="64"/>
      </patternFill>
    </fill>
    <fill>
      <patternFill patternType="solid">
        <fgColor rgb="FF92D050"/>
        <bgColor rgb="FFFABF8F"/>
      </patternFill>
    </fill>
    <fill>
      <patternFill patternType="solid">
        <fgColor rgb="FF92D050"/>
        <bgColor indexed="64"/>
      </patternFill>
    </fill>
    <fill>
      <patternFill patternType="solid">
        <fgColor theme="4" tint="-0.499984740745262"/>
        <bgColor rgb="FF974806"/>
      </patternFill>
    </fill>
    <fill>
      <patternFill patternType="solid">
        <fgColor theme="4" tint="-0.499984740745262"/>
        <bgColor rgb="FF76923C"/>
      </patternFill>
    </fill>
    <fill>
      <patternFill patternType="solid">
        <fgColor theme="2" tint="-4.9989318521683403E-2"/>
        <bgColor rgb="FF76923C"/>
      </patternFill>
    </fill>
    <fill>
      <patternFill patternType="solid">
        <fgColor theme="4" tint="-0.499984740745262"/>
        <bgColor rgb="FF990000"/>
      </patternFill>
    </fill>
    <fill>
      <patternFill patternType="solid">
        <fgColor theme="8" tint="0.59999389629810485"/>
        <bgColor rgb="FF31859B"/>
      </patternFill>
    </fill>
    <fill>
      <patternFill patternType="solid">
        <fgColor theme="6" tint="0.79998168889431442"/>
        <bgColor indexed="64"/>
      </patternFill>
    </fill>
    <fill>
      <patternFill patternType="solid">
        <fgColor theme="6" tint="0.59999389629810485"/>
        <bgColor rgb="FFEAF1DD"/>
      </patternFill>
    </fill>
    <fill>
      <patternFill patternType="solid">
        <fgColor theme="6" tint="0.59999389629810485"/>
        <bgColor indexed="64"/>
      </patternFill>
    </fill>
    <fill>
      <patternFill patternType="solid">
        <fgColor rgb="FF92D050"/>
        <bgColor rgb="FFEAF1DD"/>
      </patternFill>
    </fill>
    <fill>
      <patternFill patternType="solid">
        <fgColor theme="4" tint="0.79998168889431442"/>
        <bgColor theme="0"/>
      </patternFill>
    </fill>
    <fill>
      <patternFill patternType="solid">
        <fgColor theme="8" tint="0.79998168889431442"/>
        <bgColor rgb="FFD99594"/>
      </patternFill>
    </fill>
    <fill>
      <patternFill patternType="solid">
        <fgColor theme="8" tint="0.79998168889431442"/>
        <bgColor indexed="64"/>
      </patternFill>
    </fill>
    <fill>
      <patternFill patternType="solid">
        <fgColor theme="2"/>
        <bgColor theme="0"/>
      </patternFill>
    </fill>
    <fill>
      <patternFill patternType="solid">
        <fgColor theme="2"/>
        <bgColor indexed="64"/>
      </patternFill>
    </fill>
    <fill>
      <patternFill patternType="solid">
        <fgColor theme="4" tint="-0.499984740745262"/>
        <bgColor rgb="FFD99594"/>
      </patternFill>
    </fill>
    <fill>
      <patternFill patternType="solid">
        <fgColor theme="4" tint="-0.499984740745262"/>
        <bgColor rgb="FF953734"/>
      </patternFill>
    </fill>
    <fill>
      <patternFill patternType="solid">
        <fgColor theme="4" tint="0.39997558519241921"/>
        <bgColor rgb="FFD99594"/>
      </patternFill>
    </fill>
    <fill>
      <patternFill patternType="solid">
        <fgColor theme="4" tint="0.39997558519241921"/>
        <bgColor indexed="64"/>
      </patternFill>
    </fill>
    <fill>
      <patternFill patternType="solid">
        <fgColor theme="8" tint="0.79998168889431442"/>
        <bgColor rgb="FFF2DBDB"/>
      </patternFill>
    </fill>
    <fill>
      <patternFill patternType="solid">
        <fgColor theme="6" tint="0.79998168889431442"/>
        <bgColor rgb="FFEAF1DD"/>
      </patternFill>
    </fill>
    <fill>
      <patternFill patternType="solid">
        <fgColor theme="6" tint="0.59999389629810485"/>
        <bgColor rgb="FFD6E3BC"/>
      </patternFill>
    </fill>
    <fill>
      <patternFill patternType="solid">
        <fgColor theme="8" tint="0.59999389629810485"/>
        <bgColor rgb="FFFFFFFF"/>
      </patternFill>
    </fill>
    <fill>
      <patternFill patternType="solid">
        <fgColor theme="8" tint="0.59999389629810485"/>
        <bgColor rgb="FFFF0000"/>
      </patternFill>
    </fill>
    <fill>
      <patternFill patternType="solid">
        <fgColor theme="0" tint="-4.9989318521683403E-2"/>
        <bgColor indexed="64"/>
      </patternFill>
    </fill>
    <fill>
      <patternFill patternType="solid">
        <fgColor theme="0" tint="-4.9989318521683403E-2"/>
        <bgColor rgb="FFF2F2F2"/>
      </patternFill>
    </fill>
    <fill>
      <patternFill patternType="solid">
        <fgColor theme="0" tint="-4.9989318521683403E-2"/>
        <bgColor rgb="FFEFEFEF"/>
      </patternFill>
    </fill>
    <fill>
      <patternFill patternType="solid">
        <fgColor theme="0" tint="-4.9989318521683403E-2"/>
        <bgColor rgb="FFEAF1DD"/>
      </patternFill>
    </fill>
    <fill>
      <patternFill patternType="solid">
        <fgColor theme="0" tint="-4.9989318521683403E-2"/>
        <bgColor rgb="FFD6E3BC"/>
      </patternFill>
    </fill>
    <fill>
      <patternFill patternType="solid">
        <fgColor theme="0" tint="-4.9989318521683403E-2"/>
        <bgColor theme="0"/>
      </patternFill>
    </fill>
    <fill>
      <patternFill patternType="solid">
        <fgColor theme="6" tint="-0.249977111117893"/>
        <bgColor rgb="FF76923C"/>
      </patternFill>
    </fill>
    <fill>
      <patternFill patternType="solid">
        <fgColor theme="6" tint="-0.249977111117893"/>
        <bgColor indexed="64"/>
      </patternFill>
    </fill>
    <fill>
      <patternFill patternType="solid">
        <fgColor theme="0"/>
        <bgColor indexed="64"/>
      </patternFill>
    </fill>
    <fill>
      <patternFill patternType="solid">
        <fgColor theme="0" tint="-4.9989318521683403E-2"/>
        <bgColor rgb="FF92D050"/>
      </patternFill>
    </fill>
    <fill>
      <patternFill patternType="solid">
        <fgColor theme="0" tint="-4.9989318521683403E-2"/>
        <bgColor rgb="FF0F243E"/>
      </patternFill>
    </fill>
    <fill>
      <patternFill patternType="solid">
        <fgColor theme="6" tint="-0.249977111117893"/>
        <bgColor rgb="FFF2F2F2"/>
      </patternFill>
    </fill>
    <fill>
      <patternFill patternType="solid">
        <fgColor theme="6" tint="0.39997558519241921"/>
        <bgColor rgb="FFEAF1DD"/>
      </patternFill>
    </fill>
    <fill>
      <patternFill patternType="solid">
        <fgColor theme="6" tint="0.39997558519241921"/>
        <bgColor rgb="FFD6E3BC"/>
      </patternFill>
    </fill>
    <fill>
      <patternFill patternType="solid">
        <fgColor theme="6" tint="0.39997558519241921"/>
        <bgColor indexed="64"/>
      </patternFill>
    </fill>
    <fill>
      <patternFill patternType="solid">
        <fgColor theme="6" tint="0.79998168889431442"/>
        <bgColor theme="0"/>
      </patternFill>
    </fill>
    <fill>
      <patternFill patternType="solid">
        <fgColor theme="6" tint="0.59999389629810485"/>
        <bgColor theme="0"/>
      </patternFill>
    </fill>
    <fill>
      <patternFill patternType="solid">
        <fgColor rgb="FF92D050"/>
        <bgColor theme="0"/>
      </patternFill>
    </fill>
    <fill>
      <patternFill patternType="solid">
        <fgColor theme="6" tint="0.39997558519241921"/>
        <bgColor rgb="FFF2F2F2"/>
      </patternFill>
    </fill>
    <fill>
      <patternFill patternType="solid">
        <fgColor theme="6" tint="0.39997558519241921"/>
        <bgColor rgb="FFFDE9D9"/>
      </patternFill>
    </fill>
    <fill>
      <patternFill patternType="solid">
        <fgColor theme="6" tint="0.39997558519241921"/>
        <bgColor rgb="FFFBD4B4"/>
      </patternFill>
    </fill>
    <fill>
      <patternFill patternType="solid">
        <fgColor theme="6" tint="0.39997558519241921"/>
        <bgColor rgb="FFC2D69B"/>
      </patternFill>
    </fill>
    <fill>
      <patternFill patternType="solid">
        <fgColor rgb="FF002060"/>
        <bgColor rgb="FFE36C09"/>
      </patternFill>
    </fill>
    <fill>
      <patternFill patternType="solid">
        <fgColor theme="6" tint="0.39997558519241921"/>
        <bgColor theme="0"/>
      </patternFill>
    </fill>
  </fills>
  <borders count="260">
    <border>
      <left/>
      <right/>
      <top/>
      <bottom/>
      <diagonal/>
    </border>
    <border>
      <left style="medium">
        <color theme="0"/>
      </left>
      <right/>
      <top/>
      <bottom/>
      <diagonal/>
    </border>
    <border>
      <left/>
      <right/>
      <top/>
      <bottom/>
      <diagonal/>
    </border>
    <border>
      <left/>
      <right/>
      <top/>
      <bottom/>
      <diagonal/>
    </border>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style="medium">
        <color theme="0"/>
      </left>
      <right style="medium">
        <color theme="0"/>
      </right>
      <top/>
      <bottom/>
      <diagonal/>
    </border>
    <border>
      <left style="medium">
        <color theme="0"/>
      </left>
      <right/>
      <top style="medium">
        <color theme="0"/>
      </top>
      <bottom style="medium">
        <color theme="0"/>
      </bottom>
      <diagonal/>
    </border>
    <border>
      <left style="medium">
        <color theme="0"/>
      </left>
      <right style="medium">
        <color theme="0"/>
      </right>
      <top style="thin">
        <color theme="0"/>
      </top>
      <bottom style="medium">
        <color theme="0"/>
      </bottom>
      <diagonal/>
    </border>
    <border>
      <left style="medium">
        <color theme="0"/>
      </left>
      <right style="medium">
        <color theme="0"/>
      </right>
      <top style="medium">
        <color theme="0"/>
      </top>
      <bottom style="thin">
        <color theme="0"/>
      </bottom>
      <diagonal/>
    </border>
    <border>
      <left style="medium">
        <color theme="0"/>
      </left>
      <right/>
      <top/>
      <bottom/>
      <diagonal/>
    </border>
    <border>
      <left style="thin">
        <color theme="0"/>
      </left>
      <right style="thin">
        <color theme="0"/>
      </right>
      <top style="thin">
        <color theme="0"/>
      </top>
      <bottom style="thin">
        <color theme="0"/>
      </bottom>
      <diagonal/>
    </border>
    <border>
      <left/>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top/>
      <bottom style="medium">
        <color theme="0"/>
      </bottom>
      <diagonal/>
    </border>
    <border>
      <left style="thin">
        <color rgb="FFF3F3F3"/>
      </left>
      <right/>
      <top style="thin">
        <color rgb="FFF3F3F3"/>
      </top>
      <bottom style="thin">
        <color rgb="FFF3F3F3"/>
      </bottom>
      <diagonal/>
    </border>
    <border>
      <left/>
      <right/>
      <top style="thin">
        <color rgb="FFF3F3F3"/>
      </top>
      <bottom style="thin">
        <color rgb="FFF3F3F3"/>
      </bottom>
      <diagonal/>
    </border>
    <border>
      <left/>
      <right/>
      <top/>
      <bottom/>
      <diagonal/>
    </border>
    <border>
      <left/>
      <right/>
      <top/>
      <bottom/>
      <diagonal/>
    </border>
    <border>
      <left style="thin">
        <color rgb="FFF3F3F3"/>
      </left>
      <right/>
      <top style="thin">
        <color rgb="FFF3F3F3"/>
      </top>
      <bottom/>
      <diagonal/>
    </border>
    <border>
      <left style="thick">
        <color rgb="FFF3F3F3"/>
      </left>
      <right/>
      <top style="thick">
        <color rgb="FFF3F3F3"/>
      </top>
      <bottom style="thin">
        <color rgb="FFF3F3F3"/>
      </bottom>
      <diagonal/>
    </border>
    <border>
      <left/>
      <right/>
      <top style="thick">
        <color rgb="FFF3F3F3"/>
      </top>
      <bottom style="thin">
        <color rgb="FFF3F3F3"/>
      </bottom>
      <diagonal/>
    </border>
    <border>
      <left/>
      <right style="thick">
        <color rgb="FFF3F3F3"/>
      </right>
      <top style="thick">
        <color rgb="FFF3F3F3"/>
      </top>
      <bottom style="thin">
        <color rgb="FFF3F3F3"/>
      </bottom>
      <diagonal/>
    </border>
    <border>
      <left style="thick">
        <color rgb="FFF3F3F3"/>
      </left>
      <right style="thin">
        <color rgb="FFF3F3F3"/>
      </right>
      <top/>
      <bottom style="thin">
        <color rgb="FFF3F3F3"/>
      </bottom>
      <diagonal/>
    </border>
    <border>
      <left/>
      <right style="thin">
        <color rgb="FFF3F3F3"/>
      </right>
      <top/>
      <bottom style="thin">
        <color rgb="FFF3F3F3"/>
      </bottom>
      <diagonal/>
    </border>
    <border>
      <left/>
      <right style="thick">
        <color rgb="FFF3F3F3"/>
      </right>
      <top/>
      <bottom style="thin">
        <color rgb="FFF3F3F3"/>
      </bottom>
      <diagonal/>
    </border>
    <border>
      <left style="thin">
        <color rgb="FFF3F3F3"/>
      </left>
      <right/>
      <top/>
      <bottom style="thin">
        <color rgb="FFF3F3F3"/>
      </bottom>
      <diagonal/>
    </border>
    <border>
      <left style="thick">
        <color rgb="FFF3F3F3"/>
      </left>
      <right style="thin">
        <color rgb="FFF3F3F3"/>
      </right>
      <top style="thin">
        <color rgb="FFF3F3F3"/>
      </top>
      <bottom style="thin">
        <color rgb="FFF3F3F3"/>
      </bottom>
      <diagonal/>
    </border>
    <border>
      <left style="thin">
        <color rgb="FFF3F3F3"/>
      </left>
      <right style="thin">
        <color rgb="FFF3F3F3"/>
      </right>
      <top style="thin">
        <color rgb="FFF3F3F3"/>
      </top>
      <bottom style="thin">
        <color rgb="FFF3F3F3"/>
      </bottom>
      <diagonal/>
    </border>
    <border>
      <left style="thin">
        <color rgb="FFF3F3F3"/>
      </left>
      <right style="thick">
        <color rgb="FFF3F3F3"/>
      </right>
      <top style="thin">
        <color rgb="FFF3F3F3"/>
      </top>
      <bottom style="thin">
        <color rgb="FFF3F3F3"/>
      </bottom>
      <diagonal/>
    </border>
    <border>
      <left style="thin">
        <color rgb="FFF3F3F3"/>
      </left>
      <right style="thick">
        <color rgb="FFF3F3F3"/>
      </right>
      <top/>
      <bottom style="thin">
        <color rgb="FFF3F3F3"/>
      </bottom>
      <diagonal/>
    </border>
    <border>
      <left style="thick">
        <color rgb="FFF3F3F3"/>
      </left>
      <right style="thin">
        <color rgb="FFF3F3F3"/>
      </right>
      <top style="thin">
        <color rgb="FFF3F3F3"/>
      </top>
      <bottom style="thick">
        <color rgb="FFF3F3F3"/>
      </bottom>
      <diagonal/>
    </border>
    <border>
      <left style="thin">
        <color rgb="FFF3F3F3"/>
      </left>
      <right style="thin">
        <color rgb="FFF3F3F3"/>
      </right>
      <top style="thin">
        <color rgb="FFF3F3F3"/>
      </top>
      <bottom style="thick">
        <color rgb="FFF3F3F3"/>
      </bottom>
      <diagonal/>
    </border>
    <border>
      <left style="thin">
        <color rgb="FFF3F3F3"/>
      </left>
      <right style="thick">
        <color rgb="FFF3F3F3"/>
      </right>
      <top style="thin">
        <color rgb="FFF3F3F3"/>
      </top>
      <bottom style="thick">
        <color rgb="FFF3F3F3"/>
      </bottom>
      <diagonal/>
    </border>
    <border>
      <left style="thin">
        <color rgb="FFF3F3F3"/>
      </left>
      <right style="thick">
        <color rgb="FFF3F3F3"/>
      </right>
      <top/>
      <bottom style="thick">
        <color rgb="FFF3F3F3"/>
      </bottom>
      <diagonal/>
    </border>
    <border>
      <left style="thick">
        <color rgb="FFF3F3F3"/>
      </left>
      <right style="thin">
        <color rgb="FFF3F3F3"/>
      </right>
      <top/>
      <bottom style="thick">
        <color rgb="FFF3F3F3"/>
      </bottom>
      <diagonal/>
    </border>
    <border>
      <left/>
      <right style="thin">
        <color rgb="FFF3F3F3"/>
      </right>
      <top/>
      <bottom style="thick">
        <color rgb="FFF3F3F3"/>
      </bottom>
      <diagonal/>
    </border>
    <border>
      <left/>
      <right style="thick">
        <color rgb="FFF3F3F3"/>
      </right>
      <top/>
      <bottom style="thick">
        <color rgb="FFF3F3F3"/>
      </bottom>
      <diagonal/>
    </border>
    <border>
      <left/>
      <right/>
      <top/>
      <bottom/>
      <diagonal/>
    </border>
    <border>
      <left style="thin">
        <color theme="0"/>
      </left>
      <right style="thin">
        <color theme="0"/>
      </right>
      <top/>
      <bottom style="thin">
        <color theme="0"/>
      </bottom>
      <diagonal/>
    </border>
    <border>
      <left/>
      <right/>
      <top/>
      <bottom style="medium">
        <color theme="0"/>
      </bottom>
      <diagonal/>
    </border>
    <border>
      <left style="thin">
        <color theme="0"/>
      </left>
      <right style="thin">
        <color theme="0"/>
      </right>
      <top style="thin">
        <color theme="0"/>
      </top>
      <bottom style="thin">
        <color theme="1"/>
      </bottom>
      <diagonal/>
    </border>
    <border>
      <left style="medium">
        <color rgb="FFFFFFFF"/>
      </left>
      <right style="medium">
        <color rgb="FFFFFFFF"/>
      </right>
      <top style="medium">
        <color rgb="FFFFFFFF"/>
      </top>
      <bottom style="medium">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theme="0"/>
      </left>
      <right style="thin">
        <color theme="0"/>
      </right>
      <top style="thin">
        <color theme="0"/>
      </top>
      <bottom style="medium">
        <color theme="0"/>
      </bottom>
      <diagonal/>
    </border>
    <border>
      <left style="medium">
        <color rgb="FFFFFFFF"/>
      </left>
      <right style="medium">
        <color rgb="FFFFFFFF"/>
      </right>
      <top style="medium">
        <color rgb="FFCCCCCC"/>
      </top>
      <bottom style="medium">
        <color rgb="FFFFFFFF"/>
      </bottom>
      <diagonal/>
    </border>
    <border>
      <left style="thin">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theme="0"/>
      </top>
      <bottom/>
      <diagonal/>
    </border>
    <border>
      <left/>
      <right/>
      <top/>
      <bottom style="thin">
        <color theme="0"/>
      </bottom>
      <diagonal/>
    </border>
    <border>
      <left style="medium">
        <color rgb="FFFFFFFF"/>
      </left>
      <right style="medium">
        <color rgb="FFFFFFFF"/>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theme="0"/>
      </left>
      <right style="thin">
        <color theme="0"/>
      </right>
      <top/>
      <bottom/>
      <diagonal/>
    </border>
    <border>
      <left style="medium">
        <color theme="1"/>
      </left>
      <right/>
      <top style="medium">
        <color theme="1"/>
      </top>
      <bottom style="medium">
        <color rgb="FF000000"/>
      </bottom>
      <diagonal/>
    </border>
    <border>
      <left/>
      <right/>
      <top style="medium">
        <color theme="1"/>
      </top>
      <bottom style="medium">
        <color rgb="FF000000"/>
      </bottom>
      <diagonal/>
    </border>
    <border>
      <left/>
      <right style="medium">
        <color theme="1"/>
      </right>
      <top style="medium">
        <color theme="1"/>
      </top>
      <bottom style="medium">
        <color rgb="FF000000"/>
      </bottom>
      <diagonal/>
    </border>
    <border>
      <left style="medium">
        <color theme="1"/>
      </left>
      <right/>
      <top/>
      <bottom style="medium">
        <color rgb="FF000000"/>
      </bottom>
      <diagonal/>
    </border>
    <border>
      <left/>
      <right/>
      <top/>
      <bottom style="medium">
        <color rgb="FF000000"/>
      </bottom>
      <diagonal/>
    </border>
    <border>
      <left/>
      <right style="medium">
        <color theme="1"/>
      </right>
      <top/>
      <bottom style="medium">
        <color rgb="FF000000"/>
      </bottom>
      <diagonal/>
    </border>
    <border>
      <left style="medium">
        <color theme="1"/>
      </left>
      <right/>
      <top/>
      <bottom style="medium">
        <color rgb="FF000000"/>
      </bottom>
      <diagonal/>
    </border>
    <border>
      <left/>
      <right/>
      <top style="medium">
        <color rgb="FF000000"/>
      </top>
      <bottom style="medium">
        <color rgb="FF000000"/>
      </bottom>
      <diagonal/>
    </border>
    <border>
      <left/>
      <right style="medium">
        <color theme="1"/>
      </right>
      <top style="medium">
        <color rgb="FF000000"/>
      </top>
      <bottom style="medium">
        <color rgb="FF000000"/>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
        <color rgb="FF000000"/>
      </bottom>
      <diagonal/>
    </border>
    <border>
      <left/>
      <right style="medium">
        <color theme="1"/>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style="medium">
        <color rgb="FF000000"/>
      </top>
      <bottom style="medium">
        <color rgb="FF000000"/>
      </bottom>
      <diagonal/>
    </border>
    <border>
      <left/>
      <right/>
      <top style="medium">
        <color rgb="FF000000"/>
      </top>
      <bottom style="medium">
        <color rgb="FF000000"/>
      </bottom>
      <diagonal/>
    </border>
    <border>
      <left/>
      <right style="medium">
        <color theme="1"/>
      </right>
      <top style="medium">
        <color rgb="FF000000"/>
      </top>
      <bottom style="medium">
        <color rgb="FF000000"/>
      </bottom>
      <diagonal/>
    </border>
    <border>
      <left style="medium">
        <color theme="1"/>
      </left>
      <right/>
      <top style="medium">
        <color rgb="FF000000"/>
      </top>
      <bottom style="medium">
        <color rgb="FF000000"/>
      </bottom>
      <diagonal/>
    </border>
    <border>
      <left style="medium">
        <color theme="1"/>
      </left>
      <right/>
      <top style="medium">
        <color rgb="FF000000"/>
      </top>
      <bottom style="thin">
        <color rgb="FF000000"/>
      </bottom>
      <diagonal/>
    </border>
    <border>
      <left/>
      <right/>
      <top style="medium">
        <color rgb="FF000000"/>
      </top>
      <bottom style="thin">
        <color rgb="FF000000"/>
      </bottom>
      <diagonal/>
    </border>
    <border>
      <left/>
      <right style="medium">
        <color theme="1"/>
      </right>
      <top style="medium">
        <color rgb="FF000000"/>
      </top>
      <bottom style="thin">
        <color rgb="FF000000"/>
      </bottom>
      <diagonal/>
    </border>
    <border>
      <left style="medium">
        <color theme="1"/>
      </left>
      <right/>
      <top style="thin">
        <color rgb="FF000000"/>
      </top>
      <bottom style="thin">
        <color rgb="FF000000"/>
      </bottom>
      <diagonal/>
    </border>
    <border>
      <left/>
      <right/>
      <top style="thin">
        <color rgb="FF000000"/>
      </top>
      <bottom style="thin">
        <color rgb="FF000000"/>
      </bottom>
      <diagonal/>
    </border>
    <border>
      <left/>
      <right style="medium">
        <color theme="1"/>
      </right>
      <top style="thin">
        <color rgb="FF000000"/>
      </top>
      <bottom style="thin">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right/>
      <top style="medium">
        <color theme="0"/>
      </top>
      <bottom style="medium">
        <color rgb="FF000000"/>
      </bottom>
      <diagonal/>
    </border>
    <border>
      <left/>
      <right style="medium">
        <color theme="0"/>
      </right>
      <top/>
      <bottom style="medium">
        <color theme="0"/>
      </bottom>
      <diagonal/>
    </border>
    <border>
      <left style="medium">
        <color rgb="FF000000"/>
      </left>
      <right/>
      <top/>
      <bottom/>
      <diagonal/>
    </border>
    <border>
      <left/>
      <right style="medium">
        <color rgb="FF000000"/>
      </right>
      <top/>
      <bottom/>
      <diagonal/>
    </border>
    <border>
      <left/>
      <right/>
      <top/>
      <bottom/>
      <diagonal/>
    </border>
    <border>
      <left/>
      <right/>
      <top style="thin">
        <color rgb="FF000000"/>
      </top>
      <bottom style="thin">
        <color rgb="FF000000"/>
      </bottom>
      <diagonal/>
    </border>
    <border>
      <left style="medium">
        <color rgb="FF000000"/>
      </left>
      <right/>
      <top/>
      <bottom/>
      <diagonal/>
    </border>
    <border>
      <left/>
      <right/>
      <top/>
      <bottom style="thin">
        <color rgb="FF000000"/>
      </bottom>
      <diagonal/>
    </border>
    <border>
      <left/>
      <right/>
      <top style="thin">
        <color rgb="FF000000"/>
      </top>
      <bottom style="medium">
        <color rgb="FF000000"/>
      </bottom>
      <diagonal/>
    </border>
    <border>
      <left/>
      <right/>
      <top/>
      <bottom style="medium">
        <color theme="0"/>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rgb="FF000000"/>
      </bottom>
      <diagonal/>
    </border>
    <border>
      <left/>
      <right/>
      <top style="thin">
        <color theme="1"/>
      </top>
      <bottom/>
      <diagonal/>
    </border>
    <border>
      <left/>
      <right/>
      <top/>
      <bottom style="thin">
        <color rgb="FF000000"/>
      </bottom>
      <diagonal/>
    </border>
    <border>
      <left/>
      <right/>
      <top/>
      <bottom style="thin">
        <color theme="1"/>
      </bottom>
      <diagonal/>
    </border>
    <border>
      <left/>
      <right/>
      <top style="thin">
        <color rgb="FF000000"/>
      </top>
      <bottom style="thin">
        <color theme="1"/>
      </bottom>
      <diagonal/>
    </border>
    <border>
      <left/>
      <right/>
      <top/>
      <bottom style="thin">
        <color theme="1"/>
      </bottom>
      <diagonal/>
    </border>
    <border>
      <left/>
      <right/>
      <top style="medium">
        <color rgb="FF000000"/>
      </top>
      <bottom style="thin">
        <color theme="1"/>
      </bottom>
      <diagonal/>
    </border>
    <border>
      <left/>
      <right/>
      <top style="medium">
        <color rgb="FF000000"/>
      </top>
      <bottom style="thin">
        <color theme="1"/>
      </bottom>
      <diagonal/>
    </border>
    <border>
      <left/>
      <right/>
      <top style="thin">
        <color theme="1"/>
      </top>
      <bottom style="thin">
        <color theme="1"/>
      </bottom>
      <diagonal/>
    </border>
    <border>
      <left/>
      <right/>
      <top style="thin">
        <color theme="1"/>
      </top>
      <bottom style="thin">
        <color theme="1"/>
      </bottom>
      <diagonal/>
    </border>
    <border>
      <left style="medium">
        <color theme="0"/>
      </left>
      <right/>
      <top style="thin">
        <color theme="1"/>
      </top>
      <bottom style="thin">
        <color theme="1"/>
      </bottom>
      <diagonal/>
    </border>
    <border>
      <left/>
      <right/>
      <top style="thin">
        <color rgb="FF000000"/>
      </top>
      <bottom/>
      <diagonal/>
    </border>
    <border>
      <left/>
      <right style="medium">
        <color theme="0"/>
      </right>
      <top style="medium">
        <color theme="1"/>
      </top>
      <bottom style="medium">
        <color theme="1"/>
      </bottom>
      <diagonal/>
    </border>
    <border>
      <left/>
      <right/>
      <top style="medium">
        <color rgb="FF000000"/>
      </top>
      <bottom/>
      <diagonal/>
    </border>
    <border>
      <left/>
      <right/>
      <top/>
      <bottom style="thin">
        <color theme="1"/>
      </bottom>
      <diagonal/>
    </border>
    <border>
      <left/>
      <right/>
      <top/>
      <bottom/>
      <diagonal/>
    </border>
    <border>
      <left/>
      <right/>
      <top style="thin">
        <color rgb="FF000000"/>
      </top>
      <bottom/>
      <diagonal/>
    </border>
    <border>
      <left/>
      <right/>
      <top/>
      <bottom style="medium">
        <color theme="1"/>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style="medium">
        <color theme="1"/>
      </left>
      <right style="medium">
        <color rgb="FF000000"/>
      </right>
      <top style="medium">
        <color theme="1"/>
      </top>
      <bottom/>
      <diagonal/>
    </border>
    <border>
      <left style="medium">
        <color rgb="FF000000"/>
      </left>
      <right/>
      <top style="medium">
        <color theme="1"/>
      </top>
      <bottom style="medium">
        <color rgb="FF000000"/>
      </bottom>
      <diagonal/>
    </border>
    <border>
      <left style="medium">
        <color rgb="FF000000"/>
      </left>
      <right style="medium">
        <color theme="1"/>
      </right>
      <top style="medium">
        <color theme="1"/>
      </top>
      <bottom style="medium">
        <color rgb="FF000000"/>
      </bottom>
      <diagonal/>
    </border>
    <border>
      <left style="medium">
        <color rgb="FF000000"/>
      </left>
      <right style="medium">
        <color rgb="FF000000"/>
      </right>
      <top style="medium">
        <color theme="1"/>
      </top>
      <bottom style="medium">
        <color rgb="FF000000"/>
      </bottom>
      <diagonal/>
    </border>
    <border>
      <left style="medium">
        <color theme="1"/>
      </left>
      <right style="medium">
        <color rgb="FF000000"/>
      </right>
      <top/>
      <bottom style="medium">
        <color theme="1"/>
      </bottom>
      <diagonal/>
    </border>
    <border>
      <left style="medium">
        <color rgb="FF000000"/>
      </left>
      <right/>
      <top/>
      <bottom style="medium">
        <color theme="1"/>
      </bottom>
      <diagonal/>
    </border>
    <border>
      <left style="medium">
        <color rgb="FF000000"/>
      </left>
      <right style="medium">
        <color theme="1"/>
      </right>
      <top style="medium">
        <color rgb="FF000000"/>
      </top>
      <bottom style="medium">
        <color theme="1"/>
      </bottom>
      <diagonal/>
    </border>
    <border>
      <left style="medium">
        <color rgb="FF000000"/>
      </left>
      <right/>
      <top/>
      <bottom style="medium">
        <color theme="1"/>
      </bottom>
      <diagonal/>
    </border>
    <border>
      <left style="thin">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medium">
        <color theme="2"/>
      </left>
      <right style="medium">
        <color theme="2"/>
      </right>
      <top/>
      <bottom style="medium">
        <color theme="0"/>
      </bottom>
      <diagonal/>
    </border>
    <border>
      <left style="medium">
        <color theme="2"/>
      </left>
      <right style="medium">
        <color theme="2"/>
      </right>
      <top style="medium">
        <color theme="0"/>
      </top>
      <bottom style="medium">
        <color theme="0"/>
      </bottom>
      <diagonal/>
    </border>
    <border>
      <left style="medium">
        <color theme="2"/>
      </left>
      <right style="medium">
        <color theme="2"/>
      </right>
      <top style="medium">
        <color theme="0"/>
      </top>
      <bottom style="medium">
        <color theme="2"/>
      </bottom>
      <diagonal/>
    </border>
    <border>
      <left style="medium">
        <color theme="2"/>
      </left>
      <right/>
      <top style="medium">
        <color theme="2"/>
      </top>
      <bottom style="medium">
        <color theme="2"/>
      </bottom>
      <diagonal/>
    </border>
    <border>
      <left/>
      <right/>
      <top style="medium">
        <color theme="2"/>
      </top>
      <bottom style="medium">
        <color theme="2"/>
      </bottom>
      <diagonal/>
    </border>
    <border>
      <left/>
      <right style="medium">
        <color theme="2"/>
      </right>
      <top style="medium">
        <color theme="2"/>
      </top>
      <bottom style="medium">
        <color theme="2"/>
      </bottom>
      <diagonal/>
    </border>
    <border>
      <left style="medium">
        <color theme="2"/>
      </left>
      <right style="medium">
        <color theme="2"/>
      </right>
      <top style="medium">
        <color theme="2"/>
      </top>
      <bottom style="medium">
        <color theme="2"/>
      </bottom>
      <diagonal/>
    </border>
    <border>
      <left style="medium">
        <color theme="2"/>
      </left>
      <right/>
      <top style="medium">
        <color theme="2"/>
      </top>
      <bottom/>
      <diagonal/>
    </border>
    <border>
      <left style="thin">
        <color theme="2"/>
      </left>
      <right style="medium">
        <color theme="2"/>
      </right>
      <top style="medium">
        <color theme="2"/>
      </top>
      <bottom style="medium">
        <color theme="2"/>
      </bottom>
      <diagonal/>
    </border>
    <border>
      <left style="medium">
        <color theme="2"/>
      </left>
      <right/>
      <top/>
      <bottom style="medium">
        <color theme="2"/>
      </bottom>
      <diagonal/>
    </border>
    <border>
      <left style="thin">
        <color theme="2"/>
      </left>
      <right style="medium">
        <color theme="2"/>
      </right>
      <top/>
      <bottom style="medium">
        <color theme="2"/>
      </bottom>
      <diagonal/>
    </border>
    <border>
      <left style="medium">
        <color theme="2"/>
      </left>
      <right style="thin">
        <color theme="2"/>
      </right>
      <top style="medium">
        <color theme="2"/>
      </top>
      <bottom style="medium">
        <color theme="2"/>
      </bottom>
      <diagonal/>
    </border>
    <border>
      <left/>
      <right style="medium">
        <color theme="2"/>
      </right>
      <top/>
      <bottom style="medium">
        <color theme="0"/>
      </bottom>
      <diagonal/>
    </border>
    <border>
      <left/>
      <right/>
      <top style="medium">
        <color theme="2"/>
      </top>
      <bottom/>
      <diagonal/>
    </border>
    <border>
      <left/>
      <right style="medium">
        <color theme="2"/>
      </right>
      <top style="medium">
        <color theme="2"/>
      </top>
      <bottom/>
      <diagonal/>
    </border>
    <border>
      <left style="medium">
        <color theme="2"/>
      </left>
      <right/>
      <top/>
      <bottom/>
      <diagonal/>
    </border>
    <border>
      <left/>
      <right style="medium">
        <color theme="2"/>
      </right>
      <top/>
      <bottom/>
      <diagonal/>
    </border>
    <border>
      <left/>
      <right/>
      <top/>
      <bottom style="medium">
        <color theme="2"/>
      </bottom>
      <diagonal/>
    </border>
    <border>
      <left/>
      <right style="medium">
        <color theme="2"/>
      </right>
      <top/>
      <bottom style="medium">
        <color theme="2"/>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theme="0"/>
      </top>
      <bottom style="medium">
        <color rgb="FF000000"/>
      </bottom>
      <diagonal/>
    </border>
    <border>
      <left/>
      <right style="medium">
        <color indexed="64"/>
      </right>
      <top style="medium">
        <color theme="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top style="medium">
        <color indexed="64"/>
      </top>
      <bottom style="medium">
        <color indexed="64"/>
      </bottom>
      <diagonal/>
    </border>
    <border>
      <left/>
      <right style="medium">
        <color theme="1"/>
      </right>
      <top style="medium">
        <color indexed="64"/>
      </top>
      <bottom style="medium">
        <color indexed="64"/>
      </bottom>
      <diagonal/>
    </border>
    <border>
      <left style="medium">
        <color theme="0"/>
      </left>
      <right/>
      <top style="medium">
        <color theme="0"/>
      </top>
      <bottom/>
      <diagonal/>
    </border>
    <border>
      <left/>
      <right/>
      <top style="medium">
        <color theme="0"/>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theme="0"/>
      </right>
      <top style="medium">
        <color theme="0"/>
      </top>
      <bottom/>
      <diagonal/>
    </border>
    <border>
      <left style="medium">
        <color theme="0"/>
      </left>
      <right style="medium">
        <color theme="2"/>
      </right>
      <top style="medium">
        <color theme="2"/>
      </top>
      <bottom style="medium">
        <color theme="2"/>
      </bottom>
      <diagonal/>
    </border>
    <border>
      <left/>
      <right style="medium">
        <color theme="0"/>
      </right>
      <top style="medium">
        <color theme="2"/>
      </top>
      <bottom style="medium">
        <color theme="2"/>
      </bottom>
      <diagonal/>
    </border>
    <border>
      <left/>
      <right style="thin">
        <color theme="0"/>
      </right>
      <top/>
      <bottom style="medium">
        <color theme="0"/>
      </bottom>
      <diagonal/>
    </border>
    <border>
      <left/>
      <right style="thin">
        <color theme="0"/>
      </right>
      <top style="medium">
        <color theme="0"/>
      </top>
      <bottom style="medium">
        <color theme="0"/>
      </bottom>
      <diagonal/>
    </border>
    <border>
      <left style="medium">
        <color theme="0"/>
      </left>
      <right style="medium">
        <color rgb="FFF3F3F3"/>
      </right>
      <top style="medium">
        <color theme="0"/>
      </top>
      <bottom style="medium">
        <color theme="0"/>
      </bottom>
      <diagonal/>
    </border>
    <border>
      <left style="medium">
        <color rgb="FFF3F3F3"/>
      </left>
      <right style="medium">
        <color rgb="FFF3F3F3"/>
      </right>
      <top style="medium">
        <color theme="0"/>
      </top>
      <bottom style="medium">
        <color theme="0"/>
      </bottom>
      <diagonal/>
    </border>
    <border>
      <left style="medium">
        <color rgb="FFF3F3F3"/>
      </left>
      <right/>
      <top style="medium">
        <color theme="0"/>
      </top>
      <bottom style="medium">
        <color theme="0"/>
      </bottom>
      <diagonal/>
    </border>
    <border>
      <left style="medium">
        <color theme="2"/>
      </left>
      <right style="medium">
        <color theme="0"/>
      </right>
      <top style="medium">
        <color theme="0"/>
      </top>
      <bottom style="medium">
        <color theme="0"/>
      </bottom>
      <diagonal/>
    </border>
    <border>
      <left style="medium">
        <color rgb="FFF3F3F3"/>
      </left>
      <right style="medium">
        <color rgb="FFF3F3F3"/>
      </right>
      <top/>
      <bottom/>
      <diagonal/>
    </border>
    <border>
      <left/>
      <right style="medium">
        <color rgb="FFF3F3F3"/>
      </right>
      <top/>
      <bottom/>
      <diagonal/>
    </border>
    <border>
      <left/>
      <right style="medium">
        <color theme="2"/>
      </right>
      <top style="medium">
        <color theme="0"/>
      </top>
      <bottom style="medium">
        <color theme="0"/>
      </bottom>
      <diagonal/>
    </border>
    <border>
      <left/>
      <right style="medium">
        <color theme="0"/>
      </right>
      <top/>
      <bottom/>
      <diagonal/>
    </border>
    <border>
      <left style="medium">
        <color theme="0"/>
      </left>
      <right style="thin">
        <color rgb="FFF3F3F3"/>
      </right>
      <top/>
      <bottom style="thin">
        <color rgb="FFF3F3F3"/>
      </bottom>
      <diagonal/>
    </border>
    <border>
      <left/>
      <right style="medium">
        <color theme="0"/>
      </right>
      <top/>
      <bottom style="thin">
        <color rgb="FFF3F3F3"/>
      </bottom>
      <diagonal/>
    </border>
    <border>
      <left style="medium">
        <color theme="0"/>
      </left>
      <right style="thin">
        <color rgb="FFF3F3F3"/>
      </right>
      <top/>
      <bottom style="medium">
        <color theme="0"/>
      </bottom>
      <diagonal/>
    </border>
    <border>
      <left style="medium">
        <color theme="0"/>
      </left>
      <right style="medium">
        <color theme="0"/>
      </right>
      <top style="medium">
        <color theme="0"/>
      </top>
      <bottom/>
      <diagonal/>
    </border>
    <border>
      <left style="medium">
        <color theme="2"/>
      </left>
      <right style="medium">
        <color theme="2"/>
      </right>
      <top style="medium">
        <color theme="0"/>
      </top>
      <bottom/>
      <diagonal/>
    </border>
    <border>
      <left style="medium">
        <color rgb="FFFFFFFF"/>
      </left>
      <right style="medium">
        <color rgb="FFFFFFFF"/>
      </right>
      <top style="medium">
        <color rgb="FFFFFFFF"/>
      </top>
      <bottom/>
      <diagonal/>
    </border>
    <border>
      <left/>
      <right/>
      <top/>
      <bottom style="thin">
        <color rgb="FFF3F3F3"/>
      </bottom>
      <diagonal/>
    </border>
    <border>
      <left/>
      <right/>
      <top/>
      <bottom style="thin">
        <color indexed="64"/>
      </bottom>
      <diagonal/>
    </border>
    <border>
      <left/>
      <right style="medium">
        <color theme="2"/>
      </right>
      <top/>
      <bottom style="thin">
        <color indexed="64"/>
      </bottom>
      <diagonal/>
    </border>
    <border>
      <left style="medium">
        <color rgb="FF000000"/>
      </left>
      <right/>
      <top/>
      <bottom style="medium">
        <color indexed="64"/>
      </bottom>
      <diagonal/>
    </border>
    <border>
      <left/>
      <right/>
      <top/>
      <bottom style="thick">
        <color rgb="FFF3F3F3"/>
      </bottom>
      <diagonal/>
    </border>
    <border>
      <left style="medium">
        <color rgb="FFF2F2F2"/>
      </left>
      <right/>
      <top/>
      <bottom/>
      <diagonal/>
    </border>
  </borders>
  <cellStyleXfs count="1">
    <xf numFmtId="0" fontId="0" fillId="0" borderId="0"/>
  </cellStyleXfs>
  <cellXfs count="1095">
    <xf numFmtId="0" fontId="0" fillId="0" borderId="0" xfId="0"/>
    <xf numFmtId="0" fontId="8" fillId="3" borderId="4" xfId="0" applyFont="1" applyFill="1" applyBorder="1"/>
    <xf numFmtId="0" fontId="9" fillId="3" borderId="4" xfId="0" applyFont="1" applyFill="1" applyBorder="1"/>
    <xf numFmtId="0" fontId="12" fillId="3" borderId="4" xfId="0" applyFont="1" applyFill="1" applyBorder="1"/>
    <xf numFmtId="0" fontId="13" fillId="3" borderId="4" xfId="0" applyFont="1" applyFill="1" applyBorder="1"/>
    <xf numFmtId="49" fontId="12" fillId="3" borderId="4" xfId="0" applyNumberFormat="1" applyFont="1" applyFill="1" applyBorder="1" applyAlignment="1">
      <alignment vertical="center" wrapText="1"/>
    </xf>
    <xf numFmtId="0" fontId="12" fillId="3" borderId="4" xfId="0" applyFont="1" applyFill="1" applyBorder="1" applyAlignment="1">
      <alignment vertical="center" wrapText="1"/>
    </xf>
    <xf numFmtId="0" fontId="12" fillId="3" borderId="4" xfId="0" applyFont="1" applyFill="1" applyBorder="1" applyAlignment="1">
      <alignment vertical="center"/>
    </xf>
    <xf numFmtId="0" fontId="15" fillId="7" borderId="9" xfId="0" applyFont="1" applyFill="1" applyBorder="1" applyAlignment="1">
      <alignment horizontal="center" vertical="center"/>
    </xf>
    <xf numFmtId="0" fontId="15" fillId="7" borderId="9"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1" fillId="5" borderId="5" xfId="0" applyFont="1" applyFill="1" applyBorder="1" applyAlignment="1">
      <alignment horizontal="left"/>
    </xf>
    <xf numFmtId="0" fontId="11" fillId="6" borderId="5" xfId="0" applyFont="1" applyFill="1" applyBorder="1" applyAlignment="1">
      <alignment horizontal="left"/>
    </xf>
    <xf numFmtId="165" fontId="15" fillId="3" borderId="4" xfId="0" applyNumberFormat="1" applyFont="1" applyFill="1" applyBorder="1" applyAlignment="1">
      <alignment horizontal="center"/>
    </xf>
    <xf numFmtId="0" fontId="10" fillId="3" borderId="4" xfId="0" applyFont="1" applyFill="1" applyBorder="1"/>
    <xf numFmtId="0" fontId="15" fillId="7" borderId="10"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2" fillId="3" borderId="4" xfId="0" applyFont="1" applyFill="1" applyBorder="1" applyAlignment="1">
      <alignment horizontal="center" wrapText="1"/>
    </xf>
    <xf numFmtId="0" fontId="11" fillId="3" borderId="4" xfId="0" applyFont="1" applyFill="1" applyBorder="1" applyAlignment="1">
      <alignment horizontal="center" vertical="center"/>
    </xf>
    <xf numFmtId="165" fontId="11" fillId="3" borderId="4" xfId="0" applyNumberFormat="1" applyFont="1" applyFill="1" applyBorder="1" applyAlignment="1">
      <alignment horizontal="center"/>
    </xf>
    <xf numFmtId="1" fontId="11" fillId="3" borderId="4" xfId="0" applyNumberFormat="1" applyFont="1" applyFill="1" applyBorder="1" applyAlignment="1">
      <alignment horizontal="center"/>
    </xf>
    <xf numFmtId="0" fontId="9" fillId="3" borderId="4" xfId="0" applyFont="1" applyFill="1" applyBorder="1" applyAlignment="1">
      <alignment horizontal="left"/>
    </xf>
    <xf numFmtId="0" fontId="15" fillId="3" borderId="4" xfId="0" applyFont="1" applyFill="1" applyBorder="1"/>
    <xf numFmtId="0" fontId="16" fillId="3" borderId="4" xfId="0" applyFont="1" applyFill="1" applyBorder="1" applyAlignment="1">
      <alignment vertical="center" wrapText="1"/>
    </xf>
    <xf numFmtId="0" fontId="15" fillId="3" borderId="4" xfId="0" applyFont="1" applyFill="1" applyBorder="1" applyAlignment="1">
      <alignment vertical="center" wrapText="1"/>
    </xf>
    <xf numFmtId="0" fontId="11" fillId="5" borderId="16" xfId="0" applyFont="1" applyFill="1" applyBorder="1" applyAlignment="1">
      <alignment horizontal="left"/>
    </xf>
    <xf numFmtId="0" fontId="15" fillId="3" borderId="4" xfId="0" applyFont="1" applyFill="1" applyBorder="1" applyAlignment="1">
      <alignment horizontal="center"/>
    </xf>
    <xf numFmtId="0" fontId="11" fillId="6" borderId="16" xfId="0" applyFont="1" applyFill="1" applyBorder="1" applyAlignment="1">
      <alignment horizontal="left"/>
    </xf>
    <xf numFmtId="2" fontId="9" fillId="3" borderId="4" xfId="0" applyNumberFormat="1" applyFont="1" applyFill="1" applyBorder="1" applyAlignment="1">
      <alignment horizontal="center"/>
    </xf>
    <xf numFmtId="0" fontId="9" fillId="3" borderId="4" xfId="0" applyFont="1" applyFill="1" applyBorder="1" applyAlignment="1">
      <alignment horizontal="center"/>
    </xf>
    <xf numFmtId="0" fontId="9" fillId="6" borderId="16" xfId="0" applyFont="1" applyFill="1" applyBorder="1"/>
    <xf numFmtId="0" fontId="11" fillId="5" borderId="12" xfId="0" applyFont="1" applyFill="1" applyBorder="1"/>
    <xf numFmtId="0" fontId="15" fillId="7" borderId="5" xfId="0" applyFont="1" applyFill="1" applyBorder="1" applyAlignment="1">
      <alignment horizontal="center" vertical="center" wrapText="1"/>
    </xf>
    <xf numFmtId="0" fontId="15" fillId="7" borderId="30" xfId="0" applyFont="1" applyFill="1" applyBorder="1"/>
    <xf numFmtId="0" fontId="15" fillId="7" borderId="33" xfId="0" applyFont="1" applyFill="1" applyBorder="1" applyAlignment="1">
      <alignment horizontal="center" vertical="center" wrapText="1"/>
    </xf>
    <xf numFmtId="0" fontId="15" fillId="7" borderId="34"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12" fillId="5" borderId="34" xfId="0" applyFont="1" applyFill="1" applyBorder="1"/>
    <xf numFmtId="0" fontId="11" fillId="3" borderId="21" xfId="0" applyFont="1" applyFill="1" applyBorder="1"/>
    <xf numFmtId="0" fontId="12" fillId="3" borderId="34" xfId="0" applyFont="1" applyFill="1" applyBorder="1" applyAlignment="1">
      <alignment vertical="center"/>
    </xf>
    <xf numFmtId="0" fontId="12" fillId="3" borderId="33" xfId="0" applyFont="1" applyFill="1" applyBorder="1" applyAlignment="1">
      <alignment vertical="center"/>
    </xf>
    <xf numFmtId="0" fontId="9" fillId="3" borderId="36" xfId="0" applyFont="1" applyFill="1" applyBorder="1"/>
    <xf numFmtId="0" fontId="9" fillId="3" borderId="34" xfId="0" applyFont="1" applyFill="1" applyBorder="1"/>
    <xf numFmtId="0" fontId="9" fillId="3" borderId="35" xfId="0" applyFont="1" applyFill="1" applyBorder="1"/>
    <xf numFmtId="0" fontId="9" fillId="3" borderId="33" xfId="0" applyFont="1" applyFill="1" applyBorder="1"/>
    <xf numFmtId="0" fontId="9" fillId="3" borderId="29" xfId="0" applyFont="1" applyFill="1" applyBorder="1"/>
    <xf numFmtId="0" fontId="9" fillId="3" borderId="30" xfId="0" applyFont="1" applyFill="1" applyBorder="1"/>
    <xf numFmtId="0" fontId="9" fillId="3" borderId="31" xfId="0" applyFont="1" applyFill="1" applyBorder="1"/>
    <xf numFmtId="2" fontId="12" fillId="7" borderId="38" xfId="0" applyNumberFormat="1" applyFont="1" applyFill="1" applyBorder="1" applyAlignment="1">
      <alignment horizontal="center" vertical="center"/>
    </xf>
    <xf numFmtId="0" fontId="12" fillId="7" borderId="38" xfId="0" applyFont="1" applyFill="1" applyBorder="1" applyAlignment="1">
      <alignment horizontal="center" vertical="center"/>
    </xf>
    <xf numFmtId="0" fontId="12" fillId="7" borderId="37" xfId="0" applyFont="1" applyFill="1" applyBorder="1" applyAlignment="1">
      <alignment horizontal="center" vertical="center"/>
    </xf>
    <xf numFmtId="0" fontId="9" fillId="7" borderId="38" xfId="0" applyFont="1" applyFill="1" applyBorder="1" applyAlignment="1">
      <alignment horizontal="center" vertical="center"/>
    </xf>
    <xf numFmtId="2" fontId="9" fillId="7" borderId="38" xfId="0" applyNumberFormat="1" applyFont="1" applyFill="1" applyBorder="1" applyAlignment="1">
      <alignment horizontal="center" vertical="center"/>
    </xf>
    <xf numFmtId="166" fontId="9" fillId="7" borderId="39" xfId="0" applyNumberFormat="1" applyFont="1" applyFill="1" applyBorder="1" applyAlignment="1">
      <alignment horizontal="center" vertical="center"/>
    </xf>
    <xf numFmtId="0" fontId="9" fillId="7" borderId="37" xfId="0" applyFont="1" applyFill="1" applyBorder="1" applyAlignment="1">
      <alignment horizontal="center" vertical="center"/>
    </xf>
    <xf numFmtId="0" fontId="11" fillId="3" borderId="44" xfId="0" applyFont="1" applyFill="1" applyBorder="1"/>
    <xf numFmtId="0" fontId="12" fillId="3" borderId="44" xfId="0" applyFont="1" applyFill="1" applyBorder="1" applyAlignment="1">
      <alignment vertical="center"/>
    </xf>
    <xf numFmtId="0" fontId="9" fillId="3" borderId="44" xfId="0" applyFont="1" applyFill="1" applyBorder="1"/>
    <xf numFmtId="0" fontId="9" fillId="8" borderId="4" xfId="0" applyFont="1" applyFill="1" applyBorder="1"/>
    <xf numFmtId="0" fontId="11" fillId="5" borderId="16" xfId="0" applyFont="1" applyFill="1" applyBorder="1"/>
    <xf numFmtId="0" fontId="11" fillId="6" borderId="16" xfId="0" applyFont="1" applyFill="1" applyBorder="1"/>
    <xf numFmtId="0" fontId="11" fillId="6" borderId="16" xfId="0" applyFont="1" applyFill="1" applyBorder="1" applyAlignment="1">
      <alignment wrapText="1"/>
    </xf>
    <xf numFmtId="0" fontId="10" fillId="4" borderId="46" xfId="0" applyFont="1" applyFill="1" applyBorder="1" applyAlignment="1">
      <alignment horizontal="center" vertical="center"/>
    </xf>
    <xf numFmtId="0" fontId="10" fillId="0" borderId="0" xfId="0" applyFont="1" applyAlignment="1">
      <alignment vertical="center"/>
    </xf>
    <xf numFmtId="0" fontId="10" fillId="4" borderId="16" xfId="0" applyFont="1" applyFill="1" applyBorder="1" applyAlignment="1">
      <alignment horizontal="center" vertical="center"/>
    </xf>
    <xf numFmtId="0" fontId="9" fillId="0" borderId="0" xfId="0" applyFont="1"/>
    <xf numFmtId="0" fontId="10" fillId="4" borderId="47" xfId="0" applyFont="1" applyFill="1" applyBorder="1" applyAlignment="1">
      <alignment horizontal="center" vertical="center"/>
    </xf>
    <xf numFmtId="0" fontId="14" fillId="4" borderId="48" xfId="0" applyFont="1" applyFill="1" applyBorder="1" applyAlignment="1">
      <alignment horizontal="center" vertical="center" wrapText="1"/>
    </xf>
    <xf numFmtId="0" fontId="11" fillId="0" borderId="0" xfId="0" applyFont="1"/>
    <xf numFmtId="0" fontId="11" fillId="5" borderId="51" xfId="0" applyFont="1" applyFill="1" applyBorder="1"/>
    <xf numFmtId="0" fontId="9" fillId="5" borderId="16" xfId="0" applyFont="1" applyFill="1" applyBorder="1"/>
    <xf numFmtId="0" fontId="9" fillId="5" borderId="52" xfId="0" applyFont="1" applyFill="1" applyBorder="1" applyAlignment="1">
      <alignment wrapText="1"/>
    </xf>
    <xf numFmtId="0" fontId="11" fillId="6" borderId="12" xfId="0" applyFont="1" applyFill="1" applyBorder="1"/>
    <xf numFmtId="0" fontId="11" fillId="6" borderId="53" xfId="0" applyFont="1" applyFill="1" applyBorder="1"/>
    <xf numFmtId="0" fontId="11" fillId="6" borderId="53" xfId="0" applyFont="1" applyFill="1" applyBorder="1" applyAlignment="1">
      <alignment wrapText="1"/>
    </xf>
    <xf numFmtId="0" fontId="9" fillId="6" borderId="52" xfId="0" applyFont="1" applyFill="1" applyBorder="1" applyAlignment="1">
      <alignment wrapText="1"/>
    </xf>
    <xf numFmtId="0" fontId="11" fillId="8" borderId="12" xfId="0" applyFont="1" applyFill="1" applyBorder="1"/>
    <xf numFmtId="0" fontId="11" fillId="5" borderId="45" xfId="0" applyFont="1" applyFill="1" applyBorder="1" applyAlignment="1">
      <alignment horizontal="left"/>
    </xf>
    <xf numFmtId="0" fontId="11" fillId="0" borderId="54" xfId="0" applyFont="1" applyBorder="1"/>
    <xf numFmtId="0" fontId="11" fillId="5" borderId="55" xfId="0" applyFont="1" applyFill="1" applyBorder="1" applyAlignment="1">
      <alignment horizontal="left"/>
    </xf>
    <xf numFmtId="0" fontId="9" fillId="0" borderId="56" xfId="0" applyFont="1" applyBorder="1"/>
    <xf numFmtId="0" fontId="9" fillId="0" borderId="57" xfId="0" applyFont="1" applyBorder="1"/>
    <xf numFmtId="0" fontId="9" fillId="6" borderId="58" xfId="0" applyFont="1" applyFill="1" applyBorder="1" applyAlignment="1">
      <alignment wrapText="1"/>
    </xf>
    <xf numFmtId="0" fontId="9" fillId="3" borderId="59" xfId="0" applyFont="1" applyFill="1" applyBorder="1" applyAlignment="1">
      <alignment wrapText="1"/>
    </xf>
    <xf numFmtId="0" fontId="11" fillId="0" borderId="60" xfId="0" applyFont="1" applyBorder="1" applyAlignment="1">
      <alignment horizontal="left"/>
    </xf>
    <xf numFmtId="0" fontId="11" fillId="0" borderId="0" xfId="0" applyFont="1" applyAlignment="1">
      <alignment horizontal="left"/>
    </xf>
    <xf numFmtId="0" fontId="18" fillId="0" borderId="0" xfId="0" applyFont="1"/>
    <xf numFmtId="0" fontId="19" fillId="0" borderId="0" xfId="0" applyFont="1"/>
    <xf numFmtId="0" fontId="20" fillId="10" borderId="4" xfId="0" applyFont="1" applyFill="1" applyBorder="1" applyAlignment="1">
      <alignment vertical="center"/>
    </xf>
    <xf numFmtId="0" fontId="21" fillId="10" borderId="4" xfId="0" applyFont="1" applyFill="1" applyBorder="1"/>
    <xf numFmtId="0" fontId="23" fillId="10" borderId="4" xfId="0" applyFont="1" applyFill="1" applyBorder="1" applyAlignment="1">
      <alignment horizontal="left" vertical="center"/>
    </xf>
    <xf numFmtId="0" fontId="15" fillId="3" borderId="67" xfId="0" applyFont="1" applyFill="1" applyBorder="1"/>
    <xf numFmtId="0" fontId="15" fillId="3" borderId="68" xfId="0" applyFont="1" applyFill="1" applyBorder="1" applyAlignment="1">
      <alignment horizontal="center"/>
    </xf>
    <xf numFmtId="0" fontId="15" fillId="3" borderId="69" xfId="0" applyFont="1" applyFill="1" applyBorder="1" applyAlignment="1">
      <alignment horizontal="center"/>
    </xf>
    <xf numFmtId="0" fontId="9" fillId="3" borderId="70" xfId="0" applyFont="1" applyFill="1" applyBorder="1" applyAlignment="1">
      <alignment horizontal="left"/>
    </xf>
    <xf numFmtId="165" fontId="9" fillId="3" borderId="4" xfId="0" applyNumberFormat="1" applyFont="1" applyFill="1" applyBorder="1" applyAlignment="1">
      <alignment horizontal="center"/>
    </xf>
    <xf numFmtId="0" fontId="9" fillId="3" borderId="71" xfId="0" applyFont="1" applyFill="1" applyBorder="1" applyAlignment="1">
      <alignment horizontal="center"/>
    </xf>
    <xf numFmtId="0" fontId="24" fillId="3" borderId="70" xfId="0" applyFont="1" applyFill="1" applyBorder="1"/>
    <xf numFmtId="0" fontId="9" fillId="3" borderId="72" xfId="0" applyFont="1" applyFill="1" applyBorder="1" applyAlignment="1">
      <alignment horizontal="left"/>
    </xf>
    <xf numFmtId="165" fontId="9" fillId="3" borderId="73" xfId="0" applyNumberFormat="1" applyFont="1" applyFill="1" applyBorder="1" applyAlignment="1">
      <alignment horizontal="center"/>
    </xf>
    <xf numFmtId="0" fontId="9" fillId="3" borderId="74" xfId="0" applyFont="1" applyFill="1" applyBorder="1" applyAlignment="1">
      <alignment horizontal="center"/>
    </xf>
    <xf numFmtId="0" fontId="15" fillId="3" borderId="75" xfId="0" applyFont="1" applyFill="1" applyBorder="1" applyAlignment="1">
      <alignment horizontal="center"/>
    </xf>
    <xf numFmtId="0" fontId="15" fillId="3" borderId="76" xfId="0" applyFont="1" applyFill="1" applyBorder="1"/>
    <xf numFmtId="2" fontId="9" fillId="3" borderId="71" xfId="0" applyNumberFormat="1" applyFont="1" applyFill="1" applyBorder="1" applyAlignment="1">
      <alignment horizontal="center"/>
    </xf>
    <xf numFmtId="2" fontId="9" fillId="3" borderId="4" xfId="0" applyNumberFormat="1" applyFont="1" applyFill="1" applyBorder="1"/>
    <xf numFmtId="0" fontId="9" fillId="3" borderId="73" xfId="0" applyFont="1" applyFill="1" applyBorder="1" applyAlignment="1">
      <alignment horizontal="center"/>
    </xf>
    <xf numFmtId="0" fontId="9" fillId="3" borderId="71" xfId="0" applyFont="1" applyFill="1" applyBorder="1"/>
    <xf numFmtId="0" fontId="21" fillId="3" borderId="4" xfId="0" applyFont="1" applyFill="1" applyBorder="1"/>
    <xf numFmtId="0" fontId="25" fillId="3" borderId="68" xfId="0" applyFont="1" applyFill="1" applyBorder="1" applyAlignment="1">
      <alignment horizontal="left" vertical="center"/>
    </xf>
    <xf numFmtId="2" fontId="26" fillId="3" borderId="4" xfId="0" applyNumberFormat="1" applyFont="1" applyFill="1" applyBorder="1"/>
    <xf numFmtId="0" fontId="27" fillId="3" borderId="4" xfId="0" applyFont="1" applyFill="1" applyBorder="1"/>
    <xf numFmtId="0" fontId="26" fillId="3" borderId="4" xfId="0" applyFont="1" applyFill="1" applyBorder="1"/>
    <xf numFmtId="0" fontId="15" fillId="3" borderId="76" xfId="0" applyFont="1" applyFill="1" applyBorder="1" applyAlignment="1">
      <alignment horizontal="center"/>
    </xf>
    <xf numFmtId="0" fontId="9" fillId="3" borderId="70" xfId="0" applyFont="1" applyFill="1" applyBorder="1"/>
    <xf numFmtId="166" fontId="9" fillId="3" borderId="4" xfId="0" applyNumberFormat="1" applyFont="1" applyFill="1" applyBorder="1" applyAlignment="1">
      <alignment horizontal="center"/>
    </xf>
    <xf numFmtId="0" fontId="9" fillId="3" borderId="67" xfId="0" applyFont="1" applyFill="1" applyBorder="1"/>
    <xf numFmtId="166" fontId="9" fillId="3" borderId="75" xfId="0" applyNumberFormat="1" applyFont="1" applyFill="1" applyBorder="1" applyAlignment="1">
      <alignment horizontal="center"/>
    </xf>
    <xf numFmtId="0" fontId="9" fillId="3" borderId="76" xfId="0" applyFont="1" applyFill="1" applyBorder="1" applyAlignment="1">
      <alignment horizontal="center"/>
    </xf>
    <xf numFmtId="0" fontId="15" fillId="3" borderId="83" xfId="0" applyFont="1" applyFill="1" applyBorder="1"/>
    <xf numFmtId="0" fontId="9" fillId="3" borderId="84" xfId="0" applyFont="1" applyFill="1" applyBorder="1"/>
    <xf numFmtId="165" fontId="9" fillId="3" borderId="85" xfId="0" applyNumberFormat="1" applyFont="1" applyFill="1" applyBorder="1" applyAlignment="1">
      <alignment horizontal="center"/>
    </xf>
    <xf numFmtId="0" fontId="9" fillId="3" borderId="86" xfId="0" applyFont="1" applyFill="1" applyBorder="1" applyAlignment="1">
      <alignment horizontal="center"/>
    </xf>
    <xf numFmtId="0" fontId="9" fillId="3" borderId="87" xfId="0" applyFont="1" applyFill="1" applyBorder="1"/>
    <xf numFmtId="165" fontId="9" fillId="3" borderId="88" xfId="0" applyNumberFormat="1" applyFont="1" applyFill="1" applyBorder="1" applyAlignment="1">
      <alignment horizontal="center"/>
    </xf>
    <xf numFmtId="0" fontId="9" fillId="3" borderId="89" xfId="0" applyFont="1" applyFill="1" applyBorder="1" applyAlignment="1">
      <alignment horizontal="center"/>
    </xf>
    <xf numFmtId="165" fontId="9" fillId="12" borderId="75" xfId="0" applyNumberFormat="1" applyFont="1" applyFill="1" applyBorder="1" applyAlignment="1">
      <alignment horizontal="center"/>
    </xf>
    <xf numFmtId="0" fontId="22" fillId="3" borderId="4" xfId="0" applyFont="1" applyFill="1" applyBorder="1" applyAlignment="1">
      <alignment horizontal="left"/>
    </xf>
    <xf numFmtId="165" fontId="9" fillId="3" borderId="4" xfId="0" applyNumberFormat="1" applyFont="1" applyFill="1" applyBorder="1"/>
    <xf numFmtId="165" fontId="9" fillId="3" borderId="75" xfId="0" applyNumberFormat="1" applyFont="1" applyFill="1" applyBorder="1" applyAlignment="1">
      <alignment horizontal="center"/>
    </xf>
    <xf numFmtId="0" fontId="9" fillId="3" borderId="76" xfId="0" applyFont="1" applyFill="1" applyBorder="1" applyAlignment="1">
      <alignment horizontal="center" vertical="center"/>
    </xf>
    <xf numFmtId="0" fontId="22" fillId="3" borderId="4" xfId="0" applyFont="1" applyFill="1" applyBorder="1"/>
    <xf numFmtId="167" fontId="9" fillId="3" borderId="4" xfId="0" applyNumberFormat="1" applyFont="1" applyFill="1" applyBorder="1" applyAlignment="1">
      <alignment horizontal="center"/>
    </xf>
    <xf numFmtId="0" fontId="9" fillId="3" borderId="100" xfId="0" applyFont="1" applyFill="1" applyBorder="1"/>
    <xf numFmtId="0" fontId="15" fillId="18" borderId="104" xfId="0" applyFont="1" applyFill="1" applyBorder="1" applyAlignment="1">
      <alignment horizontal="left"/>
    </xf>
    <xf numFmtId="0" fontId="9" fillId="18" borderId="4" xfId="0" applyFont="1" applyFill="1" applyBorder="1"/>
    <xf numFmtId="0" fontId="9" fillId="20" borderId="4" xfId="0" applyFont="1" applyFill="1" applyBorder="1" applyAlignment="1">
      <alignment horizontal="left"/>
    </xf>
    <xf numFmtId="0" fontId="9" fillId="20" borderId="4" xfId="0" applyFont="1" applyFill="1" applyBorder="1"/>
    <xf numFmtId="0" fontId="9" fillId="20" borderId="75" xfId="0" applyFont="1" applyFill="1" applyBorder="1" applyAlignment="1">
      <alignment horizontal="left"/>
    </xf>
    <xf numFmtId="0" fontId="9" fillId="8" borderId="4" xfId="0" applyFont="1" applyFill="1" applyBorder="1" applyAlignment="1">
      <alignment horizontal="left"/>
    </xf>
    <xf numFmtId="0" fontId="31" fillId="21" borderId="107" xfId="0" applyFont="1" applyFill="1" applyBorder="1" applyAlignment="1">
      <alignment horizontal="left" vertical="center"/>
    </xf>
    <xf numFmtId="0" fontId="9" fillId="21" borderId="107" xfId="0" applyFont="1" applyFill="1" applyBorder="1"/>
    <xf numFmtId="0" fontId="9" fillId="21" borderId="4" xfId="0" applyFont="1" applyFill="1" applyBorder="1"/>
    <xf numFmtId="0" fontId="32" fillId="8" borderId="4" xfId="0" applyFont="1" applyFill="1" applyBorder="1"/>
    <xf numFmtId="0" fontId="32" fillId="8" borderId="4" xfId="0" applyFont="1" applyFill="1" applyBorder="1" applyAlignment="1">
      <alignment horizontal="center"/>
    </xf>
    <xf numFmtId="0" fontId="32" fillId="8" borderId="4" xfId="0" applyFont="1" applyFill="1" applyBorder="1" applyAlignment="1">
      <alignment horizontal="left" vertical="center"/>
    </xf>
    <xf numFmtId="0" fontId="33" fillId="8" borderId="75" xfId="0" applyFont="1" applyFill="1" applyBorder="1" applyAlignment="1">
      <alignment horizontal="center" vertical="center" wrapText="1"/>
    </xf>
    <xf numFmtId="0" fontId="34" fillId="8" borderId="75" xfId="0" applyFont="1" applyFill="1" applyBorder="1" applyAlignment="1">
      <alignment horizontal="center" vertical="center" wrapText="1"/>
    </xf>
    <xf numFmtId="0" fontId="33" fillId="8" borderId="75" xfId="0" applyFont="1" applyFill="1" applyBorder="1" applyAlignment="1">
      <alignment horizontal="center" vertical="center"/>
    </xf>
    <xf numFmtId="0" fontId="32" fillId="8" borderId="4" xfId="0" applyFont="1" applyFill="1" applyBorder="1" applyAlignment="1">
      <alignment vertical="center"/>
    </xf>
    <xf numFmtId="0" fontId="9" fillId="8" borderId="15" xfId="0" applyFont="1" applyFill="1" applyBorder="1" applyAlignment="1">
      <alignment horizontal="left"/>
    </xf>
    <xf numFmtId="165" fontId="9" fillId="8" borderId="4" xfId="0" applyNumberFormat="1" applyFont="1" applyFill="1" applyBorder="1" applyAlignment="1">
      <alignment horizontal="center" vertical="center"/>
    </xf>
    <xf numFmtId="0" fontId="9" fillId="8" borderId="4" xfId="0" applyFont="1" applyFill="1" applyBorder="1" applyAlignment="1">
      <alignment horizontal="center" vertical="center" wrapText="1"/>
    </xf>
    <xf numFmtId="0" fontId="24" fillId="8" borderId="15" xfId="0" applyFont="1" applyFill="1" applyBorder="1"/>
    <xf numFmtId="0" fontId="9" fillId="8" borderId="73" xfId="0" applyFont="1" applyFill="1" applyBorder="1" applyAlignment="1">
      <alignment horizontal="left"/>
    </xf>
    <xf numFmtId="165" fontId="9" fillId="8" borderId="73" xfId="0" applyNumberFormat="1" applyFont="1" applyFill="1" applyBorder="1" applyAlignment="1">
      <alignment horizontal="center" vertical="center"/>
    </xf>
    <xf numFmtId="0" fontId="9" fillId="8" borderId="73" xfId="0" applyFont="1" applyFill="1" applyBorder="1" applyAlignment="1">
      <alignment horizontal="center" vertical="center" wrapText="1"/>
    </xf>
    <xf numFmtId="0" fontId="15" fillId="0" borderId="112" xfId="0" applyFont="1" applyBorder="1" applyAlignment="1">
      <alignment horizontal="center"/>
    </xf>
    <xf numFmtId="0" fontId="9" fillId="8" borderId="4" xfId="0" applyFont="1" applyFill="1" applyBorder="1" applyAlignment="1">
      <alignment horizontal="center" vertical="center"/>
    </xf>
    <xf numFmtId="2" fontId="9" fillId="8" borderId="4" xfId="0" applyNumberFormat="1" applyFont="1" applyFill="1" applyBorder="1" applyAlignment="1">
      <alignment horizontal="center" vertical="center"/>
    </xf>
    <xf numFmtId="0" fontId="9" fillId="8" borderId="114" xfId="0" applyFont="1" applyFill="1" applyBorder="1" applyAlignment="1">
      <alignment horizontal="center" vertical="center"/>
    </xf>
    <xf numFmtId="2" fontId="9" fillId="8" borderId="114" xfId="0" applyNumberFormat="1" applyFont="1" applyFill="1" applyBorder="1" applyAlignment="1">
      <alignment horizontal="center" vertical="center"/>
    </xf>
    <xf numFmtId="0" fontId="9" fillId="8" borderId="114" xfId="0" applyFont="1" applyFill="1" applyBorder="1" applyAlignment="1">
      <alignment horizontal="center" vertical="center" wrapText="1"/>
    </xf>
    <xf numFmtId="0" fontId="9" fillId="0" borderId="0" xfId="0" applyFont="1" applyAlignment="1">
      <alignment horizontal="center" vertical="center"/>
    </xf>
    <xf numFmtId="0" fontId="35" fillId="8" borderId="4" xfId="0" applyFont="1" applyFill="1" applyBorder="1" applyAlignment="1">
      <alignment horizontal="center" vertical="center" wrapText="1"/>
    </xf>
    <xf numFmtId="0" fontId="35" fillId="8" borderId="116" xfId="0" applyFont="1" applyFill="1" applyBorder="1" applyAlignment="1">
      <alignment horizontal="center" vertical="center" wrapText="1"/>
    </xf>
    <xf numFmtId="0" fontId="9" fillId="8" borderId="116" xfId="0" applyFont="1" applyFill="1" applyBorder="1" applyAlignment="1">
      <alignment horizontal="center" vertical="center"/>
    </xf>
    <xf numFmtId="2" fontId="9" fillId="8" borderId="116" xfId="0" applyNumberFormat="1" applyFont="1" applyFill="1" applyBorder="1" applyAlignment="1">
      <alignment horizontal="center" vertical="center"/>
    </xf>
    <xf numFmtId="0" fontId="9" fillId="8" borderId="116" xfId="0" applyFont="1" applyFill="1" applyBorder="1" applyAlignment="1">
      <alignment horizontal="center" vertical="center" wrapText="1"/>
    </xf>
    <xf numFmtId="0" fontId="9" fillId="0" borderId="115" xfId="0" applyFont="1" applyBorder="1" applyAlignment="1">
      <alignment horizontal="center" vertical="center"/>
    </xf>
    <xf numFmtId="0" fontId="9" fillId="8" borderId="117" xfId="0" applyFont="1" applyFill="1" applyBorder="1" applyAlignment="1">
      <alignment horizontal="center" vertical="center"/>
    </xf>
    <xf numFmtId="2" fontId="9" fillId="8" borderId="117" xfId="0" applyNumberFormat="1" applyFont="1" applyFill="1" applyBorder="1" applyAlignment="1">
      <alignment horizontal="center" vertical="center"/>
    </xf>
    <xf numFmtId="0" fontId="9" fillId="8" borderId="117" xfId="0" applyFont="1" applyFill="1" applyBorder="1" applyAlignment="1">
      <alignment horizontal="center" vertical="center" wrapText="1"/>
    </xf>
    <xf numFmtId="0" fontId="9" fillId="8" borderId="75" xfId="0" applyFont="1" applyFill="1" applyBorder="1" applyAlignment="1">
      <alignment horizontal="center" vertical="center"/>
    </xf>
    <xf numFmtId="2" fontId="9" fillId="8" borderId="75" xfId="0" applyNumberFormat="1" applyFont="1" applyFill="1" applyBorder="1" applyAlignment="1">
      <alignment horizontal="center" vertical="center"/>
    </xf>
    <xf numFmtId="0" fontId="9" fillId="8" borderId="75" xfId="0" applyFont="1" applyFill="1" applyBorder="1" applyAlignment="1">
      <alignment horizontal="center" vertical="center" wrapText="1"/>
    </xf>
    <xf numFmtId="0" fontId="15" fillId="8" borderId="68" xfId="0" applyFont="1" applyFill="1" applyBorder="1" applyAlignment="1">
      <alignment horizontal="center" vertical="center"/>
    </xf>
    <xf numFmtId="0" fontId="9" fillId="0" borderId="118" xfId="0" applyFont="1" applyBorder="1" applyAlignment="1">
      <alignment horizontal="center" vertical="center"/>
    </xf>
    <xf numFmtId="0" fontId="9" fillId="8" borderId="119" xfId="0" applyFont="1" applyFill="1" applyBorder="1" applyAlignment="1">
      <alignment horizontal="center" vertical="center"/>
    </xf>
    <xf numFmtId="164" fontId="9" fillId="8" borderId="119" xfId="0" applyNumberFormat="1" applyFont="1" applyFill="1" applyBorder="1" applyAlignment="1">
      <alignment horizontal="center" vertical="center"/>
    </xf>
    <xf numFmtId="0" fontId="9" fillId="0" borderId="120" xfId="0" applyFont="1" applyBorder="1" applyAlignment="1">
      <alignment horizontal="center" vertical="center"/>
    </xf>
    <xf numFmtId="164" fontId="9" fillId="8" borderId="121" xfId="0" applyNumberFormat="1" applyFont="1" applyFill="1" applyBorder="1" applyAlignment="1">
      <alignment horizontal="center" vertical="center"/>
    </xf>
    <xf numFmtId="0" fontId="9" fillId="8" borderId="122" xfId="0" applyFont="1" applyFill="1" applyBorder="1" applyAlignment="1">
      <alignment horizontal="center"/>
    </xf>
    <xf numFmtId="0" fontId="9" fillId="8" borderId="121" xfId="0" applyFont="1" applyFill="1" applyBorder="1" applyAlignment="1">
      <alignment horizontal="center" vertical="center"/>
    </xf>
    <xf numFmtId="0" fontId="24" fillId="8" borderId="122" xfId="0" applyFont="1" applyFill="1" applyBorder="1" applyAlignment="1">
      <alignment horizontal="center"/>
    </xf>
    <xf numFmtId="0" fontId="9" fillId="8" borderId="123" xfId="0" applyFont="1" applyFill="1" applyBorder="1" applyAlignment="1">
      <alignment horizontal="center" vertical="center"/>
    </xf>
    <xf numFmtId="164" fontId="9" fillId="8" borderId="4" xfId="0" applyNumberFormat="1" applyFont="1" applyFill="1" applyBorder="1" applyAlignment="1">
      <alignment horizontal="center" vertical="center"/>
    </xf>
    <xf numFmtId="164" fontId="9" fillId="8" borderId="123" xfId="0" applyNumberFormat="1" applyFont="1" applyFill="1" applyBorder="1" applyAlignment="1">
      <alignment horizontal="center" vertical="center"/>
    </xf>
    <xf numFmtId="0" fontId="24" fillId="8" borderId="4" xfId="0" applyFont="1" applyFill="1" applyBorder="1" applyAlignment="1">
      <alignment horizontal="center"/>
    </xf>
    <xf numFmtId="0" fontId="9" fillId="8" borderId="88" xfId="0" applyFont="1" applyFill="1" applyBorder="1" applyAlignment="1">
      <alignment horizontal="center" vertical="center"/>
    </xf>
    <xf numFmtId="164" fontId="9" fillId="8" borderId="88" xfId="0" applyNumberFormat="1" applyFont="1" applyFill="1" applyBorder="1" applyAlignment="1">
      <alignment horizontal="center" vertical="center"/>
    </xf>
    <xf numFmtId="0" fontId="9" fillId="0" borderId="112" xfId="0" applyFont="1" applyBorder="1" applyAlignment="1">
      <alignment horizontal="center" vertical="center"/>
    </xf>
    <xf numFmtId="164" fontId="9" fillId="8" borderId="75" xfId="0" applyNumberFormat="1" applyFont="1" applyFill="1" applyBorder="1" applyAlignment="1">
      <alignment horizontal="center" vertical="center"/>
    </xf>
    <xf numFmtId="0" fontId="9" fillId="8" borderId="68" xfId="0" applyFont="1" applyFill="1" applyBorder="1" applyAlignment="1">
      <alignment horizontal="center" vertical="center"/>
    </xf>
    <xf numFmtId="2" fontId="9" fillId="8" borderId="68" xfId="0" applyNumberFormat="1" applyFont="1" applyFill="1" applyBorder="1" applyAlignment="1">
      <alignment horizontal="center" vertical="center"/>
    </xf>
    <xf numFmtId="0" fontId="21" fillId="21" borderId="4" xfId="0" applyFont="1" applyFill="1" applyBorder="1"/>
    <xf numFmtId="0" fontId="15" fillId="8" borderId="4" xfId="0" applyFont="1" applyFill="1" applyBorder="1" applyAlignment="1">
      <alignment horizontal="left"/>
    </xf>
    <xf numFmtId="0" fontId="37" fillId="8" borderId="4" xfId="0" applyFont="1" applyFill="1" applyBorder="1" applyAlignment="1">
      <alignment horizontal="left"/>
    </xf>
    <xf numFmtId="0" fontId="15" fillId="8" borderId="75" xfId="0" applyFont="1" applyFill="1" applyBorder="1" applyAlignment="1">
      <alignment horizontal="center" vertical="center"/>
    </xf>
    <xf numFmtId="0" fontId="15" fillId="8" borderId="75" xfId="0" applyFont="1" applyFill="1" applyBorder="1" applyAlignment="1">
      <alignment horizontal="center" vertical="center" wrapText="1"/>
    </xf>
    <xf numFmtId="0" fontId="9" fillId="8" borderId="90" xfId="0" applyFont="1" applyFill="1" applyBorder="1" applyAlignment="1">
      <alignment horizontal="center"/>
    </xf>
    <xf numFmtId="2" fontId="9" fillId="8" borderId="90" xfId="0" applyNumberFormat="1" applyFont="1" applyFill="1" applyBorder="1" applyAlignment="1">
      <alignment horizontal="center"/>
    </xf>
    <xf numFmtId="0" fontId="9" fillId="8" borderId="117" xfId="0" applyFont="1" applyFill="1" applyBorder="1" applyAlignment="1">
      <alignment horizontal="center" wrapText="1"/>
    </xf>
    <xf numFmtId="2" fontId="9" fillId="8" borderId="117" xfId="0" applyNumberFormat="1" applyFont="1" applyFill="1" applyBorder="1" applyAlignment="1">
      <alignment horizontal="center"/>
    </xf>
    <xf numFmtId="0" fontId="9" fillId="8" borderId="4" xfId="0" applyFont="1" applyFill="1" applyBorder="1" applyAlignment="1">
      <alignment horizontal="center"/>
    </xf>
    <xf numFmtId="2" fontId="9" fillId="8" borderId="4" xfId="0" applyNumberFormat="1" applyFont="1" applyFill="1" applyBorder="1" applyAlignment="1">
      <alignment horizontal="center"/>
    </xf>
    <xf numFmtId="0" fontId="9" fillId="8" borderId="117" xfId="0" applyFont="1" applyFill="1" applyBorder="1" applyAlignment="1">
      <alignment horizontal="center"/>
    </xf>
    <xf numFmtId="0" fontId="9" fillId="8" borderId="114" xfId="0" applyFont="1" applyFill="1" applyBorder="1" applyAlignment="1">
      <alignment horizontal="center"/>
    </xf>
    <xf numFmtId="2" fontId="9" fillId="8" borderId="114" xfId="0" applyNumberFormat="1" applyFont="1" applyFill="1" applyBorder="1" applyAlignment="1">
      <alignment horizontal="center"/>
    </xf>
    <xf numFmtId="0" fontId="9" fillId="8" borderId="123" xfId="0" applyFont="1" applyFill="1" applyBorder="1" applyAlignment="1">
      <alignment horizontal="center"/>
    </xf>
    <xf numFmtId="2" fontId="9" fillId="8" borderId="123" xfId="0" applyNumberFormat="1" applyFont="1" applyFill="1" applyBorder="1" applyAlignment="1">
      <alignment horizontal="center"/>
    </xf>
    <xf numFmtId="0" fontId="9" fillId="8" borderId="73" xfId="0" applyFont="1" applyFill="1" applyBorder="1" applyAlignment="1">
      <alignment horizontal="center" wrapText="1"/>
    </xf>
    <xf numFmtId="2" fontId="9" fillId="8" borderId="73" xfId="0" applyNumberFormat="1" applyFont="1" applyFill="1" applyBorder="1" applyAlignment="1">
      <alignment horizontal="center"/>
    </xf>
    <xf numFmtId="0" fontId="9" fillId="8" borderId="4" xfId="0" applyFont="1" applyFill="1" applyBorder="1" applyAlignment="1">
      <alignment horizontal="left" wrapText="1"/>
    </xf>
    <xf numFmtId="0" fontId="22" fillId="21" borderId="68" xfId="0" applyFont="1" applyFill="1" applyBorder="1" applyAlignment="1">
      <alignment horizontal="left"/>
    </xf>
    <xf numFmtId="0" fontId="9" fillId="0" borderId="0" xfId="0" applyFont="1" applyAlignment="1">
      <alignment horizontal="center"/>
    </xf>
    <xf numFmtId="0" fontId="15" fillId="8" borderId="68" xfId="0" applyFont="1" applyFill="1" applyBorder="1" applyAlignment="1">
      <alignment horizontal="center"/>
    </xf>
    <xf numFmtId="0" fontId="9" fillId="8" borderId="88" xfId="0" applyFont="1" applyFill="1" applyBorder="1" applyAlignment="1">
      <alignment horizontal="center" vertical="center" wrapText="1"/>
    </xf>
    <xf numFmtId="0" fontId="9" fillId="8" borderId="88" xfId="0" applyFont="1" applyFill="1" applyBorder="1" applyAlignment="1">
      <alignment horizontal="center"/>
    </xf>
    <xf numFmtId="2" fontId="9" fillId="8" borderId="88" xfId="0" applyNumberFormat="1" applyFont="1" applyFill="1" applyBorder="1" applyAlignment="1">
      <alignment horizontal="center"/>
    </xf>
    <xf numFmtId="0" fontId="9" fillId="0" borderId="101" xfId="0" applyFont="1" applyBorder="1" applyAlignment="1">
      <alignment horizontal="center" vertical="center"/>
    </xf>
    <xf numFmtId="0" fontId="9" fillId="0" borderId="103" xfId="0" applyFont="1" applyBorder="1" applyAlignment="1">
      <alignment horizontal="center"/>
    </xf>
    <xf numFmtId="0" fontId="9" fillId="8" borderId="75" xfId="0" applyFont="1" applyFill="1" applyBorder="1" applyAlignment="1">
      <alignment horizontal="center"/>
    </xf>
    <xf numFmtId="2" fontId="9" fillId="8" borderId="75" xfId="0" applyNumberFormat="1" applyFont="1" applyFill="1" applyBorder="1" applyAlignment="1">
      <alignment horizontal="center"/>
    </xf>
    <xf numFmtId="0" fontId="15" fillId="8" borderId="4" xfId="0" applyFont="1" applyFill="1" applyBorder="1" applyAlignment="1">
      <alignment vertical="center" wrapText="1"/>
    </xf>
    <xf numFmtId="0" fontId="15" fillId="8" borderId="4" xfId="0" applyFont="1" applyFill="1" applyBorder="1" applyAlignment="1">
      <alignment horizontal="center"/>
    </xf>
    <xf numFmtId="0" fontId="9" fillId="8" borderId="114" xfId="0" applyFont="1" applyFill="1" applyBorder="1"/>
    <xf numFmtId="0" fontId="22" fillId="22" borderId="68" xfId="0" applyFont="1" applyFill="1" applyBorder="1" applyAlignment="1">
      <alignment horizontal="left"/>
    </xf>
    <xf numFmtId="0" fontId="21" fillId="0" borderId="0" xfId="0" applyFont="1"/>
    <xf numFmtId="0" fontId="15" fillId="8" borderId="75" xfId="0" applyFont="1" applyFill="1" applyBorder="1" applyAlignment="1">
      <alignment horizontal="center"/>
    </xf>
    <xf numFmtId="0" fontId="15" fillId="8" borderId="75" xfId="0" applyFont="1" applyFill="1" applyBorder="1" applyAlignment="1">
      <alignment horizontal="center" wrapText="1"/>
    </xf>
    <xf numFmtId="165" fontId="9" fillId="8" borderId="114" xfId="0" applyNumberFormat="1" applyFont="1" applyFill="1" applyBorder="1" applyAlignment="1">
      <alignment horizontal="center" vertical="center"/>
    </xf>
    <xf numFmtId="0" fontId="9" fillId="8" borderId="75" xfId="0" applyFont="1" applyFill="1" applyBorder="1"/>
    <xf numFmtId="0" fontId="15" fillId="8" borderId="4" xfId="0" applyFont="1" applyFill="1" applyBorder="1"/>
    <xf numFmtId="0" fontId="15" fillId="0" borderId="158" xfId="0" applyFont="1" applyBorder="1" applyAlignment="1">
      <alignment horizontal="center" vertical="center" wrapText="1"/>
    </xf>
    <xf numFmtId="0" fontId="15" fillId="0" borderId="159" xfId="0" applyFont="1" applyBorder="1" applyAlignment="1">
      <alignment horizontal="center" vertical="center" wrapText="1"/>
    </xf>
    <xf numFmtId="0" fontId="15" fillId="0" borderId="160" xfId="0" applyFont="1" applyBorder="1" applyAlignment="1">
      <alignment horizontal="center" vertical="center" wrapText="1"/>
    </xf>
    <xf numFmtId="0" fontId="15" fillId="8" borderId="4" xfId="0" applyFont="1" applyFill="1" applyBorder="1" applyAlignment="1">
      <alignment horizontal="center" vertical="center" wrapText="1"/>
    </xf>
    <xf numFmtId="0" fontId="15" fillId="0" borderId="162" xfId="0" applyFont="1" applyBorder="1" applyAlignment="1">
      <alignment horizontal="center" wrapText="1"/>
    </xf>
    <xf numFmtId="0" fontId="15" fillId="0" borderId="163" xfId="0" applyFont="1" applyBorder="1" applyAlignment="1">
      <alignment horizontal="center"/>
    </xf>
    <xf numFmtId="0" fontId="15" fillId="8" borderId="164" xfId="0" applyFont="1" applyFill="1" applyBorder="1" applyAlignment="1">
      <alignment horizontal="center" wrapText="1"/>
    </xf>
    <xf numFmtId="0" fontId="15" fillId="8" borderId="4" xfId="0" applyFont="1" applyFill="1" applyBorder="1" applyAlignment="1">
      <alignment horizontal="center" wrapText="1"/>
    </xf>
    <xf numFmtId="2" fontId="9" fillId="8" borderId="4" xfId="0" applyNumberFormat="1" applyFont="1" applyFill="1" applyBorder="1" applyAlignment="1">
      <alignment horizontal="center" wrapText="1"/>
    </xf>
    <xf numFmtId="0" fontId="9" fillId="8" borderId="4" xfId="0" applyFont="1" applyFill="1" applyBorder="1" applyAlignment="1">
      <alignment horizontal="center" wrapText="1"/>
    </xf>
    <xf numFmtId="0" fontId="15" fillId="8" borderId="166" xfId="0" applyFont="1" applyFill="1" applyBorder="1" applyAlignment="1">
      <alignment horizontal="center" vertical="center"/>
    </xf>
    <xf numFmtId="0" fontId="15" fillId="8" borderId="68" xfId="0" applyFont="1" applyFill="1" applyBorder="1" applyAlignment="1">
      <alignment horizontal="center" vertical="center" wrapText="1"/>
    </xf>
    <xf numFmtId="0" fontId="9" fillId="8" borderId="90" xfId="0" applyFont="1" applyFill="1" applyBorder="1" applyAlignment="1">
      <alignment horizontal="center" vertical="center"/>
    </xf>
    <xf numFmtId="0" fontId="9" fillId="8" borderId="104" xfId="0" applyFont="1" applyFill="1" applyBorder="1" applyAlignment="1">
      <alignment horizontal="center" vertical="center"/>
    </xf>
    <xf numFmtId="0" fontId="9" fillId="8" borderId="167" xfId="0" applyFont="1" applyFill="1" applyBorder="1" applyAlignment="1">
      <alignment horizontal="center" vertical="center"/>
    </xf>
    <xf numFmtId="0" fontId="9" fillId="8" borderId="168" xfId="0" applyFont="1" applyFill="1" applyBorder="1" applyAlignment="1">
      <alignment horizontal="center" vertical="center"/>
    </xf>
    <xf numFmtId="0" fontId="9" fillId="17" borderId="4" xfId="0" applyFont="1" applyFill="1" applyBorder="1"/>
    <xf numFmtId="0" fontId="39" fillId="0" borderId="0" xfId="0" applyFont="1" applyAlignment="1">
      <alignment wrapText="1"/>
    </xf>
    <xf numFmtId="0" fontId="32" fillId="15" borderId="4" xfId="0" applyFont="1" applyFill="1" applyBorder="1" applyAlignment="1">
      <alignment wrapText="1"/>
    </xf>
    <xf numFmtId="0" fontId="32" fillId="23" borderId="4" xfId="0" applyFont="1" applyFill="1" applyBorder="1" applyAlignment="1">
      <alignment wrapText="1"/>
    </xf>
    <xf numFmtId="0" fontId="32" fillId="24" borderId="4" xfId="0" applyFont="1" applyFill="1" applyBorder="1" applyAlignment="1">
      <alignment wrapText="1"/>
    </xf>
    <xf numFmtId="0" fontId="32" fillId="25" borderId="4" xfId="0" applyFont="1" applyFill="1" applyBorder="1" applyAlignment="1">
      <alignment wrapText="1"/>
    </xf>
    <xf numFmtId="0" fontId="39" fillId="0" borderId="0" xfId="0" applyFont="1"/>
    <xf numFmtId="0" fontId="9" fillId="26" borderId="4" xfId="0" applyFont="1" applyFill="1" applyBorder="1"/>
    <xf numFmtId="0" fontId="32" fillId="15" borderId="4" xfId="0" applyFont="1" applyFill="1" applyBorder="1"/>
    <xf numFmtId="165" fontId="40" fillId="0" borderId="0" xfId="0" applyNumberFormat="1" applyFont="1" applyAlignment="1">
      <alignment horizontal="right"/>
    </xf>
    <xf numFmtId="165" fontId="32" fillId="0" borderId="0" xfId="0" applyNumberFormat="1" applyFont="1" applyAlignment="1">
      <alignment horizontal="right"/>
    </xf>
    <xf numFmtId="0" fontId="32" fillId="23" borderId="4" xfId="0" applyFont="1" applyFill="1" applyBorder="1"/>
    <xf numFmtId="165" fontId="9" fillId="26" borderId="4" xfId="0" applyNumberFormat="1" applyFont="1" applyFill="1" applyBorder="1"/>
    <xf numFmtId="0" fontId="32" fillId="24" borderId="4" xfId="0" applyFont="1" applyFill="1" applyBorder="1"/>
    <xf numFmtId="0" fontId="15" fillId="10" borderId="4" xfId="0" applyFont="1" applyFill="1" applyBorder="1" applyAlignment="1">
      <alignment vertical="center"/>
    </xf>
    <xf numFmtId="0" fontId="9" fillId="10" borderId="4" xfId="0" applyFont="1" applyFill="1" applyBorder="1"/>
    <xf numFmtId="0" fontId="41" fillId="10" borderId="4" xfId="0" applyFont="1" applyFill="1" applyBorder="1" applyAlignment="1">
      <alignment horizontal="left" vertical="center"/>
    </xf>
    <xf numFmtId="0" fontId="42" fillId="10" borderId="4" xfId="0" applyFont="1" applyFill="1" applyBorder="1" applyAlignment="1">
      <alignment horizontal="center" vertical="center"/>
    </xf>
    <xf numFmtId="0" fontId="15" fillId="10" borderId="137" xfId="0" applyFont="1" applyFill="1" applyBorder="1" applyAlignment="1">
      <alignment vertical="center"/>
    </xf>
    <xf numFmtId="0" fontId="15" fillId="10" borderId="75" xfId="0" applyFont="1" applyFill="1" applyBorder="1" applyAlignment="1">
      <alignment vertical="center"/>
    </xf>
    <xf numFmtId="0" fontId="15" fillId="10" borderId="175" xfId="0" applyFont="1" applyFill="1" applyBorder="1" applyAlignment="1">
      <alignment vertical="center"/>
    </xf>
    <xf numFmtId="0" fontId="9" fillId="10" borderId="176" xfId="0" applyFont="1" applyFill="1" applyBorder="1" applyAlignment="1">
      <alignment horizontal="center" vertical="center"/>
    </xf>
    <xf numFmtId="0" fontId="44" fillId="10" borderId="177" xfId="0" applyFont="1" applyFill="1" applyBorder="1"/>
    <xf numFmtId="0" fontId="45" fillId="10" borderId="4" xfId="0" applyFont="1" applyFill="1" applyBorder="1"/>
    <xf numFmtId="0" fontId="9" fillId="10" borderId="178" xfId="0" applyFont="1" applyFill="1" applyBorder="1" applyAlignment="1">
      <alignment horizontal="center" vertical="center" wrapText="1"/>
    </xf>
    <xf numFmtId="0" fontId="45" fillId="10" borderId="4" xfId="0" applyFont="1" applyFill="1" applyBorder="1" applyAlignment="1">
      <alignment horizontal="left"/>
    </xf>
    <xf numFmtId="0" fontId="45" fillId="10" borderId="4" xfId="0" applyFont="1" applyFill="1" applyBorder="1" applyAlignment="1">
      <alignment wrapText="1"/>
    </xf>
    <xf numFmtId="0" fontId="45" fillId="10" borderId="179" xfId="0" applyFont="1" applyFill="1" applyBorder="1"/>
    <xf numFmtId="0" fontId="9" fillId="10" borderId="75" xfId="0" applyFont="1" applyFill="1" applyBorder="1" applyAlignment="1">
      <alignment wrapText="1"/>
    </xf>
    <xf numFmtId="0" fontId="9" fillId="10" borderId="180" xfId="0" applyFont="1" applyFill="1" applyBorder="1" applyAlignment="1">
      <alignment horizontal="center" vertical="center" wrapText="1"/>
    </xf>
    <xf numFmtId="0" fontId="9" fillId="10" borderId="175" xfId="0" applyFont="1" applyFill="1" applyBorder="1" applyAlignment="1">
      <alignment vertical="center"/>
    </xf>
    <xf numFmtId="0" fontId="9" fillId="10" borderId="177" xfId="0" applyFont="1" applyFill="1" applyBorder="1" applyAlignment="1">
      <alignment vertical="center"/>
    </xf>
    <xf numFmtId="0" fontId="45" fillId="10" borderId="181" xfId="0" applyFont="1" applyFill="1" applyBorder="1" applyAlignment="1">
      <alignment horizontal="left"/>
    </xf>
    <xf numFmtId="0" fontId="46" fillId="10" borderId="178" xfId="0" applyFont="1" applyFill="1" applyBorder="1" applyAlignment="1">
      <alignment horizontal="center" vertical="center" wrapText="1"/>
    </xf>
    <xf numFmtId="0" fontId="9" fillId="10" borderId="179" xfId="0" applyFont="1" applyFill="1" applyBorder="1" applyAlignment="1">
      <alignment vertical="center"/>
    </xf>
    <xf numFmtId="0" fontId="45" fillId="10" borderId="182" xfId="0" applyFont="1" applyFill="1" applyBorder="1"/>
    <xf numFmtId="0" fontId="9" fillId="10" borderId="180" xfId="0" applyFont="1" applyFill="1" applyBorder="1" applyAlignment="1">
      <alignment horizontal="center"/>
    </xf>
    <xf numFmtId="0" fontId="45" fillId="10" borderId="177" xfId="0" applyFont="1" applyFill="1" applyBorder="1" applyAlignment="1">
      <alignment horizontal="left" vertical="center"/>
    </xf>
    <xf numFmtId="0" fontId="45" fillId="10" borderId="4" xfId="0" applyFont="1" applyFill="1" applyBorder="1" applyAlignment="1">
      <alignment horizontal="left" wrapText="1"/>
    </xf>
    <xf numFmtId="0" fontId="45" fillId="10" borderId="75" xfId="0" applyFont="1" applyFill="1" applyBorder="1" applyAlignment="1">
      <alignment horizontal="left"/>
    </xf>
    <xf numFmtId="0" fontId="44" fillId="10" borderId="175" xfId="0" applyFont="1" applyFill="1" applyBorder="1"/>
    <xf numFmtId="0" fontId="9" fillId="10" borderId="176" xfId="0" applyFont="1" applyFill="1" applyBorder="1" applyAlignment="1">
      <alignment horizontal="center" vertical="center" wrapText="1"/>
    </xf>
    <xf numFmtId="0" fontId="44" fillId="10" borderId="177" xfId="0" applyFont="1" applyFill="1" applyBorder="1" applyAlignment="1">
      <alignment vertical="center"/>
    </xf>
    <xf numFmtId="0" fontId="45" fillId="10" borderId="4" xfId="0" applyFont="1" applyFill="1" applyBorder="1" applyAlignment="1">
      <alignment vertical="center" wrapText="1"/>
    </xf>
    <xf numFmtId="0" fontId="44" fillId="10" borderId="179" xfId="0" applyFont="1" applyFill="1" applyBorder="1"/>
    <xf numFmtId="0" fontId="45" fillId="10" borderId="75" xfId="0" applyFont="1" applyFill="1" applyBorder="1"/>
    <xf numFmtId="0" fontId="9" fillId="10" borderId="4" xfId="0" applyFont="1" applyFill="1" applyBorder="1" applyAlignment="1">
      <alignment wrapText="1"/>
    </xf>
    <xf numFmtId="0" fontId="15" fillId="10" borderId="4" xfId="0" applyFont="1" applyFill="1" applyBorder="1"/>
    <xf numFmtId="0" fontId="47" fillId="10" borderId="4" xfId="0" applyFont="1" applyFill="1" applyBorder="1" applyAlignment="1">
      <alignment horizontal="left"/>
    </xf>
    <xf numFmtId="0" fontId="48" fillId="10" borderId="4" xfId="0" applyFont="1" applyFill="1" applyBorder="1"/>
    <xf numFmtId="0" fontId="49" fillId="10" borderId="4" xfId="0" applyFont="1" applyFill="1" applyBorder="1" applyAlignment="1">
      <alignment horizontal="center"/>
    </xf>
    <xf numFmtId="0" fontId="9" fillId="10" borderId="4" xfId="0" applyFont="1" applyFill="1" applyBorder="1" applyAlignment="1">
      <alignment vertical="center"/>
    </xf>
    <xf numFmtId="0" fontId="45" fillId="10" borderId="75" xfId="0" applyFont="1" applyFill="1" applyBorder="1" applyAlignment="1">
      <alignment wrapText="1"/>
    </xf>
    <xf numFmtId="0" fontId="9" fillId="10" borderId="185" xfId="0" applyFont="1" applyFill="1" applyBorder="1" applyAlignment="1">
      <alignment vertical="center" wrapText="1"/>
    </xf>
    <xf numFmtId="0" fontId="45" fillId="10" borderId="177" xfId="0" applyFont="1" applyFill="1" applyBorder="1"/>
    <xf numFmtId="0" fontId="45" fillId="10" borderId="181" xfId="0" applyFont="1" applyFill="1" applyBorder="1" applyAlignment="1">
      <alignment wrapText="1"/>
    </xf>
    <xf numFmtId="0" fontId="9" fillId="10" borderId="177" xfId="0" applyFont="1" applyFill="1" applyBorder="1" applyAlignment="1">
      <alignment vertical="center" wrapText="1"/>
    </xf>
    <xf numFmtId="0" fontId="45" fillId="10" borderId="181" xfId="0" applyFont="1" applyFill="1" applyBorder="1"/>
    <xf numFmtId="0" fontId="9" fillId="10" borderId="179" xfId="0" applyFont="1" applyFill="1" applyBorder="1" applyAlignment="1">
      <alignment vertical="center" wrapText="1"/>
    </xf>
    <xf numFmtId="0" fontId="45" fillId="10" borderId="182" xfId="0" applyFont="1" applyFill="1" applyBorder="1" applyAlignment="1">
      <alignment wrapText="1"/>
    </xf>
    <xf numFmtId="0" fontId="15" fillId="10" borderId="68" xfId="0" applyFont="1" applyFill="1" applyBorder="1" applyAlignment="1">
      <alignment vertical="center"/>
    </xf>
    <xf numFmtId="0" fontId="9" fillId="10" borderId="185" xfId="0" applyFont="1" applyFill="1" applyBorder="1" applyAlignment="1">
      <alignment vertical="center"/>
    </xf>
    <xf numFmtId="0" fontId="46" fillId="10" borderId="4" xfId="0" applyFont="1" applyFill="1" applyBorder="1" applyAlignment="1">
      <alignment horizontal="center" vertical="center" wrapText="1"/>
    </xf>
    <xf numFmtId="0" fontId="45" fillId="10" borderId="177" xfId="0" applyFont="1" applyFill="1" applyBorder="1" applyAlignment="1">
      <alignment vertical="center"/>
    </xf>
    <xf numFmtId="0" fontId="45" fillId="10" borderId="181" xfId="0" applyFont="1" applyFill="1" applyBorder="1" applyAlignment="1">
      <alignment horizontal="left" wrapText="1"/>
    </xf>
    <xf numFmtId="0" fontId="45" fillId="10" borderId="179" xfId="0" applyFont="1" applyFill="1" applyBorder="1" applyAlignment="1">
      <alignment horizontal="left" vertical="center"/>
    </xf>
    <xf numFmtId="0" fontId="45" fillId="10" borderId="182" xfId="0" applyFont="1" applyFill="1" applyBorder="1" applyAlignment="1">
      <alignment horizontal="left"/>
    </xf>
    <xf numFmtId="0" fontId="46" fillId="10" borderId="180" xfId="0" applyFont="1" applyFill="1" applyBorder="1" applyAlignment="1">
      <alignment horizontal="center" vertical="center" wrapText="1"/>
    </xf>
    <xf numFmtId="0" fontId="15" fillId="10" borderId="4" xfId="0" applyFont="1" applyFill="1" applyBorder="1" applyAlignment="1">
      <alignment horizontal="left"/>
    </xf>
    <xf numFmtId="0" fontId="15" fillId="10" borderId="90" xfId="0" applyFont="1" applyFill="1" applyBorder="1" applyAlignment="1">
      <alignment vertical="center"/>
    </xf>
    <xf numFmtId="0" fontId="45" fillId="10" borderId="175" xfId="0" applyFont="1" applyFill="1" applyBorder="1"/>
    <xf numFmtId="0" fontId="9" fillId="10" borderId="90" xfId="0" applyFont="1" applyFill="1" applyBorder="1" applyAlignment="1">
      <alignment wrapText="1"/>
    </xf>
    <xf numFmtId="0" fontId="9" fillId="10" borderId="185" xfId="0" applyFont="1" applyFill="1" applyBorder="1"/>
    <xf numFmtId="0" fontId="9" fillId="10" borderId="181" xfId="0" applyFont="1" applyFill="1" applyBorder="1" applyAlignment="1">
      <alignment wrapText="1"/>
    </xf>
    <xf numFmtId="0" fontId="46" fillId="10" borderId="178" xfId="0" applyFont="1" applyFill="1" applyBorder="1" applyAlignment="1">
      <alignment horizontal="center" vertical="center"/>
    </xf>
    <xf numFmtId="0" fontId="9" fillId="10" borderId="177" xfId="0" applyFont="1" applyFill="1" applyBorder="1" applyAlignment="1">
      <alignment horizontal="left" vertical="center"/>
    </xf>
    <xf numFmtId="0" fontId="45" fillId="10" borderId="179" xfId="0" applyFont="1" applyFill="1" applyBorder="1" applyAlignment="1">
      <alignment vertical="center"/>
    </xf>
    <xf numFmtId="0" fontId="9" fillId="10" borderId="182" xfId="0" applyFont="1" applyFill="1" applyBorder="1" applyAlignment="1">
      <alignment wrapText="1"/>
    </xf>
    <xf numFmtId="0" fontId="46" fillId="10" borderId="180" xfId="0" applyFont="1" applyFill="1" applyBorder="1" applyAlignment="1">
      <alignment horizontal="center" vertical="center"/>
    </xf>
    <xf numFmtId="0" fontId="9" fillId="10" borderId="179" xfId="0" applyFont="1" applyFill="1" applyBorder="1" applyAlignment="1">
      <alignment horizontal="left"/>
    </xf>
    <xf numFmtId="0" fontId="9" fillId="10" borderId="4" xfId="0" applyFont="1" applyFill="1" applyBorder="1" applyAlignment="1">
      <alignment horizontal="left"/>
    </xf>
    <xf numFmtId="0" fontId="15" fillId="10" borderId="186" xfId="0" applyFont="1" applyFill="1" applyBorder="1" applyAlignment="1">
      <alignment vertical="center"/>
    </xf>
    <xf numFmtId="0" fontId="9" fillId="10" borderId="178" xfId="0" applyFont="1" applyFill="1" applyBorder="1" applyAlignment="1">
      <alignment horizontal="center" vertical="center"/>
    </xf>
    <xf numFmtId="0" fontId="9" fillId="10" borderId="4" xfId="0" applyFont="1" applyFill="1" applyBorder="1" applyAlignment="1">
      <alignment horizontal="center" vertical="center" wrapText="1"/>
    </xf>
    <xf numFmtId="0" fontId="9" fillId="10" borderId="185" xfId="0" applyFont="1" applyFill="1" applyBorder="1" applyAlignment="1">
      <alignment wrapText="1"/>
    </xf>
    <xf numFmtId="0" fontId="9" fillId="10" borderId="181" xfId="0" applyFont="1" applyFill="1" applyBorder="1" applyAlignment="1">
      <alignment horizontal="center" vertical="center" wrapText="1"/>
    </xf>
    <xf numFmtId="0" fontId="9" fillId="10" borderId="181" xfId="0" applyFont="1" applyFill="1" applyBorder="1"/>
    <xf numFmtId="0" fontId="9" fillId="10" borderId="179" xfId="0" applyFont="1" applyFill="1" applyBorder="1" applyAlignment="1">
      <alignment horizontal="left" vertical="center"/>
    </xf>
    <xf numFmtId="0" fontId="9" fillId="10" borderId="182" xfId="0" applyFont="1" applyFill="1" applyBorder="1" applyAlignment="1">
      <alignment horizontal="center" vertical="center" wrapText="1"/>
    </xf>
    <xf numFmtId="0" fontId="9" fillId="10" borderId="4" xfId="0" applyFont="1" applyFill="1" applyBorder="1" applyAlignment="1">
      <alignment horizontal="left" vertical="center"/>
    </xf>
    <xf numFmtId="0" fontId="45" fillId="10" borderId="175" xfId="0" applyFont="1" applyFill="1" applyBorder="1" applyAlignment="1">
      <alignment horizontal="left"/>
    </xf>
    <xf numFmtId="0" fontId="9" fillId="10" borderId="90" xfId="0" applyFont="1" applyFill="1" applyBorder="1"/>
    <xf numFmtId="0" fontId="9" fillId="10" borderId="177" xfId="0" applyFont="1" applyFill="1" applyBorder="1" applyAlignment="1">
      <alignment horizontal="left"/>
    </xf>
    <xf numFmtId="0" fontId="9" fillId="10" borderId="179" xfId="0" applyFont="1" applyFill="1" applyBorder="1"/>
    <xf numFmtId="0" fontId="15" fillId="10" borderId="75" xfId="0" applyFont="1" applyFill="1" applyBorder="1" applyAlignment="1">
      <alignment horizontal="left"/>
    </xf>
    <xf numFmtId="0" fontId="51" fillId="10" borderId="4" xfId="0" applyFont="1" applyFill="1" applyBorder="1" applyAlignment="1">
      <alignment vertical="center" wrapText="1"/>
    </xf>
    <xf numFmtId="168" fontId="9" fillId="10" borderId="4" xfId="0" applyNumberFormat="1" applyFont="1" applyFill="1" applyBorder="1" applyAlignment="1">
      <alignment horizontal="right" vertical="center"/>
    </xf>
    <xf numFmtId="0" fontId="9" fillId="10" borderId="175" xfId="0" applyFont="1" applyFill="1" applyBorder="1"/>
    <xf numFmtId="0" fontId="9" fillId="10" borderId="176" xfId="0" applyFont="1" applyFill="1" applyBorder="1" applyAlignment="1">
      <alignment horizontal="center"/>
    </xf>
    <xf numFmtId="0" fontId="9" fillId="10" borderId="177" xfId="0" applyFont="1" applyFill="1" applyBorder="1"/>
    <xf numFmtId="0" fontId="9" fillId="10" borderId="178" xfId="0" applyFont="1" applyFill="1" applyBorder="1" applyAlignment="1">
      <alignment horizontal="center"/>
    </xf>
    <xf numFmtId="0" fontId="46" fillId="10" borderId="178" xfId="0" applyFont="1" applyFill="1" applyBorder="1" applyAlignment="1">
      <alignment horizontal="center"/>
    </xf>
    <xf numFmtId="0" fontId="9" fillId="10" borderId="75" xfId="0" applyFont="1" applyFill="1" applyBorder="1" applyAlignment="1">
      <alignment vertical="center"/>
    </xf>
    <xf numFmtId="0" fontId="9" fillId="10" borderId="4" xfId="0" applyFont="1" applyFill="1" applyBorder="1" applyAlignment="1">
      <alignment vertical="center" wrapText="1"/>
    </xf>
    <xf numFmtId="0" fontId="9" fillId="10" borderId="180" xfId="0" applyFont="1" applyFill="1" applyBorder="1" applyAlignment="1">
      <alignment horizontal="center" vertical="center"/>
    </xf>
    <xf numFmtId="0" fontId="9" fillId="10" borderId="75" xfId="0" applyFont="1" applyFill="1" applyBorder="1"/>
    <xf numFmtId="0" fontId="38" fillId="10" borderId="178" xfId="0" applyFont="1" applyFill="1" applyBorder="1" applyAlignment="1">
      <alignment horizontal="center"/>
    </xf>
    <xf numFmtId="0" fontId="46" fillId="10" borderId="180" xfId="0" applyFont="1" applyFill="1" applyBorder="1" applyAlignment="1">
      <alignment horizontal="center"/>
    </xf>
    <xf numFmtId="0" fontId="9" fillId="10" borderId="185" xfId="0" applyFont="1" applyFill="1" applyBorder="1" applyAlignment="1">
      <alignment horizontal="center" vertical="center"/>
    </xf>
    <xf numFmtId="0" fontId="9" fillId="10" borderId="181" xfId="0" applyFont="1" applyFill="1" applyBorder="1" applyAlignment="1">
      <alignment horizontal="center" vertical="center"/>
    </xf>
    <xf numFmtId="0" fontId="46" fillId="10" borderId="181" xfId="0" applyFont="1" applyFill="1" applyBorder="1" applyAlignment="1">
      <alignment horizontal="center" vertical="center"/>
    </xf>
    <xf numFmtId="0" fontId="9" fillId="10" borderId="181" xfId="0" applyFont="1" applyFill="1" applyBorder="1" applyAlignment="1">
      <alignment horizontal="center"/>
    </xf>
    <xf numFmtId="0" fontId="46" fillId="10" borderId="182" xfId="0" applyFont="1" applyFill="1" applyBorder="1" applyAlignment="1">
      <alignment horizontal="center"/>
    </xf>
    <xf numFmtId="0" fontId="46" fillId="10" borderId="4" xfId="0" applyFont="1" applyFill="1" applyBorder="1" applyAlignment="1">
      <alignment horizontal="center"/>
    </xf>
    <xf numFmtId="0" fontId="46" fillId="10" borderId="182" xfId="0" applyFont="1" applyFill="1" applyBorder="1" applyAlignment="1">
      <alignment horizontal="center" vertical="center"/>
    </xf>
    <xf numFmtId="0" fontId="9" fillId="17" borderId="4" xfId="0" applyFont="1" applyFill="1" applyBorder="1" applyAlignment="1">
      <alignment horizontal="center"/>
    </xf>
    <xf numFmtId="165" fontId="9" fillId="17" borderId="4" xfId="0" applyNumberFormat="1" applyFont="1" applyFill="1" applyBorder="1" applyAlignment="1">
      <alignment horizontal="center" vertical="center"/>
    </xf>
    <xf numFmtId="165" fontId="9" fillId="0" borderId="0" xfId="0" applyNumberFormat="1" applyFont="1"/>
    <xf numFmtId="0" fontId="15" fillId="7" borderId="137" xfId="0" applyFont="1" applyFill="1" applyBorder="1"/>
    <xf numFmtId="165" fontId="15" fillId="7" borderId="186" xfId="0" applyNumberFormat="1" applyFont="1" applyFill="1" applyBorder="1" applyAlignment="1">
      <alignment horizontal="center"/>
    </xf>
    <xf numFmtId="0" fontId="9" fillId="12" borderId="4" xfId="0" applyFont="1" applyFill="1" applyBorder="1"/>
    <xf numFmtId="0" fontId="9" fillId="12" borderId="4" xfId="0" applyFont="1" applyFill="1" applyBorder="1" applyAlignment="1">
      <alignment horizontal="center"/>
    </xf>
    <xf numFmtId="165" fontId="9" fillId="12" borderId="4" xfId="0" applyNumberFormat="1" applyFont="1" applyFill="1" applyBorder="1" applyAlignment="1">
      <alignment horizontal="center"/>
    </xf>
    <xf numFmtId="0" fontId="9" fillId="12" borderId="114" xfId="0" applyFont="1" applyFill="1" applyBorder="1"/>
    <xf numFmtId="165" fontId="9" fillId="12" borderId="114" xfId="0" applyNumberFormat="1" applyFont="1" applyFill="1" applyBorder="1" applyAlignment="1">
      <alignment horizontal="center"/>
    </xf>
    <xf numFmtId="165" fontId="15" fillId="7" borderId="68" xfId="0" applyNumberFormat="1" applyFont="1" applyFill="1" applyBorder="1" applyAlignment="1">
      <alignment horizontal="center"/>
    </xf>
    <xf numFmtId="165" fontId="15" fillId="7" borderId="68" xfId="0" applyNumberFormat="1" applyFont="1" applyFill="1" applyBorder="1" applyAlignment="1">
      <alignment horizontal="center" wrapText="1"/>
    </xf>
    <xf numFmtId="0" fontId="9" fillId="12" borderId="75" xfId="0" applyFont="1" applyFill="1" applyBorder="1"/>
    <xf numFmtId="0" fontId="9" fillId="12" borderId="75" xfId="0" applyFont="1" applyFill="1" applyBorder="1" applyAlignment="1">
      <alignment horizontal="center"/>
    </xf>
    <xf numFmtId="0" fontId="62" fillId="7" borderId="21" xfId="0" applyFont="1" applyFill="1" applyBorder="1" applyAlignment="1">
      <alignment horizontal="center" vertical="center"/>
    </xf>
    <xf numFmtId="166" fontId="12" fillId="7" borderId="39" xfId="0" applyNumberFormat="1" applyFont="1" applyFill="1" applyBorder="1" applyAlignment="1">
      <alignment horizontal="center" vertical="center"/>
    </xf>
    <xf numFmtId="166" fontId="9" fillId="7" borderId="40" xfId="0" applyNumberFormat="1" applyFont="1" applyFill="1" applyBorder="1" applyAlignment="1">
      <alignment horizontal="center" vertical="center"/>
    </xf>
    <xf numFmtId="0" fontId="9" fillId="7" borderId="41" xfId="0" applyFont="1" applyFill="1" applyBorder="1" applyAlignment="1">
      <alignment horizontal="center" vertical="center"/>
    </xf>
    <xf numFmtId="2" fontId="9" fillId="7" borderId="42" xfId="0" applyNumberFormat="1" applyFont="1" applyFill="1" applyBorder="1" applyAlignment="1">
      <alignment horizontal="center" vertical="center"/>
    </xf>
    <xf numFmtId="166" fontId="9" fillId="7" borderId="43" xfId="0" applyNumberFormat="1" applyFont="1" applyFill="1" applyBorder="1" applyAlignment="1">
      <alignment horizontal="center" vertical="center"/>
    </xf>
    <xf numFmtId="0" fontId="5" fillId="0" borderId="0" xfId="0" applyFont="1" applyAlignment="1">
      <alignment horizontal="center" vertical="center"/>
    </xf>
    <xf numFmtId="0" fontId="9" fillId="3" borderId="189" xfId="0" applyFont="1" applyFill="1" applyBorder="1" applyAlignment="1">
      <alignment horizontal="left"/>
    </xf>
    <xf numFmtId="165" fontId="9" fillId="3" borderId="190" xfId="0" applyNumberFormat="1" applyFont="1" applyFill="1" applyBorder="1" applyAlignment="1">
      <alignment horizontal="center"/>
    </xf>
    <xf numFmtId="0" fontId="9" fillId="3" borderId="191" xfId="0" applyFont="1" applyFill="1" applyBorder="1" applyAlignment="1">
      <alignment horizontal="center"/>
    </xf>
    <xf numFmtId="0" fontId="9" fillId="3" borderId="191" xfId="0" applyFont="1" applyFill="1" applyBorder="1"/>
    <xf numFmtId="165" fontId="9" fillId="3" borderId="148" xfId="0" applyNumberFormat="1" applyFont="1" applyFill="1" applyBorder="1" applyAlignment="1">
      <alignment horizontal="center"/>
    </xf>
    <xf numFmtId="165" fontId="38" fillId="3" borderId="4" xfId="0" applyNumberFormat="1" applyFont="1" applyFill="1" applyBorder="1" applyAlignment="1">
      <alignment horizontal="center"/>
    </xf>
    <xf numFmtId="165" fontId="38" fillId="3" borderId="73" xfId="0" applyNumberFormat="1" applyFont="1" applyFill="1" applyBorder="1" applyAlignment="1">
      <alignment horizontal="center"/>
    </xf>
    <xf numFmtId="0" fontId="15" fillId="30" borderId="148" xfId="0" applyFont="1" applyFill="1" applyBorder="1"/>
    <xf numFmtId="0" fontId="15" fillId="31" borderId="148" xfId="0" applyFont="1" applyFill="1" applyBorder="1" applyAlignment="1">
      <alignment horizontal="center" vertical="center" wrapText="1"/>
    </xf>
    <xf numFmtId="0" fontId="15" fillId="32" borderId="148" xfId="0" applyFont="1" applyFill="1" applyBorder="1" applyAlignment="1">
      <alignment horizontal="center"/>
    </xf>
    <xf numFmtId="2" fontId="9" fillId="33" borderId="148" xfId="0" applyNumberFormat="1" applyFont="1" applyFill="1" applyBorder="1" applyAlignment="1">
      <alignment horizontal="center"/>
    </xf>
    <xf numFmtId="0" fontId="9" fillId="33" borderId="148" xfId="0" applyFont="1" applyFill="1" applyBorder="1"/>
    <xf numFmtId="0" fontId="15" fillId="7" borderId="18" xfId="0" applyFont="1" applyFill="1" applyBorder="1" applyAlignment="1">
      <alignment horizontal="center" vertical="center" wrapText="1"/>
    </xf>
    <xf numFmtId="0" fontId="10" fillId="30" borderId="148" xfId="0" applyFont="1" applyFill="1" applyBorder="1" applyAlignment="1">
      <alignment vertical="center"/>
    </xf>
    <xf numFmtId="1" fontId="9" fillId="32" borderId="148" xfId="0" applyNumberFormat="1" applyFont="1" applyFill="1" applyBorder="1" applyAlignment="1">
      <alignment horizontal="center"/>
    </xf>
    <xf numFmtId="1" fontId="9" fillId="33" borderId="148" xfId="0" applyNumberFormat="1" applyFont="1" applyFill="1" applyBorder="1" applyAlignment="1">
      <alignment horizontal="center"/>
    </xf>
    <xf numFmtId="0" fontId="15" fillId="7" borderId="192" xfId="0" applyFont="1" applyFill="1" applyBorder="1" applyAlignment="1">
      <alignment horizontal="center" vertical="center" wrapText="1"/>
    </xf>
    <xf numFmtId="0" fontId="9" fillId="5" borderId="35" xfId="0" applyFont="1" applyFill="1" applyBorder="1" applyAlignment="1">
      <alignment horizontal="right"/>
    </xf>
    <xf numFmtId="2" fontId="9" fillId="5" borderId="30" xfId="0" applyNumberFormat="1" applyFont="1" applyFill="1" applyBorder="1" applyAlignment="1">
      <alignment horizontal="right"/>
    </xf>
    <xf numFmtId="0" fontId="12" fillId="3" borderId="33" xfId="0" applyFont="1" applyFill="1" applyBorder="1"/>
    <xf numFmtId="0" fontId="12" fillId="3" borderId="34" xfId="0" applyFont="1" applyFill="1" applyBorder="1"/>
    <xf numFmtId="0" fontId="12" fillId="3" borderId="35" xfId="0" applyFont="1" applyFill="1" applyBorder="1"/>
    <xf numFmtId="0" fontId="12" fillId="3" borderId="44" xfId="0" applyFont="1" applyFill="1" applyBorder="1"/>
    <xf numFmtId="0" fontId="4" fillId="0" borderId="0" xfId="0" applyFont="1"/>
    <xf numFmtId="0" fontId="7" fillId="37" borderId="148" xfId="0" applyFont="1" applyFill="1" applyBorder="1"/>
    <xf numFmtId="0" fontId="10" fillId="4" borderId="195" xfId="0" applyFont="1" applyFill="1" applyBorder="1" applyAlignment="1">
      <alignment vertical="center"/>
    </xf>
    <xf numFmtId="0" fontId="7" fillId="36" borderId="196" xfId="0" applyFont="1" applyFill="1" applyBorder="1"/>
    <xf numFmtId="0" fontId="7" fillId="36" borderId="197" xfId="0" applyFont="1" applyFill="1" applyBorder="1"/>
    <xf numFmtId="0" fontId="11" fillId="5" borderId="195" xfId="0" applyFont="1" applyFill="1" applyBorder="1" applyAlignment="1">
      <alignment horizontal="left"/>
    </xf>
    <xf numFmtId="0" fontId="15" fillId="7" borderId="198" xfId="0" applyFont="1" applyFill="1" applyBorder="1" applyAlignment="1">
      <alignment horizontal="center" vertical="center" wrapText="1"/>
    </xf>
    <xf numFmtId="0" fontId="15" fillId="4" borderId="200" xfId="0" applyFont="1" applyFill="1" applyBorder="1"/>
    <xf numFmtId="0" fontId="15" fillId="7" borderId="198" xfId="0" applyFont="1" applyFill="1" applyBorder="1"/>
    <xf numFmtId="0" fontId="9" fillId="6" borderId="199" xfId="0" applyFont="1" applyFill="1" applyBorder="1" applyAlignment="1">
      <alignment horizontal="left"/>
    </xf>
    <xf numFmtId="0" fontId="9" fillId="6" borderId="205" xfId="0" applyFont="1" applyFill="1" applyBorder="1" applyAlignment="1">
      <alignment horizontal="center"/>
    </xf>
    <xf numFmtId="166" fontId="9" fillId="6" borderId="206" xfId="0" applyNumberFormat="1" applyFont="1" applyFill="1" applyBorder="1" applyAlignment="1">
      <alignment horizontal="center"/>
    </xf>
    <xf numFmtId="0" fontId="9" fillId="6" borderId="207" xfId="0" applyFont="1" applyFill="1" applyBorder="1" applyAlignment="1">
      <alignment horizontal="left"/>
    </xf>
    <xf numFmtId="0" fontId="9" fillId="6" borderId="148" xfId="0" applyFont="1" applyFill="1" applyBorder="1" applyAlignment="1">
      <alignment horizontal="center"/>
    </xf>
    <xf numFmtId="166" fontId="9" fillId="6" borderId="208" xfId="0" applyNumberFormat="1" applyFont="1" applyFill="1" applyBorder="1" applyAlignment="1">
      <alignment horizontal="center"/>
    </xf>
    <xf numFmtId="0" fontId="24" fillId="6" borderId="207" xfId="0" applyFont="1" applyFill="1" applyBorder="1"/>
    <xf numFmtId="0" fontId="9" fillId="6" borderId="201" xfId="0" applyFont="1" applyFill="1" applyBorder="1" applyAlignment="1">
      <alignment horizontal="left"/>
    </xf>
    <xf numFmtId="0" fontId="9" fillId="6" borderId="209" xfId="0" applyFont="1" applyFill="1" applyBorder="1" applyAlignment="1">
      <alignment horizontal="center"/>
    </xf>
    <xf numFmtId="166" fontId="9" fillId="6" borderId="210" xfId="0" applyNumberFormat="1" applyFont="1" applyFill="1" applyBorder="1" applyAlignment="1">
      <alignment horizontal="center"/>
    </xf>
    <xf numFmtId="0" fontId="15" fillId="7" borderId="209" xfId="0" applyFont="1" applyFill="1" applyBorder="1" applyAlignment="1">
      <alignment horizontal="center"/>
    </xf>
    <xf numFmtId="165" fontId="15" fillId="7" borderId="210" xfId="0" applyNumberFormat="1" applyFont="1" applyFill="1" applyBorder="1" applyAlignment="1">
      <alignment horizontal="center"/>
    </xf>
    <xf numFmtId="0" fontId="0" fillId="37" borderId="0" xfId="0" applyFill="1"/>
    <xf numFmtId="0" fontId="9" fillId="39" borderId="4" xfId="0" applyFont="1" applyFill="1" applyBorder="1"/>
    <xf numFmtId="0" fontId="15" fillId="3" borderId="138" xfId="0" applyFont="1" applyFill="1" applyBorder="1" applyAlignment="1">
      <alignment horizontal="center"/>
    </xf>
    <xf numFmtId="0" fontId="0" fillId="37" borderId="148" xfId="0" applyFill="1" applyBorder="1"/>
    <xf numFmtId="0" fontId="15" fillId="3" borderId="215" xfId="0" applyFont="1" applyFill="1" applyBorder="1" applyAlignment="1">
      <alignment horizontal="center"/>
    </xf>
    <xf numFmtId="0" fontId="15" fillId="3" borderId="216" xfId="0" applyFont="1" applyFill="1" applyBorder="1"/>
    <xf numFmtId="0" fontId="15" fillId="3" borderId="145" xfId="0" applyFont="1" applyFill="1" applyBorder="1" applyAlignment="1">
      <alignment horizontal="center"/>
    </xf>
    <xf numFmtId="0" fontId="9" fillId="3" borderId="217" xfId="0" applyFont="1" applyFill="1" applyBorder="1" applyAlignment="1">
      <alignment horizontal="left"/>
    </xf>
    <xf numFmtId="0" fontId="9" fillId="3" borderId="218" xfId="0" applyFont="1" applyFill="1" applyBorder="1" applyAlignment="1">
      <alignment horizontal="center"/>
    </xf>
    <xf numFmtId="0" fontId="24" fillId="3" borderId="217" xfId="0" applyFont="1" applyFill="1" applyBorder="1"/>
    <xf numFmtId="0" fontId="9" fillId="3" borderId="219" xfId="0" applyFont="1" applyFill="1" applyBorder="1" applyAlignment="1">
      <alignment horizontal="left"/>
    </xf>
    <xf numFmtId="0" fontId="9" fillId="3" borderId="220" xfId="0" applyFont="1" applyFill="1" applyBorder="1" applyAlignment="1">
      <alignment horizontal="center"/>
    </xf>
    <xf numFmtId="0" fontId="15" fillId="3" borderId="214" xfId="0" applyFont="1" applyFill="1" applyBorder="1"/>
    <xf numFmtId="0" fontId="15" fillId="41" borderId="72" xfId="0" applyFont="1" applyFill="1" applyBorder="1"/>
    <xf numFmtId="0" fontId="9" fillId="41" borderId="73" xfId="0" applyFont="1" applyFill="1" applyBorder="1" applyAlignment="1">
      <alignment horizontal="center"/>
    </xf>
    <xf numFmtId="0" fontId="9" fillId="41" borderId="74" xfId="0" applyFont="1" applyFill="1" applyBorder="1" applyAlignment="1">
      <alignment horizontal="center"/>
    </xf>
    <xf numFmtId="0" fontId="15" fillId="42" borderId="195" xfId="0" applyFont="1" applyFill="1" applyBorder="1"/>
    <xf numFmtId="0" fontId="15" fillId="42" borderId="196" xfId="0" applyFont="1" applyFill="1" applyBorder="1" applyAlignment="1">
      <alignment horizontal="center"/>
    </xf>
    <xf numFmtId="166" fontId="15" fillId="42" borderId="197" xfId="0" applyNumberFormat="1" applyFont="1" applyFill="1" applyBorder="1" applyAlignment="1">
      <alignment horizontal="center"/>
    </xf>
    <xf numFmtId="0" fontId="9" fillId="42" borderId="195" xfId="0" applyFont="1" applyFill="1" applyBorder="1"/>
    <xf numFmtId="0" fontId="9" fillId="42" borderId="196" xfId="0" applyFont="1" applyFill="1" applyBorder="1" applyAlignment="1">
      <alignment horizontal="center"/>
    </xf>
    <xf numFmtId="166" fontId="9" fillId="42" borderId="197" xfId="0" applyNumberFormat="1" applyFont="1" applyFill="1" applyBorder="1" applyAlignment="1">
      <alignment horizontal="center"/>
    </xf>
    <xf numFmtId="0" fontId="15" fillId="41" borderId="108" xfId="0" applyFont="1" applyFill="1" applyBorder="1"/>
    <xf numFmtId="0" fontId="9" fillId="41" borderId="110" xfId="0" applyFont="1" applyFill="1" applyBorder="1" applyAlignment="1">
      <alignment horizontal="center"/>
    </xf>
    <xf numFmtId="0" fontId="9" fillId="41" borderId="111" xfId="0" applyFont="1" applyFill="1" applyBorder="1" applyAlignment="1">
      <alignment horizontal="center"/>
    </xf>
    <xf numFmtId="0" fontId="9" fillId="41" borderId="73" xfId="0" applyFont="1" applyFill="1" applyBorder="1"/>
    <xf numFmtId="0" fontId="15" fillId="3" borderId="70" xfId="0" applyFont="1" applyFill="1" applyBorder="1"/>
    <xf numFmtId="0" fontId="15" fillId="3" borderId="148" xfId="0" applyFont="1" applyFill="1" applyBorder="1" applyAlignment="1">
      <alignment horizontal="center"/>
    </xf>
    <xf numFmtId="0" fontId="15" fillId="3" borderId="71" xfId="0" applyFont="1" applyFill="1" applyBorder="1" applyAlignment="1">
      <alignment horizontal="center"/>
    </xf>
    <xf numFmtId="0" fontId="22" fillId="51" borderId="148" xfId="0" applyFont="1" applyFill="1" applyBorder="1" applyAlignment="1">
      <alignment vertical="center"/>
    </xf>
    <xf numFmtId="0" fontId="28" fillId="16" borderId="93" xfId="0" applyFont="1" applyFill="1" applyBorder="1" applyAlignment="1">
      <alignment horizontal="center" wrapText="1"/>
    </xf>
    <xf numFmtId="0" fontId="28" fillId="16" borderId="94" xfId="0" applyFont="1" applyFill="1" applyBorder="1" applyAlignment="1">
      <alignment horizontal="center" wrapText="1"/>
    </xf>
    <xf numFmtId="0" fontId="28" fillId="16" borderId="95" xfId="0" applyFont="1" applyFill="1" applyBorder="1" applyAlignment="1">
      <alignment horizontal="center" wrapText="1"/>
    </xf>
    <xf numFmtId="165" fontId="9" fillId="3" borderId="70" xfId="0" applyNumberFormat="1" applyFont="1" applyFill="1" applyBorder="1" applyAlignment="1">
      <alignment horizontal="right"/>
    </xf>
    <xf numFmtId="165" fontId="9" fillId="3" borderId="148" xfId="0" applyNumberFormat="1" applyFont="1" applyFill="1" applyBorder="1" applyAlignment="1">
      <alignment horizontal="right"/>
    </xf>
    <xf numFmtId="165" fontId="9" fillId="3" borderId="71" xfId="0" applyNumberFormat="1" applyFont="1" applyFill="1" applyBorder="1" applyAlignment="1">
      <alignment horizontal="right"/>
    </xf>
    <xf numFmtId="165" fontId="9" fillId="3" borderId="72" xfId="0" applyNumberFormat="1" applyFont="1" applyFill="1" applyBorder="1" applyAlignment="1">
      <alignment horizontal="right"/>
    </xf>
    <xf numFmtId="165" fontId="9" fillId="3" borderId="129" xfId="0" applyNumberFormat="1" applyFont="1" applyFill="1" applyBorder="1" applyAlignment="1">
      <alignment horizontal="right"/>
    </xf>
    <xf numFmtId="165" fontId="9" fillId="3" borderId="74" xfId="0" applyNumberFormat="1" applyFont="1" applyFill="1" applyBorder="1" applyAlignment="1">
      <alignment horizontal="right"/>
    </xf>
    <xf numFmtId="0" fontId="9" fillId="3" borderId="148" xfId="0" applyFont="1" applyFill="1" applyBorder="1"/>
    <xf numFmtId="0" fontId="10" fillId="4" borderId="148" xfId="0" applyFont="1" applyFill="1" applyBorder="1" applyAlignment="1">
      <alignment horizontal="center" vertical="center"/>
    </xf>
    <xf numFmtId="0" fontId="0" fillId="56" borderId="148" xfId="0" applyFill="1" applyBorder="1"/>
    <xf numFmtId="0" fontId="0" fillId="54" borderId="148" xfId="0" applyFill="1" applyBorder="1"/>
    <xf numFmtId="0" fontId="9" fillId="5" borderId="148" xfId="0" applyFont="1" applyFill="1" applyBorder="1"/>
    <xf numFmtId="0" fontId="9" fillId="6" borderId="148" xfId="0" applyFont="1" applyFill="1" applyBorder="1"/>
    <xf numFmtId="0" fontId="63" fillId="0" borderId="227" xfId="0" applyFont="1" applyBorder="1" applyAlignment="1">
      <alignment horizontal="center"/>
    </xf>
    <xf numFmtId="0" fontId="63" fillId="0" borderId="190" xfId="0" applyFont="1" applyBorder="1" applyAlignment="1">
      <alignment horizontal="center"/>
    </xf>
    <xf numFmtId="0" fontId="0" fillId="0" borderId="222" xfId="0" applyBorder="1" applyAlignment="1">
      <alignment horizontal="center"/>
    </xf>
    <xf numFmtId="2" fontId="0" fillId="0" borderId="222" xfId="0" applyNumberFormat="1" applyBorder="1" applyAlignment="1">
      <alignment horizontal="center"/>
    </xf>
    <xf numFmtId="0" fontId="0" fillId="0" borderId="148" xfId="0" applyBorder="1" applyAlignment="1">
      <alignment horizontal="center"/>
    </xf>
    <xf numFmtId="2" fontId="0" fillId="0" borderId="148" xfId="0" applyNumberFormat="1" applyBorder="1" applyAlignment="1">
      <alignment horizontal="center"/>
    </xf>
    <xf numFmtId="2" fontId="15" fillId="8" borderId="233" xfId="0" applyNumberFormat="1" applyFont="1" applyFill="1" applyBorder="1" applyAlignment="1">
      <alignment horizontal="center"/>
    </xf>
    <xf numFmtId="0" fontId="3" fillId="0" borderId="148" xfId="0" applyFont="1" applyBorder="1" applyAlignment="1">
      <alignment horizontal="center"/>
    </xf>
    <xf numFmtId="2" fontId="3" fillId="0" borderId="148" xfId="0" applyNumberFormat="1" applyFont="1" applyBorder="1" applyAlignment="1">
      <alignment horizontal="center"/>
    </xf>
    <xf numFmtId="2" fontId="15" fillId="8" borderId="234" xfId="0" applyNumberFormat="1" applyFont="1" applyFill="1" applyBorder="1" applyAlignment="1">
      <alignment horizontal="center"/>
    </xf>
    <xf numFmtId="0" fontId="0" fillId="0" borderId="0" xfId="0" applyAlignment="1">
      <alignment horizontal="center"/>
    </xf>
    <xf numFmtId="0" fontId="9" fillId="59" borderId="90" xfId="0" applyFont="1" applyFill="1" applyBorder="1" applyAlignment="1">
      <alignment horizontal="center" vertical="center"/>
    </xf>
    <xf numFmtId="0" fontId="9" fillId="59" borderId="75" xfId="0" applyFont="1" applyFill="1" applyBorder="1" applyAlignment="1">
      <alignment horizontal="center" vertical="center"/>
    </xf>
    <xf numFmtId="0" fontId="15" fillId="61" borderId="148" xfId="0" applyFont="1" applyFill="1" applyBorder="1"/>
    <xf numFmtId="0" fontId="63" fillId="62" borderId="148" xfId="0" applyFont="1" applyFill="1" applyBorder="1" applyAlignment="1">
      <alignment horizontal="center"/>
    </xf>
    <xf numFmtId="2" fontId="0" fillId="62" borderId="148" xfId="0" applyNumberFormat="1" applyFill="1" applyBorder="1" applyAlignment="1">
      <alignment horizontal="center"/>
    </xf>
    <xf numFmtId="2" fontId="15" fillId="61" borderId="148" xfId="0" applyNumberFormat="1" applyFont="1" applyFill="1" applyBorder="1" applyAlignment="1">
      <alignment horizontal="center"/>
    </xf>
    <xf numFmtId="2" fontId="3" fillId="62" borderId="148" xfId="0" applyNumberFormat="1" applyFont="1" applyFill="1" applyBorder="1" applyAlignment="1">
      <alignment horizontal="center"/>
    </xf>
    <xf numFmtId="0" fontId="0" fillId="62" borderId="148" xfId="0" applyFill="1" applyBorder="1"/>
    <xf numFmtId="0" fontId="67" fillId="62" borderId="148" xfId="0" applyFont="1" applyFill="1" applyBorder="1" applyAlignment="1">
      <alignment vertical="center"/>
    </xf>
    <xf numFmtId="0" fontId="9" fillId="59" borderId="114" xfId="0" applyFont="1" applyFill="1" applyBorder="1" applyAlignment="1">
      <alignment horizontal="center" vertical="center"/>
    </xf>
    <xf numFmtId="0" fontId="9" fillId="59" borderId="88" xfId="0" applyFont="1" applyFill="1" applyBorder="1" applyAlignment="1">
      <alignment horizontal="center" vertical="center" wrapText="1"/>
    </xf>
    <xf numFmtId="0" fontId="9" fillId="59" borderId="88" xfId="0" applyFont="1" applyFill="1" applyBorder="1" applyAlignment="1">
      <alignment horizontal="center" vertical="center"/>
    </xf>
    <xf numFmtId="0" fontId="9" fillId="59" borderId="104" xfId="0" applyFont="1" applyFill="1" applyBorder="1" applyAlignment="1">
      <alignment horizontal="center" vertical="center" wrapText="1"/>
    </xf>
    <xf numFmtId="0" fontId="9" fillId="59" borderId="104" xfId="0" applyFont="1" applyFill="1" applyBorder="1" applyAlignment="1">
      <alignment horizontal="center" vertical="center"/>
    </xf>
    <xf numFmtId="0" fontId="9" fillId="59" borderId="75" xfId="0" applyFont="1" applyFill="1" applyBorder="1" applyAlignment="1">
      <alignment horizontal="center"/>
    </xf>
    <xf numFmtId="2" fontId="9" fillId="59" borderId="75" xfId="0" applyNumberFormat="1" applyFont="1" applyFill="1" applyBorder="1" applyAlignment="1">
      <alignment horizontal="center"/>
    </xf>
    <xf numFmtId="0" fontId="9" fillId="59" borderId="4" xfId="0" applyFont="1" applyFill="1" applyBorder="1" applyAlignment="1">
      <alignment horizontal="center"/>
    </xf>
    <xf numFmtId="2" fontId="9" fillId="59" borderId="4" xfId="0" applyNumberFormat="1" applyFont="1" applyFill="1" applyBorder="1" applyAlignment="1">
      <alignment horizontal="center"/>
    </xf>
    <xf numFmtId="2" fontId="9" fillId="59" borderId="4" xfId="0" applyNumberFormat="1" applyFont="1" applyFill="1" applyBorder="1" applyAlignment="1">
      <alignment horizontal="center" wrapText="1"/>
    </xf>
    <xf numFmtId="2" fontId="38" fillId="59" borderId="4" xfId="0" applyNumberFormat="1" applyFont="1" applyFill="1" applyBorder="1" applyAlignment="1">
      <alignment horizontal="center"/>
    </xf>
    <xf numFmtId="0" fontId="22" fillId="63" borderId="137" xfId="0" applyFont="1" applyFill="1" applyBorder="1"/>
    <xf numFmtId="0" fontId="22" fillId="63" borderId="68" xfId="0" applyFont="1" applyFill="1" applyBorder="1"/>
    <xf numFmtId="0" fontId="21" fillId="63" borderId="4" xfId="0" applyFont="1" applyFill="1" applyBorder="1"/>
    <xf numFmtId="0" fontId="0" fillId="44" borderId="0" xfId="0" applyFill="1"/>
    <xf numFmtId="165" fontId="9" fillId="59" borderId="4" xfId="0" applyNumberFormat="1" applyFont="1" applyFill="1" applyBorder="1" applyAlignment="1">
      <alignment horizontal="center" vertical="center"/>
    </xf>
    <xf numFmtId="0" fontId="9" fillId="59" borderId="4" xfId="0" applyFont="1" applyFill="1" applyBorder="1" applyAlignment="1">
      <alignment horizontal="center" vertical="center" wrapText="1"/>
    </xf>
    <xf numFmtId="0" fontId="9" fillId="59" borderId="4" xfId="0" applyFont="1" applyFill="1" applyBorder="1" applyAlignment="1">
      <alignment horizontal="center" vertical="center"/>
    </xf>
    <xf numFmtId="165" fontId="9" fillId="59" borderId="75" xfId="0" applyNumberFormat="1" applyFont="1" applyFill="1" applyBorder="1" applyAlignment="1">
      <alignment horizontal="center" vertical="center"/>
    </xf>
    <xf numFmtId="0" fontId="9" fillId="59" borderId="75" xfId="0" applyFont="1" applyFill="1" applyBorder="1" applyAlignment="1">
      <alignment horizontal="center" vertical="center" wrapText="1"/>
    </xf>
    <xf numFmtId="0" fontId="9" fillId="59" borderId="4" xfId="0" applyFont="1" applyFill="1" applyBorder="1" applyAlignment="1">
      <alignment vertical="center"/>
    </xf>
    <xf numFmtId="165" fontId="9" fillId="59" borderId="114" xfId="0" applyNumberFormat="1" applyFont="1" applyFill="1" applyBorder="1" applyAlignment="1">
      <alignment horizontal="center" vertical="center"/>
    </xf>
    <xf numFmtId="0" fontId="9" fillId="59" borderId="114" xfId="0" applyFont="1" applyFill="1" applyBorder="1" applyAlignment="1">
      <alignment horizontal="center" vertical="center" wrapText="1"/>
    </xf>
    <xf numFmtId="0" fontId="22" fillId="65" borderId="137" xfId="0" applyFont="1" applyFill="1" applyBorder="1" applyAlignment="1">
      <alignment horizontal="left"/>
    </xf>
    <xf numFmtId="0" fontId="22" fillId="65" borderId="68" xfId="0" applyFont="1" applyFill="1" applyBorder="1" applyAlignment="1">
      <alignment horizontal="left"/>
    </xf>
    <xf numFmtId="0" fontId="21" fillId="65" borderId="4" xfId="0" applyFont="1" applyFill="1" applyBorder="1"/>
    <xf numFmtId="0" fontId="0" fillId="66" borderId="0" xfId="0" applyFill="1"/>
    <xf numFmtId="0" fontId="9" fillId="59" borderId="123" xfId="0" applyFont="1" applyFill="1" applyBorder="1"/>
    <xf numFmtId="0" fontId="9" fillId="59" borderId="123" xfId="0" applyFont="1" applyFill="1" applyBorder="1" applyAlignment="1">
      <alignment horizontal="center"/>
    </xf>
    <xf numFmtId="0" fontId="9" fillId="59" borderId="85" xfId="0" applyFont="1" applyFill="1" applyBorder="1" applyAlignment="1">
      <alignment horizontal="center"/>
    </xf>
    <xf numFmtId="0" fontId="36" fillId="63" borderId="107" xfId="0" applyFont="1" applyFill="1" applyBorder="1" applyAlignment="1">
      <alignment horizontal="left"/>
    </xf>
    <xf numFmtId="0" fontId="21" fillId="63" borderId="107" xfId="0" applyFont="1" applyFill="1" applyBorder="1"/>
    <xf numFmtId="0" fontId="9" fillId="52" borderId="106" xfId="0" applyFont="1" applyFill="1" applyBorder="1"/>
    <xf numFmtId="0" fontId="9" fillId="52" borderId="107" xfId="0" applyFont="1" applyFill="1" applyBorder="1"/>
    <xf numFmtId="0" fontId="20" fillId="52" borderId="107" xfId="0" applyFont="1" applyFill="1" applyBorder="1" applyAlignment="1">
      <alignment horizontal="center" vertical="center"/>
    </xf>
    <xf numFmtId="0" fontId="9" fillId="52" borderId="4" xfId="0" applyFont="1" applyFill="1" applyBorder="1"/>
    <xf numFmtId="0" fontId="22" fillId="52" borderId="12" xfId="0" applyFont="1" applyFill="1" applyBorder="1" applyAlignment="1">
      <alignment horizontal="center"/>
    </xf>
    <xf numFmtId="0" fontId="22" fillId="52" borderId="5" xfId="0" applyFont="1" applyFill="1" applyBorder="1" applyAlignment="1">
      <alignment horizontal="center"/>
    </xf>
    <xf numFmtId="0" fontId="11" fillId="67" borderId="15" xfId="0" applyFont="1" applyFill="1" applyBorder="1" applyAlignment="1">
      <alignment horizontal="left"/>
    </xf>
    <xf numFmtId="0" fontId="11" fillId="67" borderId="11" xfId="0" applyFont="1" applyFill="1" applyBorder="1" applyAlignment="1">
      <alignment horizontal="left"/>
    </xf>
    <xf numFmtId="0" fontId="30" fillId="67" borderId="15" xfId="0" applyFont="1" applyFill="1" applyBorder="1"/>
    <xf numFmtId="0" fontId="11" fillId="67" borderId="10" xfId="0" applyFont="1" applyFill="1" applyBorder="1" applyAlignment="1">
      <alignment horizontal="left"/>
    </xf>
    <xf numFmtId="0" fontId="11" fillId="67" borderId="9" xfId="0" applyFont="1" applyFill="1" applyBorder="1" applyAlignment="1">
      <alignment horizontal="left"/>
    </xf>
    <xf numFmtId="165" fontId="33" fillId="57" borderId="236" xfId="0" applyNumberFormat="1" applyFont="1" applyFill="1" applyBorder="1" applyAlignment="1">
      <alignment horizontal="center"/>
    </xf>
    <xf numFmtId="0" fontId="9" fillId="39" borderId="3" xfId="0" applyFont="1" applyFill="1" applyBorder="1"/>
    <xf numFmtId="0" fontId="11" fillId="68" borderId="16" xfId="0" applyFont="1" applyFill="1" applyBorder="1"/>
    <xf numFmtId="0" fontId="68" fillId="56" borderId="0" xfId="0" applyFont="1" applyFill="1"/>
    <xf numFmtId="0" fontId="68" fillId="54" borderId="0" xfId="0" applyFont="1" applyFill="1"/>
    <xf numFmtId="0" fontId="68" fillId="56" borderId="16" xfId="0" applyFont="1" applyFill="1" applyBorder="1"/>
    <xf numFmtId="0" fontId="11" fillId="68" borderId="0" xfId="0" applyFont="1" applyFill="1"/>
    <xf numFmtId="0" fontId="11" fillId="69" borderId="0" xfId="0" applyFont="1" applyFill="1"/>
    <xf numFmtId="0" fontId="9" fillId="68" borderId="5" xfId="0" applyFont="1" applyFill="1" applyBorder="1"/>
    <xf numFmtId="165" fontId="9" fillId="68" borderId="5" xfId="0" applyNumberFormat="1" applyFont="1" applyFill="1" applyBorder="1" applyAlignment="1">
      <alignment horizontal="center"/>
    </xf>
    <xf numFmtId="165" fontId="9" fillId="68" borderId="7" xfId="0" applyNumberFormat="1" applyFont="1" applyFill="1" applyBorder="1" applyAlignment="1">
      <alignment horizontal="center"/>
    </xf>
    <xf numFmtId="0" fontId="15" fillId="7" borderId="5" xfId="0" applyFont="1" applyFill="1" applyBorder="1" applyAlignment="1">
      <alignment horizontal="center" wrapText="1"/>
    </xf>
    <xf numFmtId="0" fontId="15" fillId="7" borderId="239" xfId="0" applyFont="1" applyFill="1" applyBorder="1" applyAlignment="1">
      <alignment horizontal="center" vertical="center" wrapText="1"/>
    </xf>
    <xf numFmtId="0" fontId="9" fillId="7" borderId="7" xfId="0" applyFont="1" applyFill="1" applyBorder="1"/>
    <xf numFmtId="165" fontId="9" fillId="3" borderId="129" xfId="0" applyNumberFormat="1" applyFont="1" applyFill="1" applyBorder="1" applyAlignment="1">
      <alignment horizontal="center"/>
    </xf>
    <xf numFmtId="0" fontId="9" fillId="55" borderId="5" xfId="0" applyFont="1" applyFill="1" applyBorder="1"/>
    <xf numFmtId="165" fontId="9" fillId="55" borderId="5" xfId="0" applyNumberFormat="1" applyFont="1" applyFill="1" applyBorder="1" applyAlignment="1">
      <alignment horizontal="center"/>
    </xf>
    <xf numFmtId="165" fontId="9" fillId="69" borderId="7" xfId="0" applyNumberFormat="1" applyFont="1" applyFill="1" applyBorder="1" applyAlignment="1">
      <alignment horizontal="center"/>
    </xf>
    <xf numFmtId="0" fontId="9" fillId="55" borderId="9" xfId="0" applyFont="1" applyFill="1" applyBorder="1"/>
    <xf numFmtId="165" fontId="9" fillId="55" borderId="9" xfId="0" applyNumberFormat="1" applyFont="1" applyFill="1" applyBorder="1" applyAlignment="1">
      <alignment horizontal="center"/>
    </xf>
    <xf numFmtId="165" fontId="9" fillId="69" borderId="97" xfId="0" applyNumberFormat="1" applyFont="1" applyFill="1" applyBorder="1" applyAlignment="1">
      <alignment horizontal="center"/>
    </xf>
    <xf numFmtId="0" fontId="15" fillId="7" borderId="240" xfId="0" applyFont="1" applyFill="1" applyBorder="1" applyAlignment="1">
      <alignment horizontal="center" vertical="center" wrapText="1"/>
    </xf>
    <xf numFmtId="0" fontId="15" fillId="7" borderId="241" xfId="0" applyFont="1" applyFill="1" applyBorder="1" applyAlignment="1">
      <alignment horizontal="center" vertical="center" wrapText="1"/>
    </xf>
    <xf numFmtId="0" fontId="15" fillId="7" borderId="242" xfId="0" applyFont="1" applyFill="1" applyBorder="1" applyAlignment="1">
      <alignment horizontal="center" vertical="center" wrapText="1"/>
    </xf>
    <xf numFmtId="0" fontId="15" fillId="7" borderId="243" xfId="0" applyFont="1" applyFill="1" applyBorder="1" applyAlignment="1">
      <alignment horizontal="center" vertical="center" wrapText="1"/>
    </xf>
    <xf numFmtId="0" fontId="11" fillId="68" borderId="240" xfId="0" applyFont="1" applyFill="1" applyBorder="1" applyAlignment="1" applyProtection="1">
      <alignment horizontal="center"/>
      <protection locked="0"/>
    </xf>
    <xf numFmtId="0" fontId="12" fillId="68" borderId="241" xfId="0" applyFont="1" applyFill="1" applyBorder="1" applyAlignment="1">
      <alignment horizontal="center"/>
    </xf>
    <xf numFmtId="0" fontId="0" fillId="54" borderId="17" xfId="0" applyFill="1" applyBorder="1" applyAlignment="1">
      <alignment horizontal="center"/>
    </xf>
    <xf numFmtId="0" fontId="11" fillId="55" borderId="240" xfId="0" applyFont="1" applyFill="1" applyBorder="1" applyAlignment="1" applyProtection="1">
      <alignment horizontal="center"/>
      <protection locked="0"/>
    </xf>
    <xf numFmtId="0" fontId="12" fillId="55" borderId="241" xfId="0" applyFont="1" applyFill="1" applyBorder="1" applyAlignment="1">
      <alignment horizontal="center"/>
    </xf>
    <xf numFmtId="0" fontId="0" fillId="56" borderId="17" xfId="0" applyFill="1" applyBorder="1" applyAlignment="1">
      <alignment horizontal="center"/>
    </xf>
    <xf numFmtId="0" fontId="11" fillId="68" borderId="244" xfId="0" applyFont="1" applyFill="1" applyBorder="1" applyAlignment="1" applyProtection="1">
      <alignment horizontal="center"/>
      <protection locked="0"/>
    </xf>
    <xf numFmtId="0" fontId="12" fillId="68" borderId="244" xfId="0" applyFont="1" applyFill="1" applyBorder="1" applyAlignment="1">
      <alignment horizontal="center"/>
    </xf>
    <xf numFmtId="0" fontId="11" fillId="55" borderId="9" xfId="0" applyFont="1" applyFill="1" applyBorder="1" applyAlignment="1" applyProtection="1">
      <alignment horizontal="center"/>
      <protection locked="0"/>
    </xf>
    <xf numFmtId="0" fontId="12" fillId="55" borderId="245" xfId="0" applyFont="1" applyFill="1" applyBorder="1" applyAlignment="1">
      <alignment horizontal="center"/>
    </xf>
    <xf numFmtId="165" fontId="33" fillId="40" borderId="236" xfId="0" applyNumberFormat="1" applyFont="1" applyFill="1" applyBorder="1" applyAlignment="1">
      <alignment horizontal="center"/>
    </xf>
    <xf numFmtId="165" fontId="15" fillId="57" borderId="97" xfId="0" applyNumberFormat="1" applyFont="1" applyFill="1" applyBorder="1" applyAlignment="1">
      <alignment horizontal="center"/>
    </xf>
    <xf numFmtId="0" fontId="9" fillId="70" borderId="190" xfId="0" applyFont="1" applyFill="1" applyBorder="1" applyAlignment="1">
      <alignment horizontal="center"/>
    </xf>
    <xf numFmtId="166" fontId="29" fillId="71" borderId="190" xfId="0" applyNumberFormat="1" applyFont="1" applyFill="1" applyBorder="1" applyAlignment="1">
      <alignment horizontal="center"/>
    </xf>
    <xf numFmtId="2" fontId="9" fillId="3" borderId="148" xfId="0" applyNumberFormat="1" applyFont="1" applyFill="1" applyBorder="1"/>
    <xf numFmtId="1" fontId="9" fillId="3" borderId="148" xfId="0" applyNumberFormat="1" applyFont="1" applyFill="1" applyBorder="1"/>
    <xf numFmtId="166" fontId="9" fillId="3" borderId="148" xfId="0" applyNumberFormat="1" applyFont="1" applyFill="1" applyBorder="1"/>
    <xf numFmtId="165" fontId="0" fillId="54" borderId="243" xfId="0" applyNumberFormat="1" applyFill="1" applyBorder="1" applyAlignment="1">
      <alignment horizontal="center"/>
    </xf>
    <xf numFmtId="165" fontId="0" fillId="56" borderId="243" xfId="0" applyNumberFormat="1" applyFill="1" applyBorder="1" applyAlignment="1">
      <alignment horizontal="center"/>
    </xf>
    <xf numFmtId="165" fontId="0" fillId="37" borderId="148" xfId="0" applyNumberFormat="1" applyFill="1" applyBorder="1"/>
    <xf numFmtId="165" fontId="0" fillId="37" borderId="0" xfId="0" applyNumberFormat="1" applyFill="1"/>
    <xf numFmtId="0" fontId="0" fillId="72" borderId="0" xfId="0" applyFill="1"/>
    <xf numFmtId="165" fontId="9" fillId="68" borderId="239" xfId="0" applyNumberFormat="1" applyFont="1" applyFill="1" applyBorder="1" applyAlignment="1">
      <alignment horizontal="center"/>
    </xf>
    <xf numFmtId="165" fontId="9" fillId="55" borderId="239" xfId="0" applyNumberFormat="1" applyFont="1" applyFill="1" applyBorder="1" applyAlignment="1">
      <alignment horizontal="center"/>
    </xf>
    <xf numFmtId="0" fontId="12" fillId="55" borderId="34" xfId="0" applyFont="1" applyFill="1" applyBorder="1"/>
    <xf numFmtId="0" fontId="9" fillId="55" borderId="35" xfId="0" applyFont="1" applyFill="1" applyBorder="1" applyAlignment="1">
      <alignment horizontal="right"/>
    </xf>
    <xf numFmtId="0" fontId="0" fillId="56" borderId="0" xfId="0" applyFill="1"/>
    <xf numFmtId="0" fontId="12" fillId="5" borderId="9" xfId="0" applyFont="1" applyFill="1" applyBorder="1" applyAlignment="1" applyProtection="1">
      <alignment horizontal="center"/>
      <protection locked="0"/>
    </xf>
    <xf numFmtId="0" fontId="12" fillId="6" borderId="5" xfId="0" applyFont="1" applyFill="1" applyBorder="1" applyAlignment="1" applyProtection="1">
      <alignment horizontal="center"/>
      <protection locked="0"/>
    </xf>
    <xf numFmtId="0" fontId="12" fillId="5" borderId="5" xfId="0" applyFont="1" applyFill="1" applyBorder="1" applyAlignment="1" applyProtection="1">
      <alignment horizontal="center"/>
      <protection locked="0"/>
    </xf>
    <xf numFmtId="0" fontId="12" fillId="5" borderId="5" xfId="0" applyFont="1" applyFill="1" applyBorder="1" applyAlignment="1" applyProtection="1">
      <alignment horizontal="center" wrapText="1"/>
      <protection locked="0"/>
    </xf>
    <xf numFmtId="0" fontId="12" fillId="6" borderId="5" xfId="0" applyFont="1" applyFill="1" applyBorder="1" applyAlignment="1" applyProtection="1">
      <alignment horizontal="center" vertical="center" wrapText="1"/>
      <protection locked="0"/>
    </xf>
    <xf numFmtId="0" fontId="12" fillId="5" borderId="5" xfId="0" applyFon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protection locked="0"/>
    </xf>
    <xf numFmtId="1" fontId="12" fillId="5" borderId="5" xfId="0" applyNumberFormat="1" applyFont="1" applyFill="1" applyBorder="1" applyAlignment="1" applyProtection="1">
      <alignment horizontal="center"/>
      <protection locked="0"/>
    </xf>
    <xf numFmtId="164" fontId="12" fillId="5" borderId="5" xfId="0" applyNumberFormat="1" applyFont="1" applyFill="1" applyBorder="1" applyAlignment="1" applyProtection="1">
      <alignment horizontal="center"/>
      <protection locked="0"/>
    </xf>
    <xf numFmtId="1" fontId="12" fillId="6" borderId="5" xfId="0" applyNumberFormat="1" applyFont="1" applyFill="1" applyBorder="1" applyAlignment="1" applyProtection="1">
      <alignment horizontal="center"/>
      <protection locked="0"/>
    </xf>
    <xf numFmtId="164" fontId="12" fillId="6" borderId="5" xfId="0" applyNumberFormat="1" applyFont="1" applyFill="1" applyBorder="1" applyAlignment="1" applyProtection="1">
      <alignment horizontal="center"/>
      <protection locked="0"/>
    </xf>
    <xf numFmtId="0" fontId="12" fillId="5" borderId="5" xfId="0" applyFont="1" applyFill="1" applyBorder="1" applyAlignment="1" applyProtection="1">
      <alignment horizontal="center" vertical="center" wrapText="1"/>
      <protection locked="0"/>
    </xf>
    <xf numFmtId="0" fontId="12" fillId="5" borderId="12" xfId="0" applyFont="1" applyFill="1" applyBorder="1" applyAlignment="1" applyProtection="1">
      <alignment horizontal="center" wrapText="1"/>
      <protection locked="0"/>
    </xf>
    <xf numFmtId="0" fontId="12" fillId="6" borderId="5" xfId="0" applyFont="1" applyFill="1" applyBorder="1" applyAlignment="1" applyProtection="1">
      <alignment horizontal="center" wrapText="1"/>
      <protection locked="0"/>
    </xf>
    <xf numFmtId="0" fontId="12" fillId="6" borderId="12" xfId="0" applyFont="1" applyFill="1" applyBorder="1" applyAlignment="1" applyProtection="1">
      <alignment horizontal="center" wrapText="1"/>
      <protection locked="0"/>
    </xf>
    <xf numFmtId="0" fontId="12" fillId="5" borderId="12" xfId="0" applyFont="1" applyFill="1" applyBorder="1" applyAlignment="1" applyProtection="1">
      <alignment horizontal="center"/>
      <protection locked="0"/>
    </xf>
    <xf numFmtId="0" fontId="12" fillId="5" borderId="13" xfId="0" applyFont="1" applyFill="1" applyBorder="1" applyAlignment="1" applyProtection="1">
      <alignment horizontal="center" vertical="center"/>
      <protection locked="0"/>
    </xf>
    <xf numFmtId="0" fontId="12" fillId="6" borderId="12" xfId="0" applyFont="1" applyFill="1" applyBorder="1" applyAlignment="1" applyProtection="1">
      <alignment horizontal="center"/>
      <protection locked="0"/>
    </xf>
    <xf numFmtId="0" fontId="12" fillId="6" borderId="13" xfId="0" applyFont="1" applyFill="1" applyBorder="1" applyAlignment="1" applyProtection="1">
      <alignment horizontal="center" vertical="center"/>
      <protection locked="0"/>
    </xf>
    <xf numFmtId="0" fontId="12" fillId="55" borderId="5" xfId="0" applyFont="1" applyFill="1" applyBorder="1" applyAlignment="1" applyProtection="1">
      <alignment horizontal="center" wrapText="1"/>
      <protection locked="0"/>
    </xf>
    <xf numFmtId="0" fontId="12" fillId="55" borderId="5" xfId="0" applyFont="1" applyFill="1" applyBorder="1" applyAlignment="1" applyProtection="1">
      <alignment horizontal="center"/>
      <protection locked="0"/>
    </xf>
    <xf numFmtId="0" fontId="11" fillId="5" borderId="5" xfId="0" applyFont="1" applyFill="1" applyBorder="1"/>
    <xf numFmtId="0" fontId="11" fillId="5" borderId="21" xfId="0" applyFont="1" applyFill="1" applyBorder="1" applyProtection="1">
      <protection locked="0"/>
    </xf>
    <xf numFmtId="0" fontId="9" fillId="5" borderId="33" xfId="0" applyFont="1" applyFill="1" applyBorder="1" applyAlignment="1" applyProtection="1">
      <alignment horizontal="right"/>
      <protection locked="0"/>
    </xf>
    <xf numFmtId="0" fontId="12" fillId="5" borderId="34" xfId="0" applyFont="1" applyFill="1" applyBorder="1" applyProtection="1">
      <protection locked="0"/>
    </xf>
    <xf numFmtId="0" fontId="11" fillId="55" borderId="21" xfId="0" applyFont="1" applyFill="1" applyBorder="1" applyProtection="1">
      <protection locked="0"/>
    </xf>
    <xf numFmtId="0" fontId="9" fillId="69" borderId="33" xfId="0" applyFont="1" applyFill="1" applyBorder="1" applyAlignment="1" applyProtection="1">
      <alignment horizontal="right"/>
      <protection locked="0"/>
    </xf>
    <xf numFmtId="0" fontId="12" fillId="55" borderId="34" xfId="0" applyFont="1" applyFill="1" applyBorder="1" applyProtection="1">
      <protection locked="0"/>
    </xf>
    <xf numFmtId="0" fontId="12" fillId="5" borderId="33" xfId="0" applyFont="1" applyFill="1" applyBorder="1" applyProtection="1">
      <protection locked="0"/>
    </xf>
    <xf numFmtId="0" fontId="12" fillId="69" borderId="33" xfId="0" applyFont="1" applyFill="1" applyBorder="1" applyProtection="1">
      <protection locked="0"/>
    </xf>
    <xf numFmtId="0" fontId="12" fillId="69" borderId="33" xfId="0" applyFont="1" applyFill="1" applyBorder="1" applyAlignment="1" applyProtection="1">
      <alignment vertical="top" wrapText="1"/>
      <protection locked="0"/>
    </xf>
    <xf numFmtId="0" fontId="12" fillId="5" borderId="33" xfId="0" applyFont="1" applyFill="1" applyBorder="1" applyAlignment="1" applyProtection="1">
      <alignment wrapText="1"/>
      <protection locked="0"/>
    </xf>
    <xf numFmtId="0" fontId="12" fillId="69" borderId="33" xfId="0" applyFont="1" applyFill="1" applyBorder="1" applyAlignment="1" applyProtection="1">
      <alignment wrapText="1"/>
      <protection locked="0"/>
    </xf>
    <xf numFmtId="0" fontId="12" fillId="5" borderId="33" xfId="0" applyFont="1" applyFill="1" applyBorder="1" applyAlignment="1" applyProtection="1">
      <alignment vertical="top" wrapText="1"/>
      <protection locked="0"/>
    </xf>
    <xf numFmtId="0" fontId="12" fillId="69" borderId="34" xfId="0" applyFont="1" applyFill="1" applyBorder="1" applyProtection="1">
      <protection locked="0"/>
    </xf>
    <xf numFmtId="0" fontId="12" fillId="5" borderId="33" xfId="0" applyFont="1" applyFill="1" applyBorder="1" applyAlignment="1" applyProtection="1">
      <alignment vertical="center" wrapText="1"/>
      <protection locked="0"/>
    </xf>
    <xf numFmtId="0" fontId="12" fillId="69" borderId="33" xfId="0" applyFont="1" applyFill="1" applyBorder="1" applyAlignment="1" applyProtection="1">
      <alignment vertical="center" wrapText="1"/>
      <protection locked="0"/>
    </xf>
    <xf numFmtId="0" fontId="12" fillId="5" borderId="33" xfId="0" applyFont="1" applyFill="1" applyBorder="1" applyAlignment="1" applyProtection="1">
      <alignment vertical="center"/>
      <protection locked="0"/>
    </xf>
    <xf numFmtId="0" fontId="12" fillId="69" borderId="33" xfId="0" applyFont="1" applyFill="1" applyBorder="1" applyAlignment="1" applyProtection="1">
      <alignment vertical="center"/>
      <protection locked="0"/>
    </xf>
    <xf numFmtId="0" fontId="9" fillId="73" borderId="4" xfId="0" applyFont="1" applyFill="1" applyBorder="1"/>
    <xf numFmtId="0" fontId="10" fillId="73" borderId="4" xfId="0" applyFont="1" applyFill="1" applyBorder="1" applyAlignment="1">
      <alignment vertical="center"/>
    </xf>
    <xf numFmtId="0" fontId="9" fillId="73" borderId="4" xfId="0" applyFont="1" applyFill="1" applyBorder="1" applyAlignment="1">
      <alignment wrapText="1"/>
    </xf>
    <xf numFmtId="0" fontId="9" fillId="73" borderId="4" xfId="0" applyFont="1" applyFill="1" applyBorder="1" applyAlignment="1">
      <alignment horizontal="center" vertical="center"/>
    </xf>
    <xf numFmtId="0" fontId="5" fillId="72" borderId="0" xfId="0" applyFont="1" applyFill="1" applyAlignment="1">
      <alignment horizontal="center" vertical="center"/>
    </xf>
    <xf numFmtId="0" fontId="9" fillId="74" borderId="148" xfId="0" applyFont="1" applyFill="1" applyBorder="1" applyAlignment="1">
      <alignment horizontal="right"/>
    </xf>
    <xf numFmtId="0" fontId="9" fillId="73" borderId="148" xfId="0" applyFont="1" applyFill="1" applyBorder="1"/>
    <xf numFmtId="0" fontId="15" fillId="7" borderId="21" xfId="0" applyFont="1" applyFill="1" applyBorder="1" applyAlignment="1">
      <alignment horizontal="center" vertical="center" wrapText="1"/>
    </xf>
    <xf numFmtId="0" fontId="12" fillId="5" borderId="21" xfId="0" applyFont="1" applyFill="1" applyBorder="1"/>
    <xf numFmtId="0" fontId="12" fillId="55" borderId="21" xfId="0" applyFont="1" applyFill="1" applyBorder="1"/>
    <xf numFmtId="0" fontId="15" fillId="7" borderId="248" xfId="0" applyFont="1" applyFill="1" applyBorder="1"/>
    <xf numFmtId="0" fontId="9" fillId="7" borderId="249" xfId="0" applyFont="1" applyFill="1" applyBorder="1"/>
    <xf numFmtId="0" fontId="9" fillId="5" borderId="248" xfId="0" applyFont="1" applyFill="1" applyBorder="1" applyAlignment="1">
      <alignment horizontal="right"/>
    </xf>
    <xf numFmtId="166" fontId="9" fillId="5" borderId="249" xfId="0" applyNumberFormat="1" applyFont="1" applyFill="1" applyBorder="1" applyAlignment="1">
      <alignment horizontal="right"/>
    </xf>
    <xf numFmtId="0" fontId="9" fillId="69" borderId="248" xfId="0" applyFont="1" applyFill="1" applyBorder="1" applyAlignment="1">
      <alignment horizontal="right"/>
    </xf>
    <xf numFmtId="166" fontId="9" fillId="55" borderId="249" xfId="0" applyNumberFormat="1" applyFont="1" applyFill="1" applyBorder="1" applyAlignment="1">
      <alignment horizontal="right"/>
    </xf>
    <xf numFmtId="0" fontId="9" fillId="69" borderId="248" xfId="0" applyFont="1" applyFill="1" applyBorder="1" applyAlignment="1">
      <alignment horizontal="right" wrapText="1"/>
    </xf>
    <xf numFmtId="0" fontId="9" fillId="5" borderId="248" xfId="0" applyFont="1" applyFill="1" applyBorder="1"/>
    <xf numFmtId="0" fontId="9" fillId="69" borderId="248" xfId="0" applyFont="1" applyFill="1" applyBorder="1"/>
    <xf numFmtId="0" fontId="9" fillId="69" borderId="250" xfId="0" applyFont="1" applyFill="1" applyBorder="1"/>
    <xf numFmtId="166" fontId="9" fillId="55" borderId="97" xfId="0" applyNumberFormat="1" applyFont="1" applyFill="1" applyBorder="1" applyAlignment="1">
      <alignment horizontal="right"/>
    </xf>
    <xf numFmtId="0" fontId="16" fillId="3" borderId="148" xfId="0" applyFont="1" applyFill="1" applyBorder="1" applyAlignment="1">
      <alignment vertical="center" wrapText="1"/>
    </xf>
    <xf numFmtId="0" fontId="15" fillId="3" borderId="148" xfId="0" applyFont="1" applyFill="1" applyBorder="1"/>
    <xf numFmtId="0" fontId="11" fillId="55" borderId="195" xfId="0" applyFont="1" applyFill="1" applyBorder="1" applyAlignment="1">
      <alignment horizontal="left"/>
    </xf>
    <xf numFmtId="0" fontId="11" fillId="38" borderId="203" xfId="0" applyFont="1" applyFill="1" applyBorder="1" applyAlignment="1">
      <alignment horizontal="left"/>
    </xf>
    <xf numFmtId="0" fontId="11" fillId="75" borderId="4" xfId="0" applyFont="1" applyFill="1" applyBorder="1" applyAlignment="1">
      <alignment horizontal="left"/>
    </xf>
    <xf numFmtId="0" fontId="12" fillId="75" borderId="4" xfId="0" applyFont="1" applyFill="1" applyBorder="1" applyAlignment="1">
      <alignment horizontal="center"/>
    </xf>
    <xf numFmtId="0" fontId="12" fillId="75" borderId="4" xfId="0" applyFont="1" applyFill="1" applyBorder="1"/>
    <xf numFmtId="0" fontId="12" fillId="75" borderId="4" xfId="0" applyFont="1" applyFill="1" applyBorder="1" applyAlignment="1">
      <alignment horizontal="center" vertical="center"/>
    </xf>
    <xf numFmtId="0" fontId="12" fillId="75" borderId="4" xfId="0" applyFont="1" applyFill="1" applyBorder="1" applyAlignment="1">
      <alignment horizontal="center" wrapText="1"/>
    </xf>
    <xf numFmtId="0" fontId="11" fillId="75" borderId="4" xfId="0" applyFont="1" applyFill="1" applyBorder="1" applyAlignment="1">
      <alignment horizontal="center" vertical="center"/>
    </xf>
    <xf numFmtId="165" fontId="11" fillId="75" borderId="4" xfId="0" applyNumberFormat="1" applyFont="1" applyFill="1" applyBorder="1" applyAlignment="1">
      <alignment horizontal="center"/>
    </xf>
    <xf numFmtId="164" fontId="12" fillId="5" borderId="12" xfId="0" applyNumberFormat="1" applyFont="1" applyFill="1" applyBorder="1" applyAlignment="1" applyProtection="1">
      <alignment horizontal="center"/>
      <protection locked="0"/>
    </xf>
    <xf numFmtId="164" fontId="12" fillId="6" borderId="12" xfId="0" applyNumberFormat="1" applyFont="1" applyFill="1" applyBorder="1" applyAlignment="1" applyProtection="1">
      <alignment horizontal="center"/>
      <protection locked="0"/>
    </xf>
    <xf numFmtId="0" fontId="12" fillId="77" borderId="7" xfId="0" applyFont="1" applyFill="1" applyBorder="1"/>
    <xf numFmtId="0" fontId="12" fillId="77" borderId="148" xfId="0" applyFont="1" applyFill="1" applyBorder="1"/>
    <xf numFmtId="2" fontId="12" fillId="77" borderId="148" xfId="0" applyNumberFormat="1" applyFont="1" applyFill="1" applyBorder="1"/>
    <xf numFmtId="0" fontId="12" fillId="77" borderId="232" xfId="0" applyFont="1" applyFill="1" applyBorder="1"/>
    <xf numFmtId="0" fontId="12" fillId="77" borderId="235" xfId="0" applyFont="1" applyFill="1" applyBorder="1"/>
    <xf numFmtId="164" fontId="12" fillId="6" borderId="231" xfId="0" applyNumberFormat="1" applyFont="1" applyFill="1" applyBorder="1" applyAlignment="1" applyProtection="1">
      <alignment horizontal="center"/>
      <protection locked="0"/>
    </xf>
    <xf numFmtId="0" fontId="15" fillId="7" borderId="11" xfId="0" applyFont="1" applyFill="1" applyBorder="1" applyAlignment="1">
      <alignment horizontal="center" vertical="center"/>
    </xf>
    <xf numFmtId="0" fontId="12" fillId="77" borderId="247" xfId="0" applyFont="1" applyFill="1" applyBorder="1"/>
    <xf numFmtId="165" fontId="12" fillId="77" borderId="17" xfId="0" applyNumberFormat="1" applyFont="1" applyFill="1" applyBorder="1" applyAlignment="1">
      <alignment horizontal="center"/>
    </xf>
    <xf numFmtId="165" fontId="9" fillId="12" borderId="75" xfId="0" applyNumberFormat="1" applyFont="1" applyFill="1" applyBorder="1"/>
    <xf numFmtId="0" fontId="6" fillId="78" borderId="1" xfId="0" applyFont="1" applyFill="1" applyBorder="1" applyAlignment="1">
      <alignment vertical="center"/>
    </xf>
    <xf numFmtId="0" fontId="7" fillId="79" borderId="2" xfId="0" applyFont="1" applyFill="1" applyBorder="1"/>
    <xf numFmtId="0" fontId="7" fillId="79" borderId="3" xfId="0" applyFont="1" applyFill="1" applyBorder="1"/>
    <xf numFmtId="2" fontId="9" fillId="3" borderId="148" xfId="0" applyNumberFormat="1" applyFont="1" applyFill="1" applyBorder="1" applyAlignment="1">
      <alignment horizontal="center"/>
    </xf>
    <xf numFmtId="0" fontId="9" fillId="3" borderId="148" xfId="0" applyFont="1" applyFill="1" applyBorder="1" applyAlignment="1">
      <alignment horizontal="center"/>
    </xf>
    <xf numFmtId="0" fontId="11" fillId="38" borderId="201" xfId="0" applyFont="1" applyFill="1" applyBorder="1"/>
    <xf numFmtId="0" fontId="11" fillId="69" borderId="201" xfId="0" applyFont="1" applyFill="1" applyBorder="1" applyAlignment="1">
      <alignment horizontal="left"/>
    </xf>
    <xf numFmtId="0" fontId="11" fillId="38" borderId="5" xfId="0" applyFont="1" applyFill="1" applyBorder="1" applyAlignment="1">
      <alignment horizontal="left"/>
    </xf>
    <xf numFmtId="0" fontId="11" fillId="55" borderId="5" xfId="0" applyFont="1" applyFill="1" applyBorder="1"/>
    <xf numFmtId="0" fontId="9" fillId="32" borderId="148" xfId="0" applyFont="1" applyFill="1" applyBorder="1" applyAlignment="1" applyProtection="1">
      <alignment horizontal="center"/>
      <protection locked="0"/>
    </xf>
    <xf numFmtId="0" fontId="9" fillId="33" borderId="148" xfId="0" applyFont="1" applyFill="1" applyBorder="1" applyAlignment="1" applyProtection="1">
      <alignment horizontal="center"/>
      <protection locked="0"/>
    </xf>
    <xf numFmtId="0" fontId="2" fillId="0" borderId="148" xfId="0" applyFont="1" applyBorder="1" applyAlignment="1">
      <alignment horizontal="center"/>
    </xf>
    <xf numFmtId="0" fontId="9" fillId="38" borderId="148" xfId="0" applyFont="1" applyFill="1" applyBorder="1" applyAlignment="1">
      <alignment wrapText="1"/>
    </xf>
    <xf numFmtId="0" fontId="9" fillId="68" borderId="148" xfId="0" applyFont="1" applyFill="1" applyBorder="1" applyAlignment="1">
      <alignment wrapText="1"/>
    </xf>
    <xf numFmtId="0" fontId="14" fillId="4" borderId="253" xfId="0" applyFont="1" applyFill="1" applyBorder="1" applyAlignment="1">
      <alignment horizontal="center" vertical="center" wrapText="1"/>
    </xf>
    <xf numFmtId="0" fontId="9" fillId="68" borderId="148" xfId="0" applyFont="1" applyFill="1" applyBorder="1"/>
    <xf numFmtId="0" fontId="9" fillId="69" borderId="148" xfId="0" applyFont="1" applyFill="1" applyBorder="1" applyAlignment="1">
      <alignment wrapText="1"/>
    </xf>
    <xf numFmtId="0" fontId="9" fillId="69" borderId="148" xfId="0" applyFont="1" applyFill="1" applyBorder="1"/>
    <xf numFmtId="0" fontId="9" fillId="55" borderId="148" xfId="0" applyFont="1" applyFill="1" applyBorder="1" applyAlignment="1">
      <alignment wrapText="1"/>
    </xf>
    <xf numFmtId="0" fontId="9" fillId="55" borderId="148" xfId="0" applyFont="1" applyFill="1" applyBorder="1"/>
    <xf numFmtId="0" fontId="0" fillId="80" borderId="148" xfId="0" applyFill="1" applyBorder="1"/>
    <xf numFmtId="0" fontId="9" fillId="32" borderId="148" xfId="0" applyFont="1" applyFill="1" applyBorder="1" applyAlignment="1">
      <alignment wrapText="1"/>
    </xf>
    <xf numFmtId="0" fontId="9" fillId="33" borderId="148" xfId="0" applyFont="1" applyFill="1" applyBorder="1" applyAlignment="1">
      <alignment wrapText="1"/>
    </xf>
    <xf numFmtId="0" fontId="9" fillId="39" borderId="148" xfId="0" applyFont="1" applyFill="1" applyBorder="1" applyAlignment="1">
      <alignment wrapText="1"/>
    </xf>
    <xf numFmtId="0" fontId="70" fillId="81" borderId="148" xfId="0" applyFont="1" applyFill="1" applyBorder="1" applyAlignment="1">
      <alignment horizontal="center" vertical="center" wrapText="1"/>
    </xf>
    <xf numFmtId="0" fontId="71" fillId="77" borderId="148" xfId="0" applyFont="1" applyFill="1" applyBorder="1"/>
    <xf numFmtId="0" fontId="14" fillId="82" borderId="148" xfId="0" applyFont="1" applyFill="1" applyBorder="1"/>
    <xf numFmtId="0" fontId="11" fillId="6" borderId="5" xfId="0" applyFont="1" applyFill="1" applyBorder="1"/>
    <xf numFmtId="0" fontId="1" fillId="56" borderId="148" xfId="0" applyFont="1" applyFill="1" applyBorder="1"/>
    <xf numFmtId="0" fontId="9" fillId="0" borderId="148" xfId="0" applyFont="1" applyBorder="1" applyAlignment="1">
      <alignment wrapText="1"/>
    </xf>
    <xf numFmtId="0" fontId="1" fillId="0" borderId="148" xfId="0" applyFont="1" applyBorder="1"/>
    <xf numFmtId="0" fontId="1" fillId="54" borderId="148" xfId="0" applyFont="1" applyFill="1" applyBorder="1"/>
    <xf numFmtId="2" fontId="12" fillId="6" borderId="5" xfId="0" applyNumberFormat="1" applyFont="1" applyFill="1" applyBorder="1" applyAlignment="1" applyProtection="1">
      <alignment horizontal="center"/>
      <protection locked="0"/>
    </xf>
    <xf numFmtId="2" fontId="12" fillId="5" borderId="5" xfId="0" applyNumberFormat="1" applyFont="1" applyFill="1" applyBorder="1" applyAlignment="1" applyProtection="1">
      <alignment horizontal="center"/>
      <protection locked="0"/>
    </xf>
    <xf numFmtId="0" fontId="12" fillId="5" borderId="193" xfId="0" applyFont="1" applyFill="1" applyBorder="1" applyAlignment="1" applyProtection="1">
      <alignment horizontal="center" vertical="center"/>
      <protection locked="0"/>
    </xf>
    <xf numFmtId="0" fontId="12" fillId="6" borderId="193" xfId="0" applyFont="1" applyFill="1" applyBorder="1" applyAlignment="1" applyProtection="1">
      <alignment horizontal="center"/>
      <protection locked="0"/>
    </xf>
    <xf numFmtId="0" fontId="12" fillId="55" borderId="252" xfId="0" applyFont="1" applyFill="1" applyBorder="1" applyAlignment="1" applyProtection="1">
      <alignment horizontal="center" vertical="center"/>
      <protection locked="0"/>
    </xf>
    <xf numFmtId="0" fontId="12" fillId="38" borderId="12" xfId="0" applyFont="1" applyFill="1" applyBorder="1" applyAlignment="1" applyProtection="1">
      <alignment horizontal="center"/>
      <protection locked="0"/>
    </xf>
    <xf numFmtId="0" fontId="12" fillId="38" borderId="194" xfId="0" applyFont="1"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11" fillId="55" borderId="17" xfId="0" applyFont="1" applyFill="1" applyBorder="1" applyAlignment="1" applyProtection="1">
      <alignment horizontal="center"/>
      <protection locked="0"/>
    </xf>
    <xf numFmtId="0" fontId="12" fillId="5" borderId="200" xfId="0" applyFont="1" applyFill="1" applyBorder="1" applyAlignment="1" applyProtection="1">
      <alignment horizontal="center" vertical="center"/>
      <protection locked="0"/>
    </xf>
    <xf numFmtId="0" fontId="12" fillId="55" borderId="200" xfId="0" applyFont="1" applyFill="1" applyBorder="1" applyAlignment="1" applyProtection="1">
      <alignment horizontal="center" vertical="center"/>
      <protection locked="0"/>
    </xf>
    <xf numFmtId="0" fontId="12" fillId="38" borderId="200" xfId="0" applyFont="1" applyFill="1" applyBorder="1" applyAlignment="1" applyProtection="1">
      <alignment horizontal="center" vertical="center"/>
      <protection locked="0"/>
    </xf>
    <xf numFmtId="0" fontId="12" fillId="69" borderId="202" xfId="0" applyFont="1" applyFill="1" applyBorder="1" applyAlignment="1" applyProtection="1">
      <alignment horizontal="center" vertical="center"/>
      <protection locked="0"/>
    </xf>
    <xf numFmtId="0" fontId="12" fillId="38" borderId="202" xfId="0" applyFont="1" applyFill="1" applyBorder="1" applyAlignment="1" applyProtection="1">
      <alignment horizontal="center" vertical="center"/>
      <protection hidden="1"/>
    </xf>
    <xf numFmtId="1" fontId="12" fillId="6" borderId="14" xfId="0" applyNumberFormat="1" applyFont="1" applyFill="1" applyBorder="1" applyAlignment="1" applyProtection="1">
      <alignment horizontal="center"/>
      <protection locked="0"/>
    </xf>
    <xf numFmtId="1" fontId="12" fillId="5" borderId="9" xfId="0" applyNumberFormat="1" applyFont="1" applyFill="1" applyBorder="1" applyAlignment="1" applyProtection="1">
      <alignment horizontal="center"/>
      <protection locked="0"/>
    </xf>
    <xf numFmtId="1" fontId="12" fillId="75" borderId="251" xfId="0" applyNumberFormat="1" applyFont="1" applyFill="1" applyBorder="1" applyAlignment="1">
      <alignment horizontal="center"/>
    </xf>
    <xf numFmtId="1" fontId="12" fillId="76" borderId="11" xfId="0" applyNumberFormat="1" applyFont="1" applyFill="1" applyBorder="1" applyAlignment="1">
      <alignment horizontal="center"/>
    </xf>
    <xf numFmtId="1" fontId="12" fillId="75" borderId="9" xfId="0" applyNumberFormat="1" applyFont="1" applyFill="1" applyBorder="1" applyAlignment="1">
      <alignment horizontal="center"/>
    </xf>
    <xf numFmtId="164" fontId="12" fillId="75" borderId="148" xfId="0" applyNumberFormat="1" applyFont="1" applyFill="1" applyBorder="1" applyAlignment="1">
      <alignment horizontal="center"/>
    </xf>
    <xf numFmtId="164" fontId="12" fillId="76" borderId="148" xfId="0" applyNumberFormat="1" applyFont="1" applyFill="1" applyBorder="1" applyAlignment="1">
      <alignment horizontal="center"/>
    </xf>
    <xf numFmtId="164" fontId="12" fillId="75" borderId="105" xfId="0" applyNumberFormat="1" applyFont="1" applyFill="1" applyBorder="1" applyAlignment="1">
      <alignment horizontal="center"/>
    </xf>
    <xf numFmtId="0" fontId="8" fillId="83" borderId="4" xfId="0" applyFont="1" applyFill="1" applyBorder="1"/>
    <xf numFmtId="0" fontId="9" fillId="83" borderId="4" xfId="0" applyFont="1" applyFill="1" applyBorder="1"/>
    <xf numFmtId="0" fontId="0" fillId="79" borderId="0" xfId="0" applyFill="1"/>
    <xf numFmtId="0" fontId="11" fillId="84" borderId="148" xfId="0" applyFont="1" applyFill="1" applyBorder="1" applyAlignment="1">
      <alignment horizontal="left"/>
    </xf>
    <xf numFmtId="0" fontId="11" fillId="85" borderId="148" xfId="0" applyFont="1" applyFill="1" applyBorder="1" applyAlignment="1">
      <alignment horizontal="left"/>
    </xf>
    <xf numFmtId="0" fontId="11" fillId="0" borderId="195" xfId="0" applyFont="1" applyBorder="1" applyAlignment="1">
      <alignment horizontal="left"/>
    </xf>
    <xf numFmtId="0" fontId="12" fillId="0" borderId="200" xfId="0" applyFont="1" applyBorder="1" applyAlignment="1" applyProtection="1">
      <alignment horizontal="center" vertical="center"/>
      <protection locked="0"/>
    </xf>
    <xf numFmtId="0" fontId="11" fillId="0" borderId="203" xfId="0" applyFont="1" applyBorder="1" applyAlignment="1">
      <alignment horizontal="left"/>
    </xf>
    <xf numFmtId="0" fontId="11" fillId="0" borderId="201" xfId="0" applyFont="1" applyBorder="1" applyAlignment="1">
      <alignment horizontal="left"/>
    </xf>
    <xf numFmtId="0" fontId="12" fillId="0" borderId="202" xfId="0" applyFont="1" applyBorder="1" applyAlignment="1" applyProtection="1">
      <alignment horizontal="center" vertical="center"/>
      <protection locked="0"/>
    </xf>
    <xf numFmtId="0" fontId="11" fillId="0" borderId="201" xfId="0" applyFont="1" applyBorder="1"/>
    <xf numFmtId="0" fontId="12" fillId="0" borderId="202" xfId="0" applyFont="1" applyBorder="1" applyAlignment="1" applyProtection="1">
      <alignment horizontal="center" vertical="center"/>
      <protection hidden="1"/>
    </xf>
    <xf numFmtId="0" fontId="11" fillId="85" borderId="255" xfId="0" applyFont="1" applyFill="1" applyBorder="1" applyAlignment="1">
      <alignment horizontal="left"/>
    </xf>
    <xf numFmtId="0" fontId="63" fillId="48" borderId="190" xfId="0" applyFont="1" applyFill="1" applyBorder="1" applyAlignment="1">
      <alignment horizontal="center" vertical="center" wrapText="1"/>
    </xf>
    <xf numFmtId="0" fontId="63" fillId="48" borderId="190" xfId="0" applyFont="1" applyFill="1" applyBorder="1" applyAlignment="1">
      <alignment horizontal="center" vertical="center"/>
    </xf>
    <xf numFmtId="0" fontId="11" fillId="38" borderId="148" xfId="0" applyFont="1" applyFill="1" applyBorder="1" applyAlignment="1">
      <alignment horizontal="left"/>
    </xf>
    <xf numFmtId="0" fontId="11" fillId="38" borderId="255" xfId="0" applyFont="1" applyFill="1" applyBorder="1" applyAlignment="1">
      <alignment horizontal="left"/>
    </xf>
    <xf numFmtId="0" fontId="0" fillId="86" borderId="0" xfId="0" applyFill="1" applyAlignment="1">
      <alignment horizontal="center"/>
    </xf>
    <xf numFmtId="0" fontId="0" fillId="86" borderId="148" xfId="0" applyFill="1" applyBorder="1" applyAlignment="1">
      <alignment horizontal="center"/>
    </xf>
    <xf numFmtId="0" fontId="0" fillId="86" borderId="255" xfId="0" applyFill="1" applyBorder="1" applyAlignment="1">
      <alignment horizontal="center"/>
    </xf>
    <xf numFmtId="0" fontId="15" fillId="7" borderId="257" xfId="0" applyFont="1" applyFill="1" applyBorder="1"/>
    <xf numFmtId="0" fontId="0" fillId="0" borderId="190" xfId="0" applyBorder="1"/>
    <xf numFmtId="1" fontId="0" fillId="86" borderId="0" xfId="0" applyNumberFormat="1" applyFill="1" applyAlignment="1">
      <alignment horizontal="center"/>
    </xf>
    <xf numFmtId="0" fontId="0" fillId="86" borderId="208" xfId="0" applyFill="1" applyBorder="1" applyAlignment="1">
      <alignment horizontal="center"/>
    </xf>
    <xf numFmtId="0" fontId="0" fillId="86" borderId="256" xfId="0" applyFill="1" applyBorder="1" applyAlignment="1">
      <alignment horizontal="center"/>
    </xf>
    <xf numFmtId="0" fontId="0" fillId="54" borderId="0" xfId="0" applyFill="1" applyAlignment="1">
      <alignment horizontal="center"/>
    </xf>
    <xf numFmtId="0" fontId="0" fillId="54" borderId="255" xfId="0" applyFill="1" applyBorder="1" applyAlignment="1">
      <alignment horizontal="center"/>
    </xf>
    <xf numFmtId="0" fontId="0" fillId="54" borderId="256" xfId="0" applyFill="1" applyBorder="1" applyAlignment="1">
      <alignment horizontal="center"/>
    </xf>
    <xf numFmtId="1" fontId="0" fillId="86" borderId="255" xfId="0" applyNumberFormat="1" applyFill="1" applyBorder="1" applyAlignment="1">
      <alignment horizontal="center"/>
    </xf>
    <xf numFmtId="0" fontId="15" fillId="7" borderId="254" xfId="0" applyFont="1" applyFill="1" applyBorder="1"/>
    <xf numFmtId="2" fontId="9" fillId="5" borderId="254" xfId="0" applyNumberFormat="1" applyFont="1" applyFill="1" applyBorder="1" applyAlignment="1">
      <alignment horizontal="right"/>
    </xf>
    <xf numFmtId="0" fontId="9" fillId="3" borderId="254" xfId="0" applyFont="1" applyFill="1" applyBorder="1"/>
    <xf numFmtId="2" fontId="9" fillId="7" borderId="258" xfId="0" applyNumberFormat="1" applyFont="1" applyFill="1" applyBorder="1" applyAlignment="1">
      <alignment horizontal="center" vertical="center"/>
    </xf>
    <xf numFmtId="167" fontId="9" fillId="3" borderId="190" xfId="0" applyNumberFormat="1" applyFont="1" applyFill="1" applyBorder="1" applyAlignment="1">
      <alignment horizontal="center"/>
    </xf>
    <xf numFmtId="0" fontId="15" fillId="7" borderId="248" xfId="0" applyFont="1" applyFill="1" applyBorder="1" applyAlignment="1">
      <alignment horizontal="center" vertical="center" wrapText="1"/>
    </xf>
    <xf numFmtId="0" fontId="15" fillId="7" borderId="30" xfId="0" applyFont="1" applyFill="1" applyBorder="1" applyAlignment="1">
      <alignment horizontal="center" vertical="center" wrapText="1"/>
    </xf>
    <xf numFmtId="0" fontId="15" fillId="7" borderId="249" xfId="0" applyFont="1" applyFill="1" applyBorder="1" applyAlignment="1">
      <alignment horizontal="center" vertical="center" wrapText="1"/>
    </xf>
    <xf numFmtId="0" fontId="7" fillId="0" borderId="148" xfId="0" applyFont="1" applyBorder="1"/>
    <xf numFmtId="0" fontId="9" fillId="73" borderId="232" xfId="0" applyFont="1" applyFill="1" applyBorder="1"/>
    <xf numFmtId="0" fontId="0" fillId="72" borderId="232" xfId="0" applyFill="1" applyBorder="1"/>
    <xf numFmtId="0" fontId="28" fillId="0" borderId="148" xfId="0" applyFont="1" applyBorder="1" applyAlignment="1">
      <alignment horizontal="center"/>
    </xf>
    <xf numFmtId="0" fontId="11" fillId="84" borderId="148" xfId="0" applyFont="1" applyFill="1" applyBorder="1"/>
    <xf numFmtId="0" fontId="11" fillId="85" borderId="148" xfId="0" applyFont="1" applyFill="1" applyBorder="1"/>
    <xf numFmtId="0" fontId="7" fillId="86" borderId="148" xfId="0" applyFont="1" applyFill="1" applyBorder="1" applyAlignment="1">
      <alignment horizontal="center"/>
    </xf>
    <xf numFmtId="49" fontId="7" fillId="86" borderId="148" xfId="0" applyNumberFormat="1" applyFont="1" applyFill="1" applyBorder="1" applyAlignment="1">
      <alignment horizontal="center"/>
    </xf>
    <xf numFmtId="0" fontId="28" fillId="0" borderId="190" xfId="0" applyFont="1" applyBorder="1" applyAlignment="1">
      <alignment horizontal="center"/>
    </xf>
    <xf numFmtId="0" fontId="7" fillId="0" borderId="190" xfId="0" applyFont="1" applyBorder="1"/>
    <xf numFmtId="0" fontId="11" fillId="84" borderId="190" xfId="0" applyFont="1" applyFill="1" applyBorder="1"/>
    <xf numFmtId="0" fontId="7" fillId="86" borderId="190" xfId="0" applyFont="1" applyFill="1" applyBorder="1" applyAlignment="1">
      <alignment horizontal="center"/>
    </xf>
    <xf numFmtId="14" fontId="12" fillId="6" borderId="5" xfId="0" applyNumberFormat="1" applyFont="1" applyFill="1" applyBorder="1" applyAlignment="1" applyProtection="1">
      <alignment horizontal="center" vertical="center" wrapText="1"/>
      <protection locked="0"/>
    </xf>
    <xf numFmtId="14" fontId="12" fillId="5" borderId="5" xfId="0" applyNumberFormat="1" applyFont="1" applyFill="1" applyBorder="1" applyAlignment="1" applyProtection="1">
      <alignment horizontal="center" vertical="center" wrapText="1"/>
      <protection locked="0"/>
    </xf>
    <xf numFmtId="0" fontId="15" fillId="7" borderId="110" xfId="0" applyFont="1" applyFill="1" applyBorder="1" applyAlignment="1">
      <alignment horizontal="left" vertical="center"/>
    </xf>
    <xf numFmtId="0" fontId="15" fillId="7" borderId="110" xfId="0" applyFont="1" applyFill="1" applyBorder="1" applyAlignment="1">
      <alignment horizontal="center" vertical="center" wrapText="1"/>
    </xf>
    <xf numFmtId="0" fontId="15" fillId="89" borderId="110" xfId="0" applyFont="1" applyFill="1" applyBorder="1" applyAlignment="1">
      <alignment horizontal="center" vertical="center" wrapText="1"/>
    </xf>
    <xf numFmtId="0" fontId="9" fillId="90" borderId="70" xfId="0" applyFont="1" applyFill="1" applyBorder="1" applyAlignment="1">
      <alignment horizontal="left"/>
    </xf>
    <xf numFmtId="0" fontId="24" fillId="90" borderId="70" xfId="0" applyFont="1" applyFill="1" applyBorder="1"/>
    <xf numFmtId="0" fontId="0" fillId="86" borderId="0" xfId="0" applyFill="1"/>
    <xf numFmtId="0" fontId="0" fillId="86" borderId="148" xfId="0" applyFill="1" applyBorder="1"/>
    <xf numFmtId="0" fontId="9" fillId="90" borderId="189" xfId="0" applyFont="1" applyFill="1" applyBorder="1" applyAlignment="1">
      <alignment horizontal="left"/>
    </xf>
    <xf numFmtId="0" fontId="0" fillId="86" borderId="190" xfId="0" applyFill="1" applyBorder="1"/>
    <xf numFmtId="0" fontId="0" fillId="86" borderId="190" xfId="0" applyFill="1" applyBorder="1" applyAlignment="1">
      <alignment horizontal="center"/>
    </xf>
    <xf numFmtId="0" fontId="15" fillId="7" borderId="129" xfId="0" applyFont="1" applyFill="1" applyBorder="1" applyAlignment="1">
      <alignment horizontal="left" vertical="center"/>
    </xf>
    <xf numFmtId="0" fontId="15" fillId="7" borderId="129" xfId="0" applyFont="1" applyFill="1" applyBorder="1" applyAlignment="1">
      <alignment horizontal="center" vertical="center" wrapText="1"/>
    </xf>
    <xf numFmtId="0" fontId="15" fillId="89" borderId="129" xfId="0" applyFont="1" applyFill="1" applyBorder="1" applyAlignment="1">
      <alignment horizontal="center" vertical="center" wrapText="1"/>
    </xf>
    <xf numFmtId="0" fontId="15" fillId="91" borderId="70" xfId="0" applyFont="1" applyFill="1" applyBorder="1"/>
    <xf numFmtId="165" fontId="9" fillId="91" borderId="4" xfId="0" applyNumberFormat="1" applyFont="1" applyFill="1" applyBorder="1" applyAlignment="1">
      <alignment horizontal="center"/>
    </xf>
    <xf numFmtId="0" fontId="9" fillId="91" borderId="71" xfId="0" applyFont="1" applyFill="1" applyBorder="1" applyAlignment="1">
      <alignment horizontal="center"/>
    </xf>
    <xf numFmtId="0" fontId="15" fillId="92" borderId="229" xfId="0" applyFont="1" applyFill="1" applyBorder="1"/>
    <xf numFmtId="165" fontId="9" fillId="92" borderId="227" xfId="0" applyNumberFormat="1" applyFont="1" applyFill="1" applyBorder="1" applyAlignment="1">
      <alignment horizontal="center"/>
    </xf>
    <xf numFmtId="0" fontId="9" fillId="92" borderId="230" xfId="0" applyFont="1" applyFill="1" applyBorder="1" applyAlignment="1">
      <alignment horizontal="center"/>
    </xf>
    <xf numFmtId="0" fontId="9" fillId="92" borderId="108" xfId="0" applyFont="1" applyFill="1" applyBorder="1"/>
    <xf numFmtId="165" fontId="9" fillId="92" borderId="110" xfId="0" applyNumberFormat="1" applyFont="1" applyFill="1" applyBorder="1" applyAlignment="1">
      <alignment horizontal="center"/>
    </xf>
    <xf numFmtId="0" fontId="9" fillId="92" borderId="111" xfId="0" applyFont="1" applyFill="1" applyBorder="1" applyAlignment="1">
      <alignment horizontal="center" vertical="center"/>
    </xf>
    <xf numFmtId="0" fontId="9" fillId="93" borderId="67" xfId="0" applyFont="1" applyFill="1" applyBorder="1"/>
    <xf numFmtId="165" fontId="9" fillId="93" borderId="75" xfId="0" applyNumberFormat="1" applyFont="1" applyFill="1" applyBorder="1" applyAlignment="1">
      <alignment horizontal="center"/>
    </xf>
    <xf numFmtId="0" fontId="9" fillId="93" borderId="76" xfId="0" applyFont="1" applyFill="1" applyBorder="1" applyAlignment="1">
      <alignment horizontal="center"/>
    </xf>
    <xf numFmtId="165" fontId="15" fillId="7" borderId="129" xfId="0" applyNumberFormat="1" applyFont="1" applyFill="1" applyBorder="1" applyAlignment="1">
      <alignment horizontal="center" vertical="center" wrapText="1"/>
    </xf>
    <xf numFmtId="0" fontId="0" fillId="0" borderId="148" xfId="0" applyBorder="1"/>
    <xf numFmtId="0" fontId="63" fillId="48" borderId="227" xfId="0" applyFont="1" applyFill="1" applyBorder="1" applyAlignment="1">
      <alignment horizontal="center" vertical="center"/>
    </xf>
    <xf numFmtId="2" fontId="0" fillId="86" borderId="0" xfId="0" applyNumberFormat="1" applyFill="1" applyAlignment="1">
      <alignment horizontal="center"/>
    </xf>
    <xf numFmtId="2" fontId="0" fillId="86" borderId="0" xfId="0" applyNumberFormat="1" applyFill="1"/>
    <xf numFmtId="2" fontId="0" fillId="86" borderId="190" xfId="0" applyNumberFormat="1" applyFill="1" applyBorder="1" applyAlignment="1">
      <alignment horizontal="center"/>
    </xf>
    <xf numFmtId="2" fontId="0" fillId="86" borderId="190" xfId="0" applyNumberFormat="1" applyFill="1" applyBorder="1"/>
    <xf numFmtId="0" fontId="0" fillId="86" borderId="228" xfId="0" applyFill="1" applyBorder="1"/>
    <xf numFmtId="0" fontId="9" fillId="89" borderId="110" xfId="0" applyFont="1" applyFill="1" applyBorder="1"/>
    <xf numFmtId="0" fontId="15" fillId="89" borderId="110" xfId="0" applyFont="1" applyFill="1" applyBorder="1" applyAlignment="1">
      <alignment horizontal="center"/>
    </xf>
    <xf numFmtId="0" fontId="74" fillId="84" borderId="148" xfId="0" applyFont="1" applyFill="1" applyBorder="1"/>
    <xf numFmtId="0" fontId="74" fillId="84" borderId="148" xfId="0" applyFont="1" applyFill="1" applyBorder="1" applyAlignment="1">
      <alignment horizontal="center"/>
    </xf>
    <xf numFmtId="0" fontId="74" fillId="84" borderId="148" xfId="0" applyFont="1" applyFill="1" applyBorder="1" applyAlignment="1">
      <alignment horizontal="left"/>
    </xf>
    <xf numFmtId="0" fontId="74" fillId="95" borderId="148" xfId="0" applyFont="1" applyFill="1" applyBorder="1" applyAlignment="1">
      <alignment horizontal="center"/>
    </xf>
    <xf numFmtId="0" fontId="74" fillId="95" borderId="129" xfId="0" applyFont="1" applyFill="1" applyBorder="1"/>
    <xf numFmtId="0" fontId="74" fillId="95" borderId="129" xfId="0" applyFont="1" applyFill="1" applyBorder="1" applyAlignment="1">
      <alignment horizontal="center"/>
    </xf>
    <xf numFmtId="0" fontId="71" fillId="73" borderId="4" xfId="0" applyFont="1" applyFill="1" applyBorder="1" applyAlignment="1" applyProtection="1">
      <alignment horizontal="center" vertical="center" wrapText="1"/>
      <protection hidden="1"/>
    </xf>
    <xf numFmtId="1" fontId="71" fillId="76" borderId="148" xfId="0" applyNumberFormat="1" applyFont="1" applyFill="1" applyBorder="1" applyAlignment="1" applyProtection="1">
      <alignment horizontal="center"/>
      <protection hidden="1"/>
    </xf>
    <xf numFmtId="0" fontId="72" fillId="54" borderId="17" xfId="0" applyFont="1" applyFill="1" applyBorder="1" applyAlignment="1" applyProtection="1">
      <alignment horizontal="center"/>
      <protection locked="0"/>
    </xf>
    <xf numFmtId="0" fontId="11" fillId="6" borderId="246" xfId="0" applyFont="1" applyFill="1" applyBorder="1" applyAlignment="1" applyProtection="1">
      <alignment horizontal="center"/>
      <protection locked="0"/>
    </xf>
    <xf numFmtId="0" fontId="12" fillId="5" borderId="5" xfId="0" applyFont="1" applyFill="1" applyBorder="1" applyAlignment="1" applyProtection="1">
      <alignment horizontal="center"/>
      <protection locked="0" hidden="1"/>
    </xf>
    <xf numFmtId="0" fontId="12" fillId="55" borderId="5" xfId="0" applyFont="1" applyFill="1" applyBorder="1" applyAlignment="1" applyProtection="1">
      <alignment horizontal="center"/>
      <protection locked="0" hidden="1"/>
    </xf>
    <xf numFmtId="0" fontId="10" fillId="4" borderId="0" xfId="0" applyFont="1" applyFill="1" applyAlignment="1">
      <alignment horizontal="center" vertical="center"/>
    </xf>
    <xf numFmtId="0" fontId="10" fillId="4" borderId="0" xfId="0" applyFont="1" applyFill="1" applyAlignment="1">
      <alignment horizontal="center"/>
    </xf>
    <xf numFmtId="0" fontId="75" fillId="75" borderId="16" xfId="0" applyFont="1" applyFill="1" applyBorder="1" applyAlignment="1">
      <alignment horizontal="left"/>
    </xf>
    <xf numFmtId="0" fontId="75" fillId="75" borderId="16" xfId="0" applyFont="1" applyFill="1" applyBorder="1" applyAlignment="1">
      <alignment horizontal="center"/>
    </xf>
    <xf numFmtId="0" fontId="76" fillId="72" borderId="0" xfId="0" applyFont="1" applyFill="1" applyAlignment="1">
      <alignment horizontal="center"/>
    </xf>
    <xf numFmtId="0" fontId="75" fillId="76" borderId="16" xfId="0" applyFont="1" applyFill="1" applyBorder="1" applyAlignment="1">
      <alignment horizontal="left"/>
    </xf>
    <xf numFmtId="0" fontId="75" fillId="76" borderId="16" xfId="0" applyFont="1" applyFill="1" applyBorder="1" applyAlignment="1">
      <alignment horizontal="center"/>
    </xf>
    <xf numFmtId="166" fontId="75" fillId="76" borderId="16" xfId="0" applyNumberFormat="1" applyFont="1" applyFill="1" applyBorder="1" applyAlignment="1">
      <alignment horizontal="center"/>
    </xf>
    <xf numFmtId="0" fontId="75" fillId="75" borderId="0" xfId="0" applyFont="1" applyFill="1" applyAlignment="1">
      <alignment horizontal="center"/>
    </xf>
    <xf numFmtId="0" fontId="76" fillId="72" borderId="16" xfId="0" applyFont="1" applyFill="1" applyBorder="1" applyAlignment="1">
      <alignment horizontal="center"/>
    </xf>
    <xf numFmtId="0" fontId="75" fillId="76" borderId="54" xfId="0" applyFont="1" applyFill="1" applyBorder="1" applyAlignment="1">
      <alignment horizontal="left"/>
    </xf>
    <xf numFmtId="0" fontId="75" fillId="75" borderId="54" xfId="0" applyFont="1" applyFill="1" applyBorder="1" applyAlignment="1">
      <alignment horizontal="center"/>
    </xf>
    <xf numFmtId="0" fontId="75" fillId="76" borderId="54" xfId="0" applyFont="1" applyFill="1" applyBorder="1" applyAlignment="1">
      <alignment horizontal="center"/>
    </xf>
    <xf numFmtId="0" fontId="75" fillId="72" borderId="16" xfId="0" applyFont="1" applyFill="1" applyBorder="1"/>
    <xf numFmtId="0" fontId="75" fillId="72" borderId="16" xfId="0" applyFont="1" applyFill="1" applyBorder="1" applyAlignment="1">
      <alignment horizontal="center"/>
    </xf>
    <xf numFmtId="0" fontId="75" fillId="75" borderId="50" xfId="0" applyFont="1" applyFill="1" applyBorder="1" applyAlignment="1">
      <alignment horizontal="center"/>
    </xf>
    <xf numFmtId="0" fontId="11" fillId="76" borderId="49" xfId="0" applyFont="1" applyFill="1" applyBorder="1"/>
    <xf numFmtId="0" fontId="11" fillId="76" borderId="50" xfId="0" applyFont="1" applyFill="1" applyBorder="1" applyAlignment="1">
      <alignment horizontal="center"/>
    </xf>
    <xf numFmtId="0" fontId="15" fillId="76" borderId="50" xfId="0" applyFont="1" applyFill="1" applyBorder="1" applyAlignment="1">
      <alignment horizontal="right"/>
    </xf>
    <xf numFmtId="166" fontId="11" fillId="76" borderId="50" xfId="0" applyNumberFormat="1" applyFont="1" applyFill="1" applyBorder="1" applyAlignment="1">
      <alignment horizontal="center"/>
    </xf>
    <xf numFmtId="0" fontId="11" fillId="75" borderId="49" xfId="0" applyFont="1" applyFill="1" applyBorder="1"/>
    <xf numFmtId="0" fontId="11" fillId="75" borderId="50" xfId="0" applyFont="1" applyFill="1" applyBorder="1" applyAlignment="1">
      <alignment horizontal="center"/>
    </xf>
    <xf numFmtId="0" fontId="15" fillId="75" borderId="50" xfId="0" applyFont="1" applyFill="1" applyBorder="1" applyAlignment="1">
      <alignment horizontal="right"/>
    </xf>
    <xf numFmtId="166" fontId="11" fillId="75" borderId="50" xfId="0" applyNumberFormat="1" applyFont="1" applyFill="1" applyBorder="1" applyAlignment="1">
      <alignment horizontal="center"/>
    </xf>
    <xf numFmtId="0" fontId="17" fillId="33" borderId="49" xfId="0" applyFont="1" applyFill="1" applyBorder="1"/>
    <xf numFmtId="0" fontId="9" fillId="33" borderId="50" xfId="0" applyFont="1" applyFill="1" applyBorder="1"/>
    <xf numFmtId="0" fontId="17" fillId="33" borderId="50" xfId="0" applyFont="1" applyFill="1" applyBorder="1" applyAlignment="1">
      <alignment horizontal="right"/>
    </xf>
    <xf numFmtId="0" fontId="17" fillId="32" borderId="49" xfId="0" applyFont="1" applyFill="1" applyBorder="1"/>
    <xf numFmtId="0" fontId="9" fillId="32" borderId="50" xfId="0" applyFont="1" applyFill="1" applyBorder="1"/>
    <xf numFmtId="0" fontId="17" fillId="32" borderId="50" xfId="0" applyFont="1" applyFill="1" applyBorder="1" applyAlignment="1">
      <alignment horizontal="right"/>
    </xf>
    <xf numFmtId="0" fontId="11" fillId="32" borderId="16" xfId="0" applyFont="1" applyFill="1" applyBorder="1"/>
    <xf numFmtId="0" fontId="11" fillId="33" borderId="16" xfId="0" applyFont="1" applyFill="1" applyBorder="1"/>
    <xf numFmtId="0" fontId="15" fillId="7" borderId="9" xfId="0" applyFont="1" applyFill="1" applyBorder="1" applyAlignment="1">
      <alignment horizontal="left" vertical="center" wrapText="1"/>
    </xf>
    <xf numFmtId="0" fontId="11" fillId="5" borderId="6" xfId="0" applyFont="1" applyFill="1" applyBorder="1" applyAlignment="1">
      <alignment horizontal="left"/>
    </xf>
    <xf numFmtId="0" fontId="7" fillId="0" borderId="7" xfId="0" applyFont="1" applyBorder="1"/>
    <xf numFmtId="0" fontId="11" fillId="6" borderId="6" xfId="0" applyFont="1" applyFill="1" applyBorder="1" applyAlignment="1">
      <alignment horizontal="left"/>
    </xf>
    <xf numFmtId="0" fontId="11" fillId="5" borderId="18" xfId="0" applyFont="1" applyFill="1" applyBorder="1" applyAlignment="1">
      <alignment horizontal="left"/>
    </xf>
    <xf numFmtId="0" fontId="7" fillId="0" borderId="97" xfId="0" applyFont="1" applyBorder="1"/>
    <xf numFmtId="0" fontId="14" fillId="4" borderId="12" xfId="0" applyFont="1" applyFill="1" applyBorder="1" applyAlignment="1">
      <alignment horizontal="left"/>
    </xf>
    <xf numFmtId="0" fontId="14" fillId="4" borderId="17" xfId="0" applyFont="1" applyFill="1" applyBorder="1" applyAlignment="1">
      <alignment horizontal="left"/>
    </xf>
    <xf numFmtId="0" fontId="14" fillId="4" borderId="7" xfId="0" applyFont="1" applyFill="1" applyBorder="1" applyAlignment="1">
      <alignment horizontal="left"/>
    </xf>
    <xf numFmtId="0" fontId="69" fillId="79" borderId="148" xfId="0" applyFont="1" applyFill="1" applyBorder="1" applyAlignment="1">
      <alignment horizontal="left" vertical="center" wrapText="1"/>
    </xf>
    <xf numFmtId="0" fontId="10" fillId="4" borderId="18" xfId="0" applyFont="1" applyFill="1" applyBorder="1" applyAlignment="1">
      <alignment horizontal="left" vertical="center"/>
    </xf>
    <xf numFmtId="0" fontId="7" fillId="0" borderId="19" xfId="0" applyFont="1" applyBorder="1"/>
    <xf numFmtId="0" fontId="7" fillId="0" borderId="20" xfId="0" applyFont="1" applyBorder="1"/>
    <xf numFmtId="0" fontId="10" fillId="4" borderId="105" xfId="0" applyFont="1" applyFill="1" applyBorder="1" applyAlignment="1">
      <alignment horizontal="left" vertical="center"/>
    </xf>
    <xf numFmtId="0" fontId="10" fillId="4" borderId="204" xfId="0" applyFont="1" applyFill="1" applyBorder="1" applyAlignment="1">
      <alignment horizontal="left" vertical="center"/>
    </xf>
    <xf numFmtId="0" fontId="10" fillId="34" borderId="6" xfId="0" applyFont="1" applyFill="1" applyBorder="1" applyAlignment="1">
      <alignment horizontal="left"/>
    </xf>
    <xf numFmtId="0" fontId="7" fillId="35" borderId="8" xfId="0" applyFont="1" applyFill="1" applyBorder="1"/>
    <xf numFmtId="0" fontId="7" fillId="35" borderId="7" xfId="0" applyFont="1" applyFill="1" applyBorder="1"/>
    <xf numFmtId="0" fontId="10" fillId="9" borderId="6" xfId="0" applyFont="1" applyFill="1" applyBorder="1" applyAlignment="1">
      <alignment horizontal="left"/>
    </xf>
    <xf numFmtId="0" fontId="7" fillId="0" borderId="8" xfId="0" applyFont="1" applyBorder="1"/>
    <xf numFmtId="0" fontId="10" fillId="4" borderId="12" xfId="0" applyFont="1" applyFill="1" applyBorder="1" applyAlignment="1">
      <alignment horizontal="left" vertical="center"/>
    </xf>
    <xf numFmtId="0" fontId="10" fillId="4" borderId="17" xfId="0" applyFont="1" applyFill="1" applyBorder="1" applyAlignment="1">
      <alignment horizontal="left" vertical="center"/>
    </xf>
    <xf numFmtId="0" fontId="10" fillId="4" borderId="7" xfId="0" applyFont="1" applyFill="1" applyBorder="1" applyAlignment="1">
      <alignment horizontal="left" vertical="center"/>
    </xf>
    <xf numFmtId="0" fontId="11" fillId="5" borderId="6" xfId="0" applyFont="1" applyFill="1" applyBorder="1" applyAlignment="1">
      <alignment horizontal="left" wrapText="1"/>
    </xf>
    <xf numFmtId="0" fontId="11" fillId="6" borderId="6" xfId="0" applyFont="1" applyFill="1" applyBorder="1" applyAlignment="1">
      <alignment horizontal="left" wrapText="1"/>
    </xf>
    <xf numFmtId="0" fontId="11" fillId="6" borderId="6" xfId="0" applyFont="1" applyFill="1" applyBorder="1" applyAlignment="1">
      <alignment horizontal="left" vertical="top" wrapText="1"/>
    </xf>
    <xf numFmtId="0" fontId="15" fillId="7" borderId="26" xfId="0" applyFont="1" applyFill="1" applyBorder="1" applyAlignment="1">
      <alignment horizontal="center" vertical="center"/>
    </xf>
    <xf numFmtId="0" fontId="7" fillId="0" borderId="27" xfId="0" applyFont="1" applyBorder="1"/>
    <xf numFmtId="0" fontId="7" fillId="0" borderId="28" xfId="0" applyFont="1" applyBorder="1"/>
    <xf numFmtId="0" fontId="69" fillId="79" borderId="254" xfId="0" applyFont="1" applyFill="1" applyBorder="1" applyAlignment="1">
      <alignment horizontal="left" vertical="center" wrapText="1"/>
    </xf>
    <xf numFmtId="0" fontId="10" fillId="4" borderId="21" xfId="0" applyFont="1" applyFill="1" applyBorder="1" applyAlignment="1">
      <alignment horizontal="left" vertical="center"/>
    </xf>
    <xf numFmtId="0" fontId="7" fillId="0" borderId="22" xfId="0" applyFont="1" applyBorder="1"/>
    <xf numFmtId="0" fontId="14" fillId="4" borderId="15" xfId="0" applyFont="1" applyFill="1" applyBorder="1"/>
    <xf numFmtId="0" fontId="7" fillId="0" borderId="148" xfId="0" applyFont="1" applyBorder="1"/>
    <xf numFmtId="0" fontId="7" fillId="0" borderId="247" xfId="0" applyFont="1" applyBorder="1"/>
    <xf numFmtId="0" fontId="15" fillId="7" borderId="25" xfId="0" applyFont="1" applyFill="1" applyBorder="1" applyAlignment="1">
      <alignment horizontal="center" vertical="center"/>
    </xf>
    <xf numFmtId="0" fontId="7" fillId="0" borderId="32" xfId="0" applyFont="1" applyBorder="1"/>
    <xf numFmtId="0" fontId="10" fillId="4" borderId="231" xfId="0" applyFont="1" applyFill="1" applyBorder="1" applyAlignment="1">
      <alignment horizontal="left" vertical="center"/>
    </xf>
    <xf numFmtId="0" fontId="10" fillId="4" borderId="232" xfId="0" applyFont="1" applyFill="1" applyBorder="1" applyAlignment="1">
      <alignment horizontal="left" vertical="center"/>
    </xf>
    <xf numFmtId="0" fontId="10" fillId="4" borderId="235" xfId="0" applyFont="1" applyFill="1" applyBorder="1" applyAlignment="1">
      <alignment horizontal="left" vertical="center"/>
    </xf>
    <xf numFmtId="0" fontId="9" fillId="87" borderId="12" xfId="0" applyFont="1" applyFill="1" applyBorder="1" applyAlignment="1" applyProtection="1">
      <alignment horizontal="center"/>
      <protection locked="0"/>
    </xf>
    <xf numFmtId="0" fontId="9" fillId="87" borderId="17" xfId="0" applyFont="1" applyFill="1" applyBorder="1" applyAlignment="1" applyProtection="1">
      <alignment horizontal="center"/>
      <protection locked="0"/>
    </xf>
    <xf numFmtId="0" fontId="9" fillId="88" borderId="12" xfId="0" applyFont="1" applyFill="1" applyBorder="1" applyAlignment="1" applyProtection="1">
      <alignment horizontal="center"/>
      <protection locked="0"/>
    </xf>
    <xf numFmtId="0" fontId="9" fillId="88" borderId="17" xfId="0" applyFont="1" applyFill="1" applyBorder="1" applyAlignment="1" applyProtection="1">
      <alignment horizontal="center"/>
      <protection locked="0"/>
    </xf>
    <xf numFmtId="0" fontId="9" fillId="88" borderId="18" xfId="0" applyFont="1" applyFill="1" applyBorder="1" applyAlignment="1" applyProtection="1">
      <alignment horizontal="center"/>
      <protection locked="0"/>
    </xf>
    <xf numFmtId="0" fontId="9" fillId="88" borderId="105" xfId="0" applyFont="1" applyFill="1" applyBorder="1" applyAlignment="1" applyProtection="1">
      <alignment horizontal="center"/>
      <protection locked="0"/>
    </xf>
    <xf numFmtId="0" fontId="15" fillId="57" borderId="18" xfId="0" applyFont="1" applyFill="1" applyBorder="1" applyAlignment="1">
      <alignment horizontal="left"/>
    </xf>
    <xf numFmtId="0" fontId="15" fillId="57" borderId="105" xfId="0" applyFont="1" applyFill="1" applyBorder="1" applyAlignment="1">
      <alignment horizontal="left"/>
    </xf>
    <xf numFmtId="0" fontId="15" fillId="57" borderId="238" xfId="0" applyFont="1" applyFill="1" applyBorder="1" applyAlignment="1">
      <alignment horizontal="left"/>
    </xf>
    <xf numFmtId="0" fontId="33" fillId="57" borderId="201" xfId="0" applyFont="1" applyFill="1" applyBorder="1" applyAlignment="1">
      <alignment horizontal="left"/>
    </xf>
    <xf numFmtId="0" fontId="33" fillId="57" borderId="196" xfId="0" applyFont="1" applyFill="1" applyBorder="1" applyAlignment="1">
      <alignment horizontal="left"/>
    </xf>
    <xf numFmtId="0" fontId="33" fillId="57" borderId="237" xfId="0" applyFont="1" applyFill="1" applyBorder="1" applyAlignment="1">
      <alignment horizontal="left"/>
    </xf>
    <xf numFmtId="0" fontId="22" fillId="16" borderId="231" xfId="0" applyFont="1" applyFill="1" applyBorder="1" applyAlignment="1">
      <alignment horizontal="center"/>
    </xf>
    <xf numFmtId="0" fontId="22" fillId="16" borderId="232" xfId="0" applyFont="1" applyFill="1" applyBorder="1" applyAlignment="1">
      <alignment horizontal="center"/>
    </xf>
    <xf numFmtId="0" fontId="22" fillId="16" borderId="235" xfId="0" applyFont="1" applyFill="1" applyBorder="1" applyAlignment="1">
      <alignment horizontal="center"/>
    </xf>
    <xf numFmtId="0" fontId="33" fillId="40" borderId="195" xfId="0" applyFont="1" applyFill="1" applyBorder="1" applyAlignment="1">
      <alignment horizontal="left"/>
    </xf>
    <xf numFmtId="0" fontId="33" fillId="40" borderId="196" xfId="0" applyFont="1" applyFill="1" applyBorder="1" applyAlignment="1">
      <alignment horizontal="left"/>
    </xf>
    <xf numFmtId="0" fontId="33" fillId="40" borderId="237" xfId="0" applyFont="1" applyFill="1" applyBorder="1" applyAlignment="1">
      <alignment horizontal="left"/>
    </xf>
    <xf numFmtId="0" fontId="15" fillId="3" borderId="221" xfId="0" applyFont="1" applyFill="1" applyBorder="1" applyAlignment="1">
      <alignment horizontal="center"/>
    </xf>
    <xf numFmtId="0" fontId="7" fillId="0" borderId="222" xfId="0" applyFont="1" applyBorder="1"/>
    <xf numFmtId="0" fontId="7" fillId="0" borderId="223" xfId="0" applyFont="1" applyBorder="1"/>
    <xf numFmtId="0" fontId="15" fillId="3" borderId="224" xfId="0" applyFont="1" applyFill="1" applyBorder="1" applyAlignment="1">
      <alignment horizontal="center"/>
    </xf>
    <xf numFmtId="0" fontId="7" fillId="0" borderId="96" xfId="0" applyFont="1" applyBorder="1"/>
    <xf numFmtId="0" fontId="7" fillId="0" borderId="225" xfId="0" applyFont="1" applyBorder="1"/>
    <xf numFmtId="0" fontId="15" fillId="3" borderId="61" xfId="0" applyFont="1" applyFill="1" applyBorder="1" applyAlignment="1">
      <alignment horizontal="center"/>
    </xf>
    <xf numFmtId="0" fontId="7" fillId="0" borderId="62" xfId="0" applyFont="1" applyBorder="1"/>
    <xf numFmtId="0" fontId="7" fillId="0" borderId="63" xfId="0" applyFont="1" applyBorder="1"/>
    <xf numFmtId="0" fontId="15" fillId="3" borderId="80" xfId="0" applyFont="1" applyFill="1" applyBorder="1" applyAlignment="1">
      <alignment horizontal="center"/>
    </xf>
    <xf numFmtId="0" fontId="7" fillId="0" borderId="81" xfId="0" applyFont="1" applyBorder="1"/>
    <xf numFmtId="0" fontId="7" fillId="0" borderId="82" xfId="0" applyFont="1" applyBorder="1"/>
    <xf numFmtId="0" fontId="64" fillId="45" borderId="91" xfId="0" applyFont="1" applyFill="1" applyBorder="1" applyAlignment="1">
      <alignment horizontal="center"/>
    </xf>
    <xf numFmtId="0" fontId="66" fillId="44" borderId="81" xfId="0" applyFont="1" applyFill="1" applyBorder="1"/>
    <xf numFmtId="0" fontId="66" fillId="44" borderId="92" xfId="0" applyFont="1" applyFill="1" applyBorder="1"/>
    <xf numFmtId="0" fontId="64" fillId="43" borderId="61" xfId="0" applyFont="1" applyFill="1" applyBorder="1" applyAlignment="1">
      <alignment horizontal="center"/>
    </xf>
    <xf numFmtId="0" fontId="66" fillId="44" borderId="62" xfId="0" applyFont="1" applyFill="1" applyBorder="1"/>
    <xf numFmtId="0" fontId="66" fillId="44" borderId="63" xfId="0" applyFont="1" applyFill="1" applyBorder="1"/>
    <xf numFmtId="0" fontId="15" fillId="7" borderId="195" xfId="0" applyFont="1" applyFill="1" applyBorder="1" applyAlignment="1">
      <alignment horizontal="center"/>
    </xf>
    <xf numFmtId="0" fontId="7" fillId="0" borderId="196" xfId="0" applyFont="1" applyBorder="1"/>
    <xf numFmtId="0" fontId="7" fillId="0" borderId="197" xfId="0" applyFont="1" applyBorder="1"/>
    <xf numFmtId="0" fontId="28" fillId="16" borderId="231" xfId="0" applyFont="1" applyFill="1" applyBorder="1" applyAlignment="1">
      <alignment horizontal="center"/>
    </xf>
    <xf numFmtId="0" fontId="7" fillId="0" borderId="232" xfId="0" applyFont="1" applyBorder="1"/>
    <xf numFmtId="0" fontId="7" fillId="0" borderId="235" xfId="0" applyFont="1" applyBorder="1"/>
    <xf numFmtId="0" fontId="28" fillId="16" borderId="195" xfId="0" applyFont="1" applyFill="1" applyBorder="1" applyAlignment="1">
      <alignment horizontal="center"/>
    </xf>
    <xf numFmtId="0" fontId="20" fillId="52" borderId="6" xfId="0" applyFont="1" applyFill="1" applyBorder="1" applyAlignment="1">
      <alignment horizontal="center" vertical="center"/>
    </xf>
    <xf numFmtId="0" fontId="7" fillId="44" borderId="8" xfId="0" applyFont="1" applyFill="1" applyBorder="1"/>
    <xf numFmtId="0" fontId="7" fillId="44" borderId="7" xfId="0" applyFont="1" applyFill="1" applyBorder="1"/>
    <xf numFmtId="0" fontId="22" fillId="53" borderId="6" xfId="0" applyFont="1" applyFill="1" applyBorder="1" applyAlignment="1">
      <alignment horizontal="center" vertical="center"/>
    </xf>
    <xf numFmtId="0" fontId="7" fillId="46" borderId="8" xfId="0" applyFont="1" applyFill="1" applyBorder="1"/>
    <xf numFmtId="0" fontId="7" fillId="46" borderId="7" xfId="0" applyFont="1" applyFill="1" applyBorder="1"/>
    <xf numFmtId="0" fontId="15" fillId="3" borderId="64" xfId="0" applyFont="1" applyFill="1" applyBorder="1" applyAlignment="1">
      <alignment horizontal="center"/>
    </xf>
    <xf numFmtId="0" fontId="7" fillId="0" borderId="65" xfId="0" applyFont="1" applyBorder="1"/>
    <xf numFmtId="0" fontId="7" fillId="0" borderId="66" xfId="0" applyFont="1" applyBorder="1"/>
    <xf numFmtId="0" fontId="15" fillId="3" borderId="77" xfId="0" applyFont="1" applyFill="1" applyBorder="1" applyAlignment="1">
      <alignment horizontal="center"/>
    </xf>
    <xf numFmtId="0" fontId="7" fillId="0" borderId="78" xfId="0" applyFont="1" applyBorder="1"/>
    <xf numFmtId="0" fontId="7" fillId="0" borderId="79" xfId="0" applyFont="1" applyBorder="1"/>
    <xf numFmtId="0" fontId="15" fillId="3" borderId="211" xfId="0" applyFont="1" applyFill="1" applyBorder="1" applyAlignment="1">
      <alignment horizontal="center"/>
    </xf>
    <xf numFmtId="0" fontId="15" fillId="3" borderId="212" xfId="0" applyFont="1" applyFill="1" applyBorder="1" applyAlignment="1">
      <alignment horizontal="center"/>
    </xf>
    <xf numFmtId="0" fontId="15" fillId="3" borderId="213" xfId="0" applyFont="1" applyFill="1" applyBorder="1" applyAlignment="1">
      <alignment horizontal="center"/>
    </xf>
    <xf numFmtId="0" fontId="15" fillId="3" borderId="214" xfId="0" applyFont="1" applyFill="1" applyBorder="1" applyAlignment="1">
      <alignment horizontal="center"/>
    </xf>
    <xf numFmtId="0" fontId="15" fillId="3" borderId="138" xfId="0" applyFont="1" applyFill="1" applyBorder="1" applyAlignment="1">
      <alignment horizontal="center"/>
    </xf>
    <xf numFmtId="0" fontId="15" fillId="3" borderId="215" xfId="0" applyFont="1" applyFill="1" applyBorder="1" applyAlignment="1">
      <alignment horizontal="center"/>
    </xf>
    <xf numFmtId="0" fontId="22" fillId="50" borderId="12" xfId="0" applyFont="1" applyFill="1" applyBorder="1" applyAlignment="1">
      <alignment horizontal="center" vertical="center"/>
    </xf>
    <xf numFmtId="0" fontId="22" fillId="50" borderId="17" xfId="0" applyFont="1" applyFill="1" applyBorder="1" applyAlignment="1">
      <alignment horizontal="center" vertical="center"/>
    </xf>
    <xf numFmtId="0" fontId="64" fillId="50" borderId="61" xfId="0" applyFont="1" applyFill="1" applyBorder="1" applyAlignment="1">
      <alignment horizontal="center"/>
    </xf>
    <xf numFmtId="0" fontId="22" fillId="49" borderId="6" xfId="0" applyFont="1" applyFill="1" applyBorder="1" applyAlignment="1">
      <alignment horizontal="center"/>
    </xf>
    <xf numFmtId="0" fontId="22" fillId="94" borderId="6" xfId="0" applyFont="1" applyFill="1" applyBorder="1" applyAlignment="1">
      <alignment horizontal="center"/>
    </xf>
    <xf numFmtId="0" fontId="64" fillId="45" borderId="61" xfId="0" applyFont="1" applyFill="1" applyBorder="1" applyAlignment="1">
      <alignment horizontal="center"/>
    </xf>
    <xf numFmtId="0" fontId="22" fillId="45" borderId="6" xfId="0" applyFont="1" applyFill="1" applyBorder="1" applyAlignment="1">
      <alignment horizontal="center"/>
    </xf>
    <xf numFmtId="0" fontId="22" fillId="47" borderId="6" xfId="0" applyFont="1" applyFill="1" applyBorder="1" applyAlignment="1">
      <alignment horizontal="center"/>
    </xf>
    <xf numFmtId="0" fontId="7" fillId="48" borderId="8" xfId="0" applyFont="1" applyFill="1" applyBorder="1"/>
    <xf numFmtId="0" fontId="7" fillId="48" borderId="7" xfId="0" applyFont="1" applyFill="1" applyBorder="1"/>
    <xf numFmtId="0" fontId="63" fillId="0" borderId="222" xfId="0" applyFont="1" applyBorder="1" applyAlignment="1">
      <alignment horizontal="center" vertical="center"/>
    </xf>
    <xf numFmtId="0" fontId="63" fillId="0" borderId="190" xfId="0" applyFont="1" applyBorder="1" applyAlignment="1">
      <alignment horizontal="center" vertical="center"/>
    </xf>
    <xf numFmtId="0" fontId="15" fillId="58" borderId="226" xfId="0" applyFont="1" applyFill="1" applyBorder="1" applyAlignment="1">
      <alignment horizontal="center"/>
    </xf>
    <xf numFmtId="0" fontId="15" fillId="58" borderId="227" xfId="0" applyFont="1" applyFill="1" applyBorder="1" applyAlignment="1">
      <alignment horizontal="center"/>
    </xf>
    <xf numFmtId="0" fontId="15" fillId="58" borderId="228" xfId="0" applyFont="1" applyFill="1" applyBorder="1" applyAlignment="1">
      <alignment horizontal="center"/>
    </xf>
    <xf numFmtId="0" fontId="15" fillId="8" borderId="233" xfId="0" applyFont="1" applyFill="1" applyBorder="1" applyAlignment="1">
      <alignment horizontal="center"/>
    </xf>
    <xf numFmtId="0" fontId="15" fillId="8" borderId="234" xfId="0" applyFont="1" applyFill="1" applyBorder="1" applyAlignment="1">
      <alignment horizontal="center"/>
    </xf>
    <xf numFmtId="0" fontId="67" fillId="0" borderId="0" xfId="0" applyFont="1" applyAlignment="1">
      <alignment horizontal="left" vertical="center"/>
    </xf>
    <xf numFmtId="0" fontId="22" fillId="11" borderId="6" xfId="0" applyFont="1" applyFill="1" applyBorder="1" applyAlignment="1">
      <alignment horizontal="left"/>
    </xf>
    <xf numFmtId="0" fontId="9" fillId="19" borderId="100" xfId="0" applyFont="1" applyFill="1" applyBorder="1" applyAlignment="1">
      <alignment horizontal="left"/>
    </xf>
    <xf numFmtId="0" fontId="7" fillId="0" borderId="2" xfId="0" applyFont="1" applyBorder="1"/>
    <xf numFmtId="0" fontId="7" fillId="0" borderId="3" xfId="0" applyFont="1" applyBorder="1"/>
    <xf numFmtId="0" fontId="9" fillId="19" borderId="105" xfId="0" applyFont="1" applyFill="1" applyBorder="1" applyAlignment="1">
      <alignment horizontal="left"/>
    </xf>
    <xf numFmtId="0" fontId="22" fillId="65" borderId="108" xfId="0" applyFont="1" applyFill="1" applyBorder="1" applyAlignment="1">
      <alignment horizontal="left" vertical="center"/>
    </xf>
    <xf numFmtId="0" fontId="7" fillId="66" borderId="109" xfId="0" applyFont="1" applyFill="1" applyBorder="1"/>
    <xf numFmtId="0" fontId="7" fillId="66" borderId="110" xfId="0" applyFont="1" applyFill="1" applyBorder="1"/>
    <xf numFmtId="0" fontId="15" fillId="59" borderId="108" xfId="0" applyFont="1" applyFill="1" applyBorder="1" applyAlignment="1">
      <alignment horizontal="center" vertical="center" wrapText="1"/>
    </xf>
    <xf numFmtId="0" fontId="7" fillId="60" borderId="109" xfId="0" applyFont="1" applyFill="1" applyBorder="1"/>
    <xf numFmtId="0" fontId="7" fillId="60" borderId="111" xfId="0" applyFont="1" applyFill="1" applyBorder="1"/>
    <xf numFmtId="0" fontId="9" fillId="0" borderId="113" xfId="0" applyFont="1" applyBorder="1" applyAlignment="1">
      <alignment horizontal="center" vertical="center"/>
    </xf>
    <xf numFmtId="0" fontId="0" fillId="0" borderId="0" xfId="0"/>
    <xf numFmtId="0" fontId="9" fillId="0" borderId="0" xfId="0" applyFont="1" applyAlignment="1">
      <alignment horizontal="center" vertical="center"/>
    </xf>
    <xf numFmtId="0" fontId="7" fillId="0" borderId="103" xfId="0" applyFont="1" applyBorder="1"/>
    <xf numFmtId="0" fontId="7" fillId="0" borderId="112" xfId="0" applyFont="1" applyBorder="1"/>
    <xf numFmtId="0" fontId="15" fillId="59" borderId="91" xfId="0" applyFont="1" applyFill="1" applyBorder="1" applyAlignment="1">
      <alignment horizontal="center" vertical="center" wrapText="1"/>
    </xf>
    <xf numFmtId="0" fontId="7" fillId="60" borderId="81" xfId="0" applyFont="1" applyFill="1" applyBorder="1"/>
    <xf numFmtId="0" fontId="7" fillId="60" borderId="92" xfId="0" applyFont="1" applyFill="1" applyBorder="1"/>
    <xf numFmtId="0" fontId="22" fillId="63" borderId="108" xfId="0" applyFont="1" applyFill="1" applyBorder="1" applyAlignment="1">
      <alignment horizontal="left"/>
    </xf>
    <xf numFmtId="0" fontId="7" fillId="44" borderId="109" xfId="0" applyFont="1" applyFill="1" applyBorder="1"/>
    <xf numFmtId="0" fontId="7" fillId="44" borderId="124" xfId="0" applyFont="1" applyFill="1" applyBorder="1"/>
    <xf numFmtId="0" fontId="7" fillId="0" borderId="115" xfId="0" applyFont="1" applyBorder="1"/>
    <xf numFmtId="0" fontId="9" fillId="8" borderId="125" xfId="0" applyFont="1" applyFill="1" applyBorder="1" applyAlignment="1">
      <alignment horizontal="center" vertical="center"/>
    </xf>
    <xf numFmtId="0" fontId="7" fillId="0" borderId="126" xfId="0" applyFont="1" applyBorder="1"/>
    <xf numFmtId="0" fontId="9" fillId="8" borderId="100" xfId="0" applyFont="1" applyFill="1" applyBorder="1" applyAlignment="1">
      <alignment horizontal="left" wrapText="1"/>
    </xf>
    <xf numFmtId="0" fontId="9" fillId="8" borderId="130" xfId="0" applyFont="1" applyFill="1" applyBorder="1" applyAlignment="1">
      <alignment horizontal="left" wrapText="1"/>
    </xf>
    <xf numFmtId="0" fontId="7" fillId="0" borderId="131" xfId="0" applyFont="1" applyBorder="1"/>
    <xf numFmtId="0" fontId="7" fillId="0" borderId="132" xfId="0" applyFont="1" applyBorder="1"/>
    <xf numFmtId="0" fontId="7" fillId="0" borderId="133" xfId="0" applyFont="1" applyBorder="1"/>
    <xf numFmtId="0" fontId="7" fillId="0" borderId="23" xfId="0" applyFont="1" applyBorder="1"/>
    <xf numFmtId="0" fontId="7" fillId="0" borderId="24" xfId="0" applyFont="1" applyBorder="1"/>
    <xf numFmtId="0" fontId="15" fillId="8" borderId="134" xfId="0" applyFont="1" applyFill="1" applyBorder="1" applyAlignment="1">
      <alignment horizontal="center"/>
    </xf>
    <xf numFmtId="0" fontId="7" fillId="0" borderId="135" xfId="0" applyFont="1" applyBorder="1"/>
    <xf numFmtId="0" fontId="9" fillId="8" borderId="134" xfId="0" applyFont="1" applyFill="1" applyBorder="1" applyAlignment="1">
      <alignment horizontal="left" wrapText="1"/>
    </xf>
    <xf numFmtId="0" fontId="22" fillId="64" borderId="91" xfId="0" applyFont="1" applyFill="1" applyBorder="1" applyAlignment="1">
      <alignment horizontal="left"/>
    </xf>
    <xf numFmtId="0" fontId="7" fillId="44" borderId="81" xfId="0" applyFont="1" applyFill="1" applyBorder="1"/>
    <xf numFmtId="0" fontId="7" fillId="44" borderId="136" xfId="0" applyFont="1" applyFill="1" applyBorder="1"/>
    <xf numFmtId="0" fontId="9" fillId="8" borderId="127" xfId="0" applyFont="1" applyFill="1" applyBorder="1" applyAlignment="1">
      <alignment horizontal="center" vertical="center"/>
    </xf>
    <xf numFmtId="0" fontId="7" fillId="0" borderId="44" xfId="0" applyFont="1" applyBorder="1"/>
    <xf numFmtId="0" fontId="9" fillId="8" borderId="128" xfId="0" applyFont="1" applyFill="1" applyBorder="1" applyAlignment="1">
      <alignment horizontal="center" vertical="center"/>
    </xf>
    <xf numFmtId="0" fontId="9" fillId="8" borderId="128" xfId="0" applyFont="1" applyFill="1" applyBorder="1" applyAlignment="1">
      <alignment horizontal="center" vertical="center" wrapText="1"/>
    </xf>
    <xf numFmtId="0" fontId="7" fillId="0" borderId="129" xfId="0" applyFont="1" applyBorder="1"/>
    <xf numFmtId="0" fontId="7" fillId="0" borderId="140" xfId="0" applyFont="1" applyBorder="1"/>
    <xf numFmtId="0" fontId="9" fillId="8" borderId="127" xfId="0" applyFont="1" applyFill="1" applyBorder="1" applyAlignment="1">
      <alignment horizontal="center" vertical="center" wrapText="1"/>
    </xf>
    <xf numFmtId="0" fontId="15" fillId="8" borderId="125" xfId="0" applyFont="1" applyFill="1" applyBorder="1" applyAlignment="1">
      <alignment horizontal="center" vertical="center" wrapText="1"/>
    </xf>
    <xf numFmtId="0" fontId="7" fillId="0" borderId="139" xfId="0" applyFont="1" applyBorder="1"/>
    <xf numFmtId="0" fontId="15" fillId="8" borderId="138" xfId="0" applyFont="1" applyFill="1" applyBorder="1" applyAlignment="1">
      <alignment horizontal="center" vertical="center"/>
    </xf>
    <xf numFmtId="0" fontId="7" fillId="0" borderId="136" xfId="0" applyFont="1" applyBorder="1"/>
    <xf numFmtId="0" fontId="9" fillId="0" borderId="141" xfId="0" applyFont="1" applyBorder="1" applyAlignment="1">
      <alignment horizontal="center" vertical="center"/>
    </xf>
    <xf numFmtId="0" fontId="9" fillId="8" borderId="152" xfId="0" applyFont="1" applyFill="1" applyBorder="1" applyAlignment="1">
      <alignment horizontal="center"/>
    </xf>
    <xf numFmtId="0" fontId="7" fillId="0" borderId="101" xfId="0" applyFont="1" applyBorder="1"/>
    <xf numFmtId="0" fontId="7" fillId="0" borderId="153" xfId="0" applyFont="1" applyBorder="1"/>
    <xf numFmtId="0" fontId="9" fillId="8" borderId="134" xfId="0" applyFont="1" applyFill="1" applyBorder="1" applyAlignment="1">
      <alignment horizontal="center"/>
    </xf>
    <xf numFmtId="0" fontId="15" fillId="8" borderId="130" xfId="0" applyFont="1" applyFill="1" applyBorder="1" applyAlignment="1">
      <alignment horizontal="center" vertical="center"/>
    </xf>
    <xf numFmtId="0" fontId="7" fillId="0" borderId="142" xfId="0" applyFont="1" applyBorder="1"/>
    <xf numFmtId="0" fontId="7" fillId="0" borderId="143" xfId="0" applyFont="1" applyBorder="1"/>
    <xf numFmtId="0" fontId="7" fillId="0" borderId="144" xfId="0" applyFont="1" applyBorder="1"/>
    <xf numFmtId="0" fontId="7" fillId="0" borderId="145" xfId="0" applyFont="1" applyBorder="1"/>
    <xf numFmtId="0" fontId="9" fillId="59" borderId="146" xfId="0" applyFont="1" applyFill="1" applyBorder="1" applyAlignment="1">
      <alignment horizontal="center"/>
    </xf>
    <xf numFmtId="0" fontId="7" fillId="60" borderId="147" xfId="0" applyFont="1" applyFill="1" applyBorder="1"/>
    <xf numFmtId="0" fontId="9" fillId="59" borderId="128" xfId="0" applyFont="1" applyFill="1" applyBorder="1" applyAlignment="1">
      <alignment horizontal="center" vertical="center" wrapText="1"/>
    </xf>
    <xf numFmtId="0" fontId="7" fillId="60" borderId="140" xfId="0" applyFont="1" applyFill="1" applyBorder="1"/>
    <xf numFmtId="0" fontId="9" fillId="59" borderId="152" xfId="0" applyFont="1" applyFill="1" applyBorder="1" applyAlignment="1">
      <alignment horizontal="center" vertical="center"/>
    </xf>
    <xf numFmtId="0" fontId="7" fillId="60" borderId="153" xfId="0" applyFont="1" applyFill="1" applyBorder="1"/>
    <xf numFmtId="0" fontId="9" fillId="59" borderId="127" xfId="0" applyFont="1" applyFill="1" applyBorder="1" applyAlignment="1">
      <alignment horizontal="center" vertical="center" wrapText="1"/>
    </xf>
    <xf numFmtId="0" fontId="9" fillId="59" borderId="127" xfId="0" applyFont="1" applyFill="1" applyBorder="1" applyAlignment="1">
      <alignment horizontal="center" vertical="center"/>
    </xf>
    <xf numFmtId="0" fontId="7" fillId="60" borderId="139" xfId="0" applyFont="1" applyFill="1" applyBorder="1"/>
    <xf numFmtId="0" fontId="15" fillId="8" borderId="165" xfId="0" applyFont="1" applyFill="1" applyBorder="1" applyAlignment="1">
      <alignment horizontal="center" vertical="center" wrapText="1"/>
    </xf>
    <xf numFmtId="0" fontId="9" fillId="59" borderId="125" xfId="0" applyFont="1" applyFill="1" applyBorder="1" applyAlignment="1">
      <alignment horizontal="center" vertical="center" wrapText="1"/>
    </xf>
    <xf numFmtId="0" fontId="15" fillId="8" borderId="125" xfId="0" applyFont="1" applyFill="1" applyBorder="1" applyAlignment="1">
      <alignment horizontal="center" vertical="center"/>
    </xf>
    <xf numFmtId="0" fontId="9" fillId="8" borderId="154" xfId="0" applyFont="1" applyFill="1" applyBorder="1" applyAlignment="1">
      <alignment horizontal="left" vertical="center" wrapText="1"/>
    </xf>
    <xf numFmtId="0" fontId="7" fillId="0" borderId="155" xfId="0" applyFont="1" applyBorder="1"/>
    <xf numFmtId="0" fontId="7" fillId="0" borderId="156" xfId="0" applyFont="1" applyBorder="1"/>
    <xf numFmtId="0" fontId="9" fillId="8" borderId="100" xfId="0" applyFont="1" applyFill="1" applyBorder="1" applyAlignment="1">
      <alignment horizontal="left" vertical="center" wrapText="1"/>
    </xf>
    <xf numFmtId="0" fontId="15" fillId="0" borderId="157" xfId="0" applyFont="1" applyBorder="1" applyAlignment="1">
      <alignment horizontal="center" vertical="center"/>
    </xf>
    <xf numFmtId="0" fontId="7" fillId="0" borderId="161" xfId="0" applyFont="1" applyBorder="1"/>
    <xf numFmtId="0" fontId="15" fillId="8" borderId="138" xfId="0" applyFont="1" applyFill="1" applyBorder="1" applyAlignment="1">
      <alignment horizontal="center"/>
    </xf>
    <xf numFmtId="0" fontId="9" fillId="8" borderId="149" xfId="0" applyFont="1" applyFill="1" applyBorder="1" applyAlignment="1">
      <alignment horizontal="center"/>
    </xf>
    <xf numFmtId="0" fontId="7" fillId="0" borderId="150" xfId="0" applyFont="1" applyBorder="1"/>
    <xf numFmtId="0" fontId="7" fillId="0" borderId="151" xfId="0" applyFont="1" applyBorder="1"/>
    <xf numFmtId="0" fontId="9" fillId="59" borderId="152" xfId="0" applyFont="1" applyFill="1" applyBorder="1" applyAlignment="1">
      <alignment horizontal="center"/>
    </xf>
    <xf numFmtId="0" fontId="7" fillId="60" borderId="101" xfId="0" applyFont="1" applyFill="1" applyBorder="1"/>
    <xf numFmtId="0" fontId="9" fillId="8" borderId="152" xfId="0" applyFont="1" applyFill="1" applyBorder="1" applyAlignment="1">
      <alignment horizontal="center" vertical="center" wrapText="1"/>
    </xf>
    <xf numFmtId="0" fontId="9" fillId="8" borderId="152" xfId="0" applyFont="1" applyFill="1" applyBorder="1" applyAlignment="1">
      <alignment horizontal="center" vertical="center"/>
    </xf>
    <xf numFmtId="0" fontId="9" fillId="59" borderId="152" xfId="0" applyFont="1" applyFill="1" applyBorder="1" applyAlignment="1">
      <alignment horizontal="center" vertical="center" wrapText="1"/>
    </xf>
    <xf numFmtId="0" fontId="9" fillId="8" borderId="134" xfId="0" applyFont="1" applyFill="1" applyBorder="1" applyAlignment="1">
      <alignment horizontal="center" vertical="center" wrapText="1"/>
    </xf>
    <xf numFmtId="0" fontId="22" fillId="53" borderId="6" xfId="0" applyFont="1" applyFill="1" applyBorder="1" applyAlignment="1">
      <alignment horizontal="center"/>
    </xf>
    <xf numFmtId="0" fontId="43" fillId="10" borderId="91" xfId="0" applyFont="1" applyFill="1" applyBorder="1" applyAlignment="1">
      <alignment horizontal="center" vertical="center" wrapText="1"/>
    </xf>
    <xf numFmtId="0" fontId="7" fillId="0" borderId="92" xfId="0" applyFont="1" applyBorder="1"/>
    <xf numFmtId="0" fontId="9" fillId="10" borderId="169" xfId="0" applyFont="1" applyFill="1" applyBorder="1" applyAlignment="1">
      <alignment horizontal="center" vertical="center"/>
    </xf>
    <xf numFmtId="0" fontId="7" fillId="0" borderId="170" xfId="0" applyFont="1" applyBorder="1"/>
    <xf numFmtId="0" fontId="7" fillId="0" borderId="98" xfId="0" applyFont="1" applyBorder="1"/>
    <xf numFmtId="0" fontId="7" fillId="0" borderId="99" xfId="0" applyFont="1" applyBorder="1"/>
    <xf numFmtId="0" fontId="7" fillId="0" borderId="171" xfId="0" applyFont="1" applyBorder="1"/>
    <xf numFmtId="0" fontId="7" fillId="0" borderId="172" xfId="0" applyFont="1" applyBorder="1"/>
    <xf numFmtId="0" fontId="15" fillId="10" borderId="91" xfId="0" applyFont="1" applyFill="1" applyBorder="1" applyAlignment="1">
      <alignment vertical="center"/>
    </xf>
    <xf numFmtId="0" fontId="15" fillId="10" borderId="173" xfId="0" applyFont="1" applyFill="1" applyBorder="1" applyAlignment="1">
      <alignment horizontal="center" vertical="center"/>
    </xf>
    <xf numFmtId="0" fontId="7" fillId="0" borderId="174" xfId="0" applyFont="1" applyBorder="1"/>
    <xf numFmtId="0" fontId="22" fillId="2" borderId="6" xfId="0" applyFont="1" applyFill="1" applyBorder="1" applyAlignment="1">
      <alignment horizontal="center"/>
    </xf>
    <xf numFmtId="0" fontId="7" fillId="0" borderId="102" xfId="0" applyFont="1" applyBorder="1"/>
    <xf numFmtId="0" fontId="7" fillId="0" borderId="183" xfId="0" applyFont="1" applyBorder="1"/>
    <xf numFmtId="0" fontId="7" fillId="0" borderId="184" xfId="0" applyFont="1" applyBorder="1"/>
    <xf numFmtId="0" fontId="22" fillId="13" borderId="6" xfId="0" applyFont="1" applyFill="1" applyBorder="1" applyAlignment="1">
      <alignment horizontal="center"/>
    </xf>
    <xf numFmtId="0" fontId="22" fillId="14" borderId="6" xfId="0" applyFont="1" applyFill="1" applyBorder="1" applyAlignment="1">
      <alignment horizontal="center"/>
    </xf>
    <xf numFmtId="0" fontId="9" fillId="10" borderId="169" xfId="0" applyFont="1" applyFill="1" applyBorder="1" applyAlignment="1">
      <alignment horizontal="center" vertical="center" wrapText="1"/>
    </xf>
    <xf numFmtId="0" fontId="22" fillId="15" borderId="6" xfId="0" applyFont="1" applyFill="1" applyBorder="1" applyAlignment="1">
      <alignment horizontal="center"/>
    </xf>
    <xf numFmtId="0" fontId="22" fillId="27" borderId="6" xfId="0" applyFont="1" applyFill="1" applyBorder="1" applyAlignment="1">
      <alignment horizontal="center"/>
    </xf>
    <xf numFmtId="0" fontId="22" fillId="28" borderId="6" xfId="0" applyFont="1" applyFill="1" applyBorder="1" applyAlignment="1">
      <alignment horizontal="center"/>
    </xf>
    <xf numFmtId="0" fontId="50" fillId="10" borderId="187" xfId="0" applyFont="1" applyFill="1" applyBorder="1" applyAlignment="1">
      <alignment horizontal="center" vertical="center" wrapText="1"/>
    </xf>
    <xf numFmtId="0" fontId="7" fillId="0" borderId="188" xfId="0" applyFont="1" applyBorder="1"/>
    <xf numFmtId="0" fontId="9" fillId="10" borderId="134" xfId="0" applyFont="1" applyFill="1" applyBorder="1" applyAlignment="1">
      <alignment horizontal="left" vertical="center" wrapText="1"/>
    </xf>
    <xf numFmtId="0" fontId="22" fillId="29" borderId="6" xfId="0" applyFont="1" applyFill="1" applyBorder="1" applyAlignment="1">
      <alignment horizontal="center"/>
    </xf>
    <xf numFmtId="0" fontId="63" fillId="86" borderId="226" xfId="0" applyFont="1" applyFill="1" applyBorder="1" applyAlignment="1">
      <alignment horizontal="left"/>
    </xf>
    <xf numFmtId="0" fontId="63" fillId="86" borderId="227" xfId="0" applyFont="1" applyFill="1" applyBorder="1" applyAlignment="1">
      <alignment horizontal="left"/>
    </xf>
    <xf numFmtId="0" fontId="22" fillId="16" borderId="70" xfId="0" applyFont="1" applyFill="1" applyBorder="1" applyAlignment="1">
      <alignment horizontal="center"/>
    </xf>
    <xf numFmtId="0" fontId="22" fillId="16" borderId="148" xfId="0" applyFont="1" applyFill="1" applyBorder="1" applyAlignment="1">
      <alignment horizontal="center"/>
    </xf>
    <xf numFmtId="0" fontId="22" fillId="16" borderId="259" xfId="0" applyFont="1" applyFill="1" applyBorder="1" applyAlignment="1">
      <alignment horizontal="center"/>
    </xf>
    <xf numFmtId="0" fontId="28" fillId="16" borderId="259" xfId="0" applyFont="1" applyFill="1" applyBorder="1" applyAlignment="1">
      <alignment horizontal="center"/>
    </xf>
    <xf numFmtId="0" fontId="28" fillId="16" borderId="148" xfId="0" applyFont="1" applyFill="1" applyBorder="1" applyAlignment="1">
      <alignment horizontal="center"/>
    </xf>
  </cellXfs>
  <cellStyles count="1">
    <cellStyle name="Normal" xfId="0" builtinId="0"/>
  </cellStyles>
  <dxfs count="18">
    <dxf>
      <fill>
        <patternFill>
          <bgColor theme="0" tint="-4.9989318521683403E-2"/>
        </patternFill>
      </fill>
    </dxf>
    <dxf>
      <fill>
        <patternFill>
          <bgColor theme="0" tint="-4.9989318521683403E-2"/>
        </patternFill>
      </fill>
    </dxf>
    <dxf>
      <font>
        <color theme="6" tint="0.59996337778862885"/>
      </font>
      <fill>
        <patternFill>
          <bgColor theme="6" tint="0.59996337778862885"/>
        </patternFill>
      </fill>
    </dxf>
    <dxf>
      <font>
        <color theme="1"/>
      </font>
      <fill>
        <patternFill>
          <bgColor theme="6" tint="0.59996337778862885"/>
        </patternFill>
      </fill>
    </dxf>
    <dxf>
      <fill>
        <patternFill>
          <bgColor theme="0" tint="-4.9989318521683403E-2"/>
        </patternFill>
      </fill>
    </dxf>
    <dxf>
      <fill>
        <patternFill>
          <bgColor theme="0" tint="-4.9989318521683403E-2"/>
        </patternFill>
      </fill>
    </dxf>
    <dxf>
      <font>
        <color theme="1"/>
      </font>
      <fill>
        <patternFill>
          <fgColor theme="6" tint="0.59996337778862885"/>
        </patternFill>
      </fill>
    </dxf>
    <dxf>
      <font>
        <color theme="6" tint="0.59996337778862885"/>
      </font>
      <fill>
        <patternFill>
          <bgColor theme="6" tint="0.59996337778862885"/>
        </patternFill>
      </fill>
    </dxf>
    <dxf>
      <font>
        <color theme="1"/>
      </font>
      <fill>
        <patternFill>
          <bgColor theme="6" tint="0.59996337778862885"/>
        </patternFill>
      </fill>
    </dxf>
    <dxf>
      <font>
        <color theme="6" tint="0.79998168889431442"/>
      </font>
      <fill>
        <patternFill>
          <bgColor theme="6" tint="0.79998168889431442"/>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6" tint="0.59996337778862885"/>
        </patternFill>
      </fill>
    </dxf>
    <dxf>
      <font>
        <color theme="6" tint="0.59996337778862885"/>
      </font>
      <fill>
        <patternFill>
          <bgColor theme="6" tint="0.59996337778862885"/>
        </patternFill>
      </fill>
    </dxf>
    <dxf>
      <font>
        <color theme="1"/>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79998168889431442"/>
      </font>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bit.ly/3MXbpyp"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57150</xdr:rowOff>
    </xdr:from>
    <xdr:to>
      <xdr:col>0</xdr:col>
      <xdr:colOff>1619250</xdr:colOff>
      <xdr:row>0</xdr:row>
      <xdr:rowOff>1362075</xdr:rowOff>
    </xdr:to>
    <xdr:pic>
      <xdr:nvPicPr>
        <xdr:cNvPr id="2" name="Imagem 1">
          <a:extLst>
            <a:ext uri="{FF2B5EF4-FFF2-40B4-BE49-F238E27FC236}">
              <a16:creationId xmlns:a16="http://schemas.microsoft.com/office/drawing/2014/main" id="{0A58B7D8-70E4-8036-A836-856AC7E256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57150"/>
          <a:ext cx="1304925" cy="1304925"/>
        </a:xfrm>
        <a:prstGeom prst="flowChartConnector">
          <a:avLst/>
        </a:prstGeom>
      </xdr:spPr>
    </xdr:pic>
    <xdr:clientData/>
  </xdr:twoCellAnchor>
  <xdr:twoCellAnchor>
    <xdr:from>
      <xdr:col>2</xdr:col>
      <xdr:colOff>1257300</xdr:colOff>
      <xdr:row>91</xdr:row>
      <xdr:rowOff>342900</xdr:rowOff>
    </xdr:from>
    <xdr:to>
      <xdr:col>2</xdr:col>
      <xdr:colOff>1473300</xdr:colOff>
      <xdr:row>91</xdr:row>
      <xdr:rowOff>558900</xdr:rowOff>
    </xdr:to>
    <xdr:sp macro="" textlink="">
      <xdr:nvSpPr>
        <xdr:cNvPr id="3" name="Elipse 2">
          <a:hlinkClick xmlns:r="http://schemas.openxmlformats.org/officeDocument/2006/relationships" r:id="rId2"/>
          <a:extLst>
            <a:ext uri="{FF2B5EF4-FFF2-40B4-BE49-F238E27FC236}">
              <a16:creationId xmlns:a16="http://schemas.microsoft.com/office/drawing/2014/main" id="{905FAD8C-6297-B159-85B3-909114A4D52F}"/>
            </a:ext>
          </a:extLst>
        </xdr:cNvPr>
        <xdr:cNvSpPr/>
      </xdr:nvSpPr>
      <xdr:spPr>
        <a:xfrm>
          <a:off x="5191125" y="23726775"/>
          <a:ext cx="216000" cy="216000"/>
        </a:xfrm>
        <a:prstGeom prst="ellipse">
          <a:avLst/>
        </a:prstGeom>
        <a:scene3d>
          <a:camera prst="orthographicFront"/>
          <a:lightRig rig="threePt" dir="t"/>
        </a:scene3d>
        <a:sp3d>
          <a:bevelT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0</xdr:row>
      <xdr:rowOff>57150</xdr:rowOff>
    </xdr:from>
    <xdr:to>
      <xdr:col>0</xdr:col>
      <xdr:colOff>1619250</xdr:colOff>
      <xdr:row>0</xdr:row>
      <xdr:rowOff>1362075</xdr:rowOff>
    </xdr:to>
    <xdr:pic>
      <xdr:nvPicPr>
        <xdr:cNvPr id="2" name="Imagem 1">
          <a:extLst>
            <a:ext uri="{FF2B5EF4-FFF2-40B4-BE49-F238E27FC236}">
              <a16:creationId xmlns:a16="http://schemas.microsoft.com/office/drawing/2014/main" id="{C43943CC-225E-43CC-BFA2-B12A6FCB1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57150"/>
          <a:ext cx="1304925" cy="1304925"/>
        </a:xfrm>
        <a:prstGeom prst="flowChartConnector">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4"/>
  <sheetViews>
    <sheetView topLeftCell="A97" workbookViewId="0">
      <selection activeCell="D113" sqref="D113"/>
    </sheetView>
  </sheetViews>
  <sheetFormatPr defaultColWidth="14.42578125" defaultRowHeight="15" customHeight="1"/>
  <cols>
    <col min="1" max="1" width="36.140625" customWidth="1"/>
    <col min="2" max="2" width="22.85546875" customWidth="1"/>
    <col min="3" max="3" width="24" customWidth="1"/>
    <col min="4" max="4" width="23.28515625" customWidth="1"/>
    <col min="5" max="5" width="21.42578125" customWidth="1"/>
    <col min="6" max="6" width="21.85546875" customWidth="1"/>
    <col min="7" max="7" width="20.7109375" customWidth="1"/>
    <col min="8" max="8" width="20.5703125" customWidth="1"/>
    <col min="9" max="9" width="15.7109375" customWidth="1"/>
    <col min="10" max="10" width="22.85546875" customWidth="1"/>
    <col min="11" max="13" width="18.42578125" customWidth="1"/>
    <col min="14" max="14" width="19.28515625" customWidth="1"/>
    <col min="15" max="28" width="9.140625" customWidth="1"/>
  </cols>
  <sheetData>
    <row r="1" spans="1:28" ht="111" customHeight="1" thickBot="1">
      <c r="A1" s="672" t="s">
        <v>1086</v>
      </c>
      <c r="B1" s="865" t="s">
        <v>1126</v>
      </c>
      <c r="C1" s="865"/>
      <c r="D1" s="865"/>
      <c r="E1" s="865"/>
      <c r="F1" s="865"/>
      <c r="G1" s="673"/>
      <c r="H1" s="673"/>
      <c r="I1" s="673"/>
      <c r="J1" s="673"/>
      <c r="K1" s="673"/>
      <c r="L1" s="673"/>
      <c r="M1" s="674"/>
      <c r="N1" s="1"/>
      <c r="O1" s="1"/>
      <c r="P1" s="1"/>
      <c r="Q1" s="1"/>
      <c r="R1" s="1"/>
      <c r="S1" s="1"/>
      <c r="T1" s="1"/>
      <c r="U1" s="2"/>
      <c r="V1" s="2"/>
      <c r="W1" s="2"/>
      <c r="X1" s="2"/>
      <c r="Y1" s="2"/>
      <c r="Z1" s="2"/>
      <c r="AA1" s="2"/>
      <c r="AB1" s="2"/>
    </row>
    <row r="2" spans="1:28" ht="21.75" thickBot="1">
      <c r="A2" s="410" t="s">
        <v>0</v>
      </c>
      <c r="B2" s="411"/>
      <c r="C2" s="412"/>
      <c r="D2" s="409"/>
      <c r="E2" s="409"/>
      <c r="F2" s="2"/>
      <c r="G2" s="2"/>
      <c r="H2" s="2"/>
      <c r="I2" s="2"/>
      <c r="J2" s="2"/>
      <c r="K2" s="2"/>
      <c r="L2" s="2"/>
      <c r="M2" s="2"/>
      <c r="N2" s="2"/>
      <c r="O2" s="2"/>
      <c r="P2" s="2"/>
      <c r="Q2" s="2"/>
      <c r="R2" s="2"/>
      <c r="S2" s="2"/>
      <c r="T2" s="2"/>
      <c r="U2" s="2"/>
      <c r="V2" s="2"/>
      <c r="W2" s="2"/>
      <c r="X2" s="2"/>
      <c r="Y2" s="2"/>
      <c r="Z2" s="2"/>
      <c r="AA2" s="2"/>
      <c r="AB2" s="2"/>
    </row>
    <row r="3" spans="1:28" ht="15.75" thickBot="1">
      <c r="A3" s="860" t="s">
        <v>1087</v>
      </c>
      <c r="B3" s="861"/>
      <c r="C3" s="589" t="s">
        <v>1218</v>
      </c>
      <c r="D3" s="3"/>
      <c r="E3" s="3"/>
      <c r="F3" s="2"/>
      <c r="G3" s="2"/>
      <c r="H3" s="2"/>
      <c r="I3" s="2"/>
      <c r="J3" s="2"/>
      <c r="K3" s="2"/>
      <c r="L3" s="2"/>
      <c r="M3" s="2"/>
      <c r="N3" s="2"/>
      <c r="O3" s="2"/>
      <c r="P3" s="2"/>
      <c r="Q3" s="2"/>
      <c r="R3" s="4"/>
      <c r="S3" s="2"/>
      <c r="T3" s="2"/>
      <c r="U3" s="2"/>
      <c r="V3" s="2"/>
      <c r="W3" s="2"/>
      <c r="X3" s="2"/>
      <c r="Y3" s="2"/>
      <c r="Z3" s="2"/>
      <c r="AA3" s="2"/>
      <c r="AB3" s="2"/>
    </row>
    <row r="4" spans="1:28" ht="15.75" thickBot="1">
      <c r="A4" s="859" t="s">
        <v>1</v>
      </c>
      <c r="B4" s="858"/>
      <c r="C4" s="590" t="s">
        <v>1018</v>
      </c>
      <c r="D4" s="3"/>
      <c r="E4" s="3"/>
      <c r="F4" s="2"/>
      <c r="G4" s="2"/>
      <c r="H4" s="2"/>
      <c r="I4" s="2"/>
      <c r="J4" s="2"/>
      <c r="K4" s="2"/>
      <c r="L4" s="2"/>
      <c r="M4" s="2"/>
      <c r="N4" s="2"/>
      <c r="O4" s="2"/>
      <c r="P4" s="2"/>
      <c r="Q4" s="2"/>
      <c r="R4" s="4"/>
      <c r="S4" s="2"/>
      <c r="T4" s="2"/>
      <c r="U4" s="2"/>
      <c r="V4" s="2"/>
      <c r="W4" s="2"/>
      <c r="X4" s="2"/>
      <c r="Y4" s="2"/>
      <c r="Z4" s="2"/>
      <c r="AA4" s="2"/>
      <c r="AB4" s="2"/>
    </row>
    <row r="5" spans="1:28">
      <c r="A5" s="857" t="s">
        <v>980</v>
      </c>
      <c r="B5" s="858"/>
      <c r="C5" s="591" t="s">
        <v>1219</v>
      </c>
      <c r="D5" s="3"/>
      <c r="E5" s="3"/>
      <c r="F5" s="2"/>
      <c r="G5" s="2"/>
      <c r="H5" s="2"/>
      <c r="I5" s="2"/>
      <c r="J5" s="2"/>
      <c r="K5" s="2"/>
      <c r="L5" s="2"/>
      <c r="M5" s="2"/>
      <c r="N5" s="2"/>
      <c r="O5" s="2"/>
      <c r="P5" s="2"/>
      <c r="Q5" s="2"/>
      <c r="R5" s="4"/>
      <c r="S5" s="2"/>
      <c r="T5" s="2"/>
      <c r="U5" s="2"/>
      <c r="V5" s="2"/>
      <c r="W5" s="2"/>
      <c r="X5" s="2"/>
      <c r="Y5" s="2"/>
      <c r="Z5" s="2"/>
      <c r="AA5" s="2"/>
      <c r="AB5" s="2"/>
    </row>
    <row r="6" spans="1:28">
      <c r="A6" s="859" t="s">
        <v>2</v>
      </c>
      <c r="B6" s="858"/>
      <c r="C6" s="590" t="s">
        <v>3</v>
      </c>
      <c r="D6" s="3"/>
      <c r="E6" s="3"/>
      <c r="F6" s="2"/>
      <c r="G6" s="2"/>
      <c r="H6" s="2"/>
      <c r="I6" s="2"/>
      <c r="J6" s="2"/>
      <c r="K6" s="2"/>
      <c r="L6" s="2"/>
      <c r="M6" s="2"/>
      <c r="N6" s="2"/>
      <c r="O6" s="2"/>
      <c r="P6" s="2"/>
      <c r="Q6" s="2"/>
      <c r="R6" s="4"/>
      <c r="S6" s="2"/>
      <c r="T6" s="2"/>
      <c r="U6" s="2"/>
      <c r="V6" s="2"/>
      <c r="W6" s="2"/>
      <c r="X6" s="2"/>
      <c r="Y6" s="2"/>
      <c r="Z6" s="2"/>
      <c r="AA6" s="2"/>
      <c r="AB6" s="2"/>
    </row>
    <row r="7" spans="1:28" ht="27" thickBot="1">
      <c r="A7" s="857" t="s">
        <v>4</v>
      </c>
      <c r="B7" s="858"/>
      <c r="C7" s="592" t="s">
        <v>119</v>
      </c>
      <c r="D7" s="3"/>
      <c r="E7" s="3"/>
      <c r="F7" s="2"/>
      <c r="G7" s="2"/>
      <c r="H7" s="2"/>
      <c r="I7" s="2"/>
      <c r="J7" s="2"/>
      <c r="K7" s="2"/>
      <c r="L7" s="2"/>
      <c r="M7" s="2"/>
      <c r="N7" s="2"/>
      <c r="O7" s="2"/>
      <c r="P7" s="2"/>
      <c r="Q7" s="2"/>
      <c r="R7" s="4"/>
      <c r="S7" s="2"/>
      <c r="T7" s="2"/>
      <c r="U7" s="2"/>
      <c r="V7" s="2"/>
      <c r="W7" s="2"/>
      <c r="X7" s="2"/>
      <c r="Y7" s="2"/>
      <c r="Z7" s="2"/>
      <c r="AA7" s="2"/>
      <c r="AB7" s="2"/>
    </row>
    <row r="8" spans="1:28" ht="15.75" thickBot="1">
      <c r="A8" s="859" t="s">
        <v>1155</v>
      </c>
      <c r="B8" s="858"/>
      <c r="C8" s="775">
        <v>44562</v>
      </c>
      <c r="D8" s="818" t="str">
        <f>IF(C8="","",TEXT(C8,"DD/MM/AAAA"))</f>
        <v>01/01/2022</v>
      </c>
      <c r="E8" s="5"/>
      <c r="F8" s="2"/>
      <c r="G8" s="2"/>
      <c r="H8" s="2"/>
      <c r="I8" s="2"/>
      <c r="J8" s="2"/>
      <c r="K8" s="2"/>
      <c r="L8" s="2"/>
      <c r="M8" s="2"/>
      <c r="N8" s="2"/>
      <c r="O8" s="2"/>
      <c r="P8" s="2"/>
      <c r="Q8" s="2"/>
      <c r="R8" s="4"/>
      <c r="S8" s="2"/>
      <c r="T8" s="2"/>
      <c r="U8" s="2"/>
      <c r="V8" s="2"/>
      <c r="W8" s="2"/>
      <c r="X8" s="2"/>
      <c r="Y8" s="2"/>
      <c r="Z8" s="2"/>
      <c r="AA8" s="2"/>
      <c r="AB8" s="2"/>
    </row>
    <row r="9" spans="1:28" ht="15.75" thickBot="1">
      <c r="A9" s="857" t="s">
        <v>1141</v>
      </c>
      <c r="B9" s="858"/>
      <c r="C9" s="776">
        <v>44593</v>
      </c>
      <c r="D9" s="818" t="str">
        <f>IF(C9="","",TEXT(C9,"DD/MM/AAAA"))</f>
        <v>01/02/2022</v>
      </c>
      <c r="E9" s="5"/>
      <c r="F9" s="2"/>
      <c r="G9" s="2"/>
      <c r="H9" s="2"/>
      <c r="I9" s="2"/>
      <c r="J9" s="2"/>
      <c r="K9" s="2"/>
      <c r="L9" s="2"/>
      <c r="M9" s="2"/>
      <c r="N9" s="2"/>
      <c r="O9" s="2"/>
      <c r="P9" s="2"/>
      <c r="Q9" s="2"/>
      <c r="R9" s="4"/>
      <c r="S9" s="2"/>
      <c r="T9" s="2"/>
      <c r="U9" s="2"/>
      <c r="V9" s="2"/>
      <c r="W9" s="2"/>
      <c r="X9" s="2"/>
      <c r="Y9" s="2"/>
      <c r="Z9" s="2"/>
      <c r="AA9" s="2"/>
      <c r="AB9" s="2"/>
    </row>
    <row r="10" spans="1:28" ht="15.75" thickBot="1">
      <c r="A10" s="859" t="s">
        <v>6</v>
      </c>
      <c r="B10" s="858"/>
      <c r="C10" s="593">
        <v>100</v>
      </c>
      <c r="D10" s="818">
        <f>IF(AND(C8=0, C9=0), "", C9-C8)</f>
        <v>31</v>
      </c>
      <c r="E10" s="6"/>
      <c r="F10" s="2"/>
      <c r="G10" s="2"/>
      <c r="H10" s="2"/>
      <c r="I10" s="2"/>
      <c r="J10" s="2"/>
      <c r="K10" s="2"/>
      <c r="L10" s="2"/>
      <c r="M10" s="2"/>
      <c r="N10" s="2"/>
      <c r="O10" s="2"/>
      <c r="P10" s="2"/>
      <c r="Q10" s="2"/>
      <c r="R10" s="4"/>
      <c r="S10" s="2"/>
      <c r="T10" s="2"/>
      <c r="U10" s="2"/>
      <c r="V10" s="2"/>
      <c r="W10" s="2"/>
      <c r="X10" s="2"/>
      <c r="Y10" s="2"/>
      <c r="Z10" s="2"/>
      <c r="AA10" s="2"/>
      <c r="AB10" s="2"/>
    </row>
    <row r="11" spans="1:28" ht="15.75" thickBot="1">
      <c r="A11" s="857" t="s">
        <v>7</v>
      </c>
      <c r="B11" s="858"/>
      <c r="C11" s="591">
        <v>50</v>
      </c>
      <c r="D11" s="3"/>
      <c r="E11" s="3"/>
      <c r="F11" s="2"/>
      <c r="G11" s="2"/>
      <c r="H11" s="2"/>
      <c r="I11" s="2"/>
      <c r="J11" s="2"/>
      <c r="K11" s="2"/>
      <c r="L11" s="2"/>
      <c r="M11" s="2"/>
      <c r="N11" s="2"/>
      <c r="O11" s="2"/>
      <c r="P11" s="2"/>
      <c r="Q11" s="2"/>
      <c r="R11" s="4"/>
      <c r="S11" s="2"/>
      <c r="T11" s="2"/>
      <c r="U11" s="2"/>
      <c r="V11" s="2"/>
      <c r="W11" s="2"/>
      <c r="X11" s="2"/>
      <c r="Y11" s="2"/>
      <c r="Z11" s="2"/>
      <c r="AA11" s="2"/>
      <c r="AB11" s="2"/>
    </row>
    <row r="12" spans="1:28" ht="15.75" customHeight="1">
      <c r="A12" s="881" t="s">
        <v>8</v>
      </c>
      <c r="B12" s="858"/>
      <c r="C12" s="590">
        <v>30</v>
      </c>
      <c r="D12" s="3"/>
      <c r="E12" s="3"/>
      <c r="F12" s="2"/>
      <c r="G12" s="2"/>
      <c r="H12" s="2"/>
      <c r="I12" s="2"/>
      <c r="J12" s="2"/>
      <c r="K12" s="2"/>
      <c r="L12" s="2"/>
      <c r="M12" s="2"/>
      <c r="N12" s="2"/>
      <c r="O12" s="2"/>
      <c r="P12" s="2"/>
      <c r="Q12" s="2"/>
      <c r="R12" s="4"/>
      <c r="S12" s="2"/>
      <c r="T12" s="2"/>
      <c r="U12" s="2"/>
      <c r="V12" s="2"/>
      <c r="W12" s="2"/>
      <c r="X12" s="2"/>
      <c r="Y12" s="2"/>
      <c r="Z12" s="2"/>
      <c r="AA12" s="2"/>
      <c r="AB12" s="2"/>
    </row>
    <row r="13" spans="1:28">
      <c r="A13" s="857" t="s">
        <v>1125</v>
      </c>
      <c r="B13" s="858"/>
      <c r="C13" s="591">
        <v>20</v>
      </c>
      <c r="D13" s="3"/>
      <c r="E13" s="3"/>
      <c r="F13" s="2"/>
      <c r="G13" s="2"/>
      <c r="H13" s="2"/>
      <c r="I13" s="2"/>
      <c r="J13" s="2"/>
      <c r="K13" s="2"/>
      <c r="L13" s="2"/>
      <c r="M13" s="2"/>
      <c r="N13" s="2"/>
      <c r="O13" s="2"/>
      <c r="P13" s="2"/>
      <c r="Q13" s="2"/>
      <c r="R13" s="4"/>
      <c r="S13" s="2"/>
      <c r="T13" s="2"/>
      <c r="U13" s="2"/>
      <c r="V13" s="2"/>
      <c r="W13" s="2"/>
      <c r="X13" s="2"/>
      <c r="Y13" s="2"/>
      <c r="Z13" s="2"/>
      <c r="AA13" s="2"/>
      <c r="AB13" s="2"/>
    </row>
    <row r="14" spans="1:28">
      <c r="A14" s="859" t="s">
        <v>9</v>
      </c>
      <c r="B14" s="858"/>
      <c r="C14" s="590">
        <v>1.5</v>
      </c>
      <c r="D14" s="3"/>
      <c r="E14" s="3"/>
      <c r="F14" s="2"/>
      <c r="G14" s="2"/>
      <c r="H14" s="2"/>
      <c r="I14" s="2"/>
      <c r="J14" s="2"/>
      <c r="K14" s="2"/>
      <c r="L14" s="2"/>
      <c r="M14" s="2"/>
      <c r="N14" s="2"/>
      <c r="O14" s="2"/>
      <c r="P14" s="2"/>
      <c r="Q14" s="2"/>
      <c r="R14" s="4"/>
      <c r="S14" s="2"/>
      <c r="T14" s="2"/>
      <c r="U14" s="2"/>
      <c r="V14" s="2"/>
      <c r="W14" s="2"/>
      <c r="X14" s="2"/>
      <c r="Y14" s="2"/>
      <c r="Z14" s="2"/>
      <c r="AA14" s="2"/>
      <c r="AB14" s="2"/>
    </row>
    <row r="15" spans="1:28" ht="15.75" customHeight="1">
      <c r="A15" s="879" t="s">
        <v>981</v>
      </c>
      <c r="B15" s="858"/>
      <c r="C15" s="594" t="s">
        <v>11</v>
      </c>
      <c r="D15" s="7"/>
      <c r="E15" s="7"/>
      <c r="F15" s="2"/>
      <c r="G15" s="2"/>
      <c r="H15" s="2"/>
      <c r="I15" s="2"/>
      <c r="J15" s="2"/>
      <c r="K15" s="2"/>
      <c r="L15" s="2"/>
      <c r="M15" s="2"/>
      <c r="N15" s="2"/>
      <c r="O15" s="2"/>
      <c r="P15" s="2"/>
      <c r="Q15" s="2"/>
      <c r="R15" s="4"/>
      <c r="S15" s="2"/>
      <c r="T15" s="2"/>
      <c r="U15" s="2"/>
      <c r="V15" s="2"/>
      <c r="W15" s="2"/>
      <c r="X15" s="2"/>
      <c r="Y15" s="2"/>
      <c r="Z15" s="2"/>
      <c r="AA15" s="2"/>
      <c r="AB15" s="2"/>
    </row>
    <row r="16" spans="1:28" ht="15.75" customHeight="1">
      <c r="A16" s="880" t="s">
        <v>982</v>
      </c>
      <c r="B16" s="858"/>
      <c r="C16" s="595" t="s">
        <v>11</v>
      </c>
      <c r="D16" s="7"/>
      <c r="E16" s="7"/>
      <c r="F16" s="2"/>
      <c r="G16" s="2"/>
      <c r="H16" s="2"/>
      <c r="I16" s="2"/>
      <c r="J16" s="2"/>
      <c r="K16" s="2"/>
      <c r="L16" s="2"/>
      <c r="M16" s="2"/>
      <c r="N16" s="2"/>
      <c r="O16" s="2"/>
      <c r="P16" s="2"/>
      <c r="Q16" s="2"/>
      <c r="R16" s="4"/>
      <c r="S16" s="2"/>
      <c r="T16" s="2"/>
      <c r="U16" s="2"/>
      <c r="V16" s="2"/>
      <c r="W16" s="2"/>
      <c r="X16" s="2"/>
      <c r="Y16" s="2"/>
      <c r="Z16" s="2"/>
      <c r="AA16" s="2"/>
      <c r="AB16" s="2"/>
    </row>
    <row r="17" spans="1:28">
      <c r="A17" s="857" t="s">
        <v>14</v>
      </c>
      <c r="B17" s="858"/>
      <c r="C17" s="594" t="s">
        <v>1074</v>
      </c>
      <c r="D17" s="7"/>
      <c r="E17" s="7"/>
      <c r="F17" s="2"/>
      <c r="G17" s="2"/>
      <c r="H17" s="2"/>
      <c r="I17" s="2"/>
      <c r="J17" s="2"/>
      <c r="K17" s="2"/>
      <c r="L17" s="2"/>
      <c r="M17" s="2"/>
      <c r="N17" s="2"/>
      <c r="O17" s="2"/>
      <c r="P17" s="2"/>
      <c r="Q17" s="2"/>
      <c r="R17" s="4"/>
      <c r="S17" s="2"/>
      <c r="T17" s="2"/>
      <c r="U17" s="2"/>
      <c r="V17" s="2"/>
      <c r="W17" s="2"/>
      <c r="X17" s="2"/>
      <c r="Y17" s="2"/>
      <c r="Z17" s="2"/>
      <c r="AA17" s="2"/>
      <c r="AB17" s="2"/>
    </row>
    <row r="18" spans="1:28" ht="15.75" thickBot="1">
      <c r="A18" s="2"/>
      <c r="B18" s="2"/>
      <c r="C18" s="2"/>
      <c r="D18" s="2"/>
      <c r="E18" s="2"/>
      <c r="F18" s="2"/>
      <c r="G18" s="2"/>
      <c r="H18" s="2"/>
      <c r="I18" s="2"/>
      <c r="J18" s="2"/>
      <c r="K18" s="2"/>
      <c r="L18" s="2"/>
      <c r="M18" s="2"/>
      <c r="N18" s="2"/>
      <c r="O18" s="2"/>
      <c r="P18" s="2"/>
      <c r="Q18" s="2"/>
      <c r="R18" s="4"/>
      <c r="S18" s="2"/>
      <c r="T18" s="2"/>
      <c r="U18" s="2"/>
      <c r="V18" s="2"/>
      <c r="W18" s="2"/>
      <c r="X18" s="2"/>
      <c r="Y18" s="2"/>
      <c r="Z18" s="2"/>
      <c r="AA18" s="2"/>
      <c r="AB18" s="2"/>
    </row>
    <row r="19" spans="1:28" ht="21.75" thickBot="1">
      <c r="A19" s="862" t="s">
        <v>992</v>
      </c>
      <c r="B19" s="863"/>
      <c r="C19" s="863"/>
      <c r="D19" s="863"/>
      <c r="E19" s="863"/>
      <c r="F19" s="863"/>
      <c r="G19" s="863"/>
      <c r="H19" s="864"/>
      <c r="I19" s="698"/>
      <c r="J19" s="2"/>
      <c r="K19" s="2"/>
      <c r="L19" s="2"/>
      <c r="M19" s="2"/>
      <c r="N19" s="2"/>
      <c r="O19" s="2"/>
      <c r="P19" s="2"/>
      <c r="Q19" s="2"/>
      <c r="R19" s="2"/>
      <c r="S19" s="2"/>
      <c r="T19" s="2"/>
      <c r="U19" s="2"/>
      <c r="V19" s="2"/>
      <c r="W19" s="2"/>
      <c r="X19" s="2"/>
      <c r="Y19" s="2"/>
      <c r="Z19" s="2"/>
      <c r="AA19" s="2"/>
      <c r="AB19" s="2"/>
    </row>
    <row r="20" spans="1:28" ht="45.75" thickBot="1">
      <c r="A20" s="8" t="s">
        <v>15</v>
      </c>
      <c r="B20" s="9" t="s">
        <v>16</v>
      </c>
      <c r="C20" s="9" t="s">
        <v>17</v>
      </c>
      <c r="D20" s="668" t="s">
        <v>18</v>
      </c>
      <c r="E20" s="16" t="s">
        <v>19</v>
      </c>
      <c r="F20" s="16" t="s">
        <v>1022</v>
      </c>
      <c r="G20" s="16" t="s">
        <v>20</v>
      </c>
      <c r="H20" s="16" t="s">
        <v>983</v>
      </c>
      <c r="I20" s="696" t="s">
        <v>21</v>
      </c>
      <c r="J20" s="2"/>
      <c r="K20" s="2"/>
      <c r="L20" s="2"/>
      <c r="M20" s="2"/>
      <c r="N20" s="2"/>
      <c r="O20" s="2"/>
      <c r="P20" s="2"/>
      <c r="Q20" s="2"/>
      <c r="R20" s="2"/>
      <c r="S20" s="2"/>
      <c r="T20" s="2"/>
      <c r="U20" s="2"/>
      <c r="V20" s="2"/>
      <c r="W20" s="2"/>
      <c r="X20" s="2"/>
      <c r="Y20" s="2"/>
      <c r="Z20" s="2"/>
      <c r="AA20" s="2"/>
      <c r="AB20" s="2"/>
    </row>
    <row r="21" spans="1:28" ht="15.75" customHeight="1" thickBot="1">
      <c r="A21" s="11" t="s">
        <v>22</v>
      </c>
      <c r="B21" s="596">
        <v>50</v>
      </c>
      <c r="C21" s="596"/>
      <c r="D21" s="596">
        <v>250</v>
      </c>
      <c r="E21" s="660">
        <v>0.5</v>
      </c>
      <c r="F21" s="720"/>
      <c r="G21" s="665"/>
      <c r="H21" s="666"/>
      <c r="I21" s="697"/>
      <c r="J21" s="2"/>
      <c r="K21" s="2"/>
      <c r="L21" s="2"/>
      <c r="M21" s="2"/>
      <c r="N21" s="2"/>
      <c r="O21" s="2"/>
      <c r="P21" s="2"/>
      <c r="Q21" s="2"/>
      <c r="R21" s="2"/>
      <c r="S21" s="2"/>
      <c r="T21" s="2"/>
      <c r="U21" s="2"/>
      <c r="V21" s="2"/>
      <c r="W21" s="2"/>
      <c r="X21" s="2"/>
      <c r="Y21" s="2"/>
      <c r="Z21" s="2"/>
      <c r="AA21" s="2"/>
      <c r="AB21" s="2"/>
    </row>
    <row r="22" spans="1:28" ht="15.75" customHeight="1" thickBot="1">
      <c r="A22" s="12" t="s">
        <v>23</v>
      </c>
      <c r="B22" s="598">
        <v>10</v>
      </c>
      <c r="C22" s="598"/>
      <c r="D22" s="598">
        <v>250</v>
      </c>
      <c r="E22" s="661">
        <v>0.5</v>
      </c>
      <c r="F22" s="721"/>
      <c r="G22" s="663"/>
      <c r="H22" s="669"/>
      <c r="I22" s="697"/>
      <c r="J22" s="2"/>
      <c r="K22" s="2"/>
      <c r="L22" s="2"/>
      <c r="M22" s="2"/>
      <c r="N22" s="2"/>
      <c r="O22" s="2"/>
      <c r="P22" s="2"/>
      <c r="Q22" s="2"/>
      <c r="R22" s="2"/>
      <c r="S22" s="2"/>
      <c r="T22" s="2"/>
      <c r="U22" s="2"/>
      <c r="V22" s="2"/>
      <c r="W22" s="2"/>
      <c r="X22" s="2"/>
      <c r="Y22" s="2"/>
      <c r="Z22" s="2"/>
      <c r="AA22" s="2"/>
      <c r="AB22" s="2"/>
    </row>
    <row r="23" spans="1:28" ht="15.75" customHeight="1" thickBot="1">
      <c r="A23" s="11" t="s">
        <v>24</v>
      </c>
      <c r="B23" s="596">
        <v>5</v>
      </c>
      <c r="C23" s="596"/>
      <c r="D23" s="596">
        <v>250</v>
      </c>
      <c r="E23" s="660">
        <v>0.5</v>
      </c>
      <c r="F23" s="722"/>
      <c r="G23" s="663"/>
      <c r="H23" s="669"/>
      <c r="I23" s="697"/>
      <c r="J23" s="2"/>
      <c r="K23" s="2"/>
      <c r="L23" s="2"/>
      <c r="M23" s="2"/>
      <c r="N23" s="2"/>
      <c r="O23" s="2"/>
      <c r="P23" s="2"/>
      <c r="Q23" s="2"/>
      <c r="R23" s="2"/>
      <c r="S23" s="2"/>
      <c r="T23" s="2"/>
      <c r="U23" s="2"/>
      <c r="V23" s="2"/>
      <c r="W23" s="2"/>
      <c r="X23" s="2"/>
      <c r="Y23" s="2"/>
      <c r="Z23" s="2"/>
      <c r="AA23" s="2"/>
      <c r="AB23" s="2"/>
    </row>
    <row r="24" spans="1:28" ht="15.75" customHeight="1" thickBot="1">
      <c r="A24" s="12" t="s">
        <v>25</v>
      </c>
      <c r="B24" s="598"/>
      <c r="C24" s="598">
        <v>100</v>
      </c>
      <c r="D24" s="598">
        <v>300</v>
      </c>
      <c r="E24" s="661">
        <v>0.5</v>
      </c>
      <c r="F24" s="599">
        <v>50</v>
      </c>
      <c r="G24" s="663"/>
      <c r="H24" s="669"/>
      <c r="I24" s="697"/>
      <c r="J24" s="2"/>
      <c r="K24" s="2"/>
      <c r="L24" s="2"/>
      <c r="M24" s="2"/>
      <c r="N24" s="2"/>
      <c r="O24" s="2"/>
      <c r="P24" s="2"/>
      <c r="Q24" s="2"/>
      <c r="R24" s="2"/>
      <c r="S24" s="2"/>
      <c r="T24" s="2"/>
      <c r="U24" s="2"/>
      <c r="V24" s="2"/>
      <c r="W24" s="2"/>
      <c r="X24" s="2"/>
      <c r="Y24" s="2"/>
      <c r="Z24" s="2"/>
      <c r="AA24" s="2"/>
      <c r="AB24" s="2"/>
    </row>
    <row r="25" spans="1:28" ht="15.75" customHeight="1" thickBot="1">
      <c r="A25" s="11" t="s">
        <v>26</v>
      </c>
      <c r="B25" s="596">
        <v>40</v>
      </c>
      <c r="C25" s="596"/>
      <c r="D25" s="596">
        <v>300</v>
      </c>
      <c r="E25" s="660">
        <v>0.5</v>
      </c>
      <c r="F25" s="597">
        <v>50</v>
      </c>
      <c r="G25" s="663"/>
      <c r="H25" s="669"/>
      <c r="I25" s="697"/>
      <c r="J25" s="2"/>
      <c r="K25" s="2"/>
      <c r="L25" s="2"/>
      <c r="M25" s="2"/>
      <c r="N25" s="2"/>
      <c r="O25" s="2"/>
      <c r="P25" s="2"/>
      <c r="Q25" s="2"/>
      <c r="R25" s="2"/>
      <c r="S25" s="2"/>
      <c r="T25" s="2"/>
      <c r="U25" s="2"/>
      <c r="V25" s="2"/>
      <c r="W25" s="2"/>
      <c r="X25" s="2"/>
      <c r="Y25" s="2"/>
      <c r="Z25" s="2"/>
      <c r="AA25" s="2"/>
      <c r="AB25" s="2"/>
    </row>
    <row r="26" spans="1:28" ht="15.75" customHeight="1" thickBot="1">
      <c r="A26" s="12" t="s">
        <v>27</v>
      </c>
      <c r="B26" s="598">
        <v>10</v>
      </c>
      <c r="C26" s="598"/>
      <c r="D26" s="598">
        <v>300</v>
      </c>
      <c r="E26" s="661">
        <v>0.5</v>
      </c>
      <c r="F26" s="599">
        <v>50</v>
      </c>
      <c r="G26" s="663"/>
      <c r="H26" s="669"/>
      <c r="I26" s="697"/>
      <c r="J26" s="2"/>
      <c r="K26" s="2"/>
      <c r="L26" s="2"/>
      <c r="M26" s="2"/>
      <c r="N26" s="2"/>
      <c r="O26" s="2"/>
      <c r="P26" s="2"/>
      <c r="Q26" s="2"/>
      <c r="R26" s="2"/>
      <c r="S26" s="2"/>
      <c r="T26" s="2"/>
      <c r="U26" s="2"/>
      <c r="V26" s="2"/>
      <c r="W26" s="2"/>
      <c r="X26" s="2"/>
      <c r="Y26" s="2"/>
      <c r="Z26" s="2"/>
      <c r="AA26" s="2"/>
      <c r="AB26" s="2"/>
    </row>
    <row r="27" spans="1:28" ht="15.75" customHeight="1" thickBot="1">
      <c r="A27" s="11" t="s">
        <v>28</v>
      </c>
      <c r="B27" s="596"/>
      <c r="C27" s="596">
        <v>200</v>
      </c>
      <c r="D27" s="596">
        <v>400</v>
      </c>
      <c r="E27" s="660">
        <v>0.5</v>
      </c>
      <c r="F27" s="597">
        <v>50</v>
      </c>
      <c r="G27" s="663"/>
      <c r="H27" s="669"/>
      <c r="I27" s="697"/>
      <c r="J27" s="2"/>
      <c r="K27" s="2"/>
      <c r="L27" s="2"/>
      <c r="M27" s="2"/>
      <c r="N27" s="2"/>
      <c r="O27" s="2"/>
      <c r="P27" s="2"/>
      <c r="Q27" s="2"/>
      <c r="R27" s="2"/>
      <c r="S27" s="2"/>
      <c r="T27" s="2"/>
      <c r="U27" s="2"/>
      <c r="V27" s="2"/>
      <c r="W27" s="2"/>
      <c r="X27" s="2"/>
      <c r="Y27" s="2"/>
      <c r="Z27" s="2"/>
      <c r="AA27" s="2"/>
      <c r="AB27" s="2"/>
    </row>
    <row r="28" spans="1:28" ht="15.75" customHeight="1" thickBot="1">
      <c r="A28" s="12" t="s">
        <v>29</v>
      </c>
      <c r="B28" s="598"/>
      <c r="C28" s="598">
        <v>50</v>
      </c>
      <c r="D28" s="598">
        <v>400</v>
      </c>
      <c r="E28" s="661">
        <v>0.5</v>
      </c>
      <c r="F28" s="599">
        <v>50</v>
      </c>
      <c r="G28" s="663"/>
      <c r="H28" s="669"/>
      <c r="I28" s="697"/>
      <c r="J28" s="2"/>
      <c r="K28" s="2"/>
      <c r="L28" s="2"/>
      <c r="M28" s="2"/>
      <c r="N28" s="2"/>
      <c r="O28" s="2"/>
      <c r="P28" s="2"/>
      <c r="Q28" s="2"/>
      <c r="R28" s="2"/>
      <c r="S28" s="2"/>
      <c r="T28" s="2"/>
      <c r="U28" s="2"/>
      <c r="V28" s="2"/>
      <c r="W28" s="2"/>
      <c r="X28" s="2"/>
      <c r="Y28" s="2"/>
      <c r="Z28" s="2"/>
      <c r="AA28" s="2"/>
      <c r="AB28" s="2"/>
    </row>
    <row r="29" spans="1:28" ht="15.75" customHeight="1" thickBot="1">
      <c r="A29" s="11" t="s">
        <v>30</v>
      </c>
      <c r="B29" s="596"/>
      <c r="C29" s="596">
        <v>3</v>
      </c>
      <c r="D29" s="596">
        <v>400</v>
      </c>
      <c r="E29" s="660">
        <v>0.5</v>
      </c>
      <c r="F29" s="597">
        <v>50</v>
      </c>
      <c r="G29" s="663"/>
      <c r="H29" s="669"/>
      <c r="I29" s="697"/>
      <c r="J29" s="2"/>
      <c r="K29" s="2"/>
      <c r="L29" s="2"/>
      <c r="M29" s="2"/>
      <c r="N29" s="2"/>
      <c r="O29" s="2"/>
      <c r="P29" s="2"/>
      <c r="Q29" s="2"/>
      <c r="R29" s="2"/>
      <c r="S29" s="2"/>
      <c r="T29" s="2"/>
      <c r="U29" s="2"/>
      <c r="V29" s="2"/>
      <c r="W29" s="2"/>
      <c r="X29" s="2"/>
      <c r="Y29" s="2"/>
      <c r="Z29" s="2"/>
      <c r="AA29" s="2"/>
      <c r="AB29" s="2"/>
    </row>
    <row r="30" spans="1:28" ht="15.75" customHeight="1" thickBot="1">
      <c r="A30" s="12" t="s">
        <v>31</v>
      </c>
      <c r="B30" s="598"/>
      <c r="C30" s="598">
        <v>150</v>
      </c>
      <c r="D30" s="598">
        <v>550</v>
      </c>
      <c r="E30" s="661">
        <v>0.5</v>
      </c>
      <c r="F30" s="599">
        <v>50</v>
      </c>
      <c r="G30" s="663"/>
      <c r="H30" s="669"/>
      <c r="I30" s="697"/>
      <c r="J30" s="2"/>
      <c r="K30" s="2"/>
      <c r="L30" s="2"/>
      <c r="M30" s="2"/>
      <c r="N30" s="2"/>
      <c r="O30" s="2"/>
      <c r="P30" s="2"/>
      <c r="Q30" s="2"/>
      <c r="R30" s="2"/>
      <c r="S30" s="2"/>
      <c r="T30" s="2"/>
      <c r="U30" s="2"/>
      <c r="V30" s="2"/>
      <c r="W30" s="2"/>
      <c r="X30" s="2"/>
      <c r="Y30" s="2"/>
      <c r="Z30" s="2"/>
      <c r="AA30" s="2"/>
      <c r="AB30" s="2"/>
    </row>
    <row r="31" spans="1:28" ht="15.75" customHeight="1" thickBot="1">
      <c r="A31" s="11" t="s">
        <v>32</v>
      </c>
      <c r="B31" s="596"/>
      <c r="C31" s="596">
        <v>250</v>
      </c>
      <c r="D31" s="596">
        <v>550</v>
      </c>
      <c r="E31" s="660">
        <v>0.5</v>
      </c>
      <c r="F31" s="597">
        <v>50</v>
      </c>
      <c r="G31" s="663"/>
      <c r="H31" s="669"/>
      <c r="I31" s="697"/>
      <c r="J31" s="2"/>
      <c r="K31" s="2"/>
      <c r="L31" s="2"/>
      <c r="M31" s="2"/>
      <c r="N31" s="2"/>
      <c r="O31" s="2"/>
      <c r="P31" s="2"/>
      <c r="Q31" s="2"/>
      <c r="R31" s="2"/>
      <c r="S31" s="2"/>
      <c r="T31" s="2"/>
      <c r="U31" s="2"/>
      <c r="V31" s="2"/>
      <c r="W31" s="2"/>
      <c r="X31" s="2"/>
      <c r="Y31" s="2"/>
      <c r="Z31" s="2"/>
      <c r="AA31" s="2"/>
      <c r="AB31" s="2"/>
    </row>
    <row r="32" spans="1:28" ht="15.75" customHeight="1" thickBot="1">
      <c r="A32" s="12" t="s">
        <v>33</v>
      </c>
      <c r="B32" s="598"/>
      <c r="C32" s="598">
        <v>30</v>
      </c>
      <c r="D32" s="598">
        <v>550</v>
      </c>
      <c r="E32" s="667">
        <v>0.5</v>
      </c>
      <c r="F32" s="599">
        <v>50</v>
      </c>
      <c r="G32" s="663"/>
      <c r="H32" s="669"/>
      <c r="I32" s="697"/>
      <c r="J32" s="2"/>
      <c r="K32" s="2"/>
      <c r="L32" s="2"/>
      <c r="M32" s="2"/>
      <c r="N32" s="2"/>
      <c r="O32" s="2"/>
      <c r="P32" s="2"/>
      <c r="Q32" s="2"/>
      <c r="R32" s="2"/>
      <c r="S32" s="2"/>
      <c r="T32" s="2"/>
      <c r="U32" s="2"/>
      <c r="V32" s="2"/>
      <c r="W32" s="2"/>
      <c r="X32" s="2"/>
      <c r="Y32" s="2"/>
      <c r="Z32" s="2"/>
      <c r="AA32" s="2"/>
      <c r="AB32" s="2"/>
    </row>
    <row r="33" spans="1:28" ht="15.75" customHeight="1" thickBot="1">
      <c r="A33" s="11" t="s">
        <v>34</v>
      </c>
      <c r="B33" s="596"/>
      <c r="C33" s="596">
        <v>10</v>
      </c>
      <c r="D33" s="596">
        <v>600</v>
      </c>
      <c r="E33" s="723"/>
      <c r="F33" s="597">
        <v>50</v>
      </c>
      <c r="G33" s="664"/>
      <c r="H33" s="669"/>
      <c r="I33" s="697"/>
      <c r="J33" s="2"/>
      <c r="K33" s="2"/>
      <c r="L33" s="2"/>
      <c r="M33" s="2"/>
      <c r="N33" s="2"/>
      <c r="O33" s="2"/>
      <c r="P33" s="2"/>
      <c r="Q33" s="2"/>
      <c r="R33" s="2"/>
      <c r="S33" s="2"/>
      <c r="T33" s="2"/>
      <c r="U33" s="2"/>
      <c r="V33" s="2"/>
      <c r="W33" s="2"/>
      <c r="X33" s="2"/>
      <c r="Y33" s="2"/>
      <c r="Z33" s="2"/>
      <c r="AA33" s="2"/>
      <c r="AB33" s="2"/>
    </row>
    <row r="34" spans="1:28" ht="15.75" customHeight="1" thickBot="1">
      <c r="A34" s="12" t="s">
        <v>35</v>
      </c>
      <c r="B34" s="598"/>
      <c r="C34" s="598">
        <v>15</v>
      </c>
      <c r="D34" s="598">
        <v>600</v>
      </c>
      <c r="E34" s="724"/>
      <c r="F34" s="599">
        <v>50</v>
      </c>
      <c r="G34" s="599">
        <v>4</v>
      </c>
      <c r="H34" s="598">
        <v>305</v>
      </c>
      <c r="I34" s="819">
        <f>G34*H34</f>
        <v>1220</v>
      </c>
      <c r="J34" s="2"/>
      <c r="K34" s="2"/>
      <c r="L34" s="2"/>
      <c r="M34" s="2"/>
      <c r="N34" s="2"/>
      <c r="O34" s="2"/>
      <c r="P34" s="2"/>
      <c r="Q34" s="2"/>
      <c r="R34" s="2"/>
      <c r="S34" s="2"/>
      <c r="T34" s="2"/>
      <c r="U34" s="2"/>
      <c r="V34" s="2"/>
      <c r="W34" s="2"/>
      <c r="X34" s="2"/>
      <c r="Y34" s="2"/>
      <c r="Z34" s="2"/>
      <c r="AA34" s="2"/>
      <c r="AB34" s="2"/>
    </row>
    <row r="35" spans="1:28" ht="15.75" customHeight="1" thickBot="1">
      <c r="A35" s="11" t="s">
        <v>36</v>
      </c>
      <c r="B35" s="596"/>
      <c r="C35" s="596">
        <v>1</v>
      </c>
      <c r="D35" s="596">
        <v>650</v>
      </c>
      <c r="E35" s="725"/>
      <c r="F35" s="597">
        <v>50</v>
      </c>
      <c r="G35" s="670"/>
      <c r="H35" s="662"/>
      <c r="I35" s="697"/>
      <c r="J35" s="13"/>
      <c r="K35" s="13"/>
      <c r="L35" s="13"/>
      <c r="M35" s="2"/>
      <c r="N35" s="2"/>
      <c r="O35" s="2"/>
      <c r="P35" s="2"/>
      <c r="Q35" s="2"/>
      <c r="R35" s="2"/>
      <c r="S35" s="2"/>
      <c r="T35" s="2"/>
      <c r="U35" s="2"/>
      <c r="V35" s="2"/>
      <c r="W35" s="2"/>
      <c r="X35" s="2"/>
      <c r="Y35" s="2"/>
      <c r="Z35" s="2"/>
      <c r="AA35" s="2"/>
      <c r="AB35" s="2"/>
    </row>
    <row r="36" spans="1:28" ht="11.25" customHeight="1" thickBot="1">
      <c r="A36" s="2"/>
      <c r="B36" s="2"/>
      <c r="C36" s="2"/>
      <c r="D36" s="2"/>
      <c r="E36" s="2"/>
      <c r="F36" s="468"/>
      <c r="G36" s="468"/>
      <c r="H36" s="468"/>
      <c r="I36" s="468"/>
      <c r="J36" s="2"/>
      <c r="K36" s="2"/>
      <c r="L36" s="2"/>
      <c r="M36" s="2"/>
      <c r="N36" s="2"/>
      <c r="O36" s="2"/>
      <c r="P36" s="2"/>
      <c r="Q36" s="2"/>
      <c r="R36" s="4"/>
      <c r="S36" s="2"/>
      <c r="T36" s="2"/>
      <c r="U36" s="2"/>
      <c r="V36" s="2"/>
      <c r="W36" s="2"/>
      <c r="X36" s="2"/>
      <c r="Y36" s="2"/>
      <c r="Z36" s="2"/>
      <c r="AA36" s="2"/>
      <c r="AB36" s="2"/>
    </row>
    <row r="37" spans="1:28" ht="24" customHeight="1" thickBot="1">
      <c r="A37" s="871" t="s">
        <v>991</v>
      </c>
      <c r="B37" s="872"/>
      <c r="C37" s="872"/>
      <c r="D37" s="872"/>
      <c r="E37" s="873"/>
      <c r="F37" s="14"/>
      <c r="G37" s="14"/>
      <c r="H37" s="14"/>
      <c r="I37" s="14"/>
      <c r="J37" s="14"/>
      <c r="K37" s="14"/>
      <c r="L37" s="14"/>
      <c r="M37" s="2"/>
      <c r="N37" s="2"/>
      <c r="O37" s="2"/>
      <c r="P37" s="4"/>
      <c r="Q37" s="2"/>
      <c r="R37" s="2"/>
      <c r="S37" s="2"/>
      <c r="T37" s="2"/>
      <c r="U37" s="2"/>
      <c r="V37" s="2"/>
      <c r="W37" s="2"/>
      <c r="X37" s="2"/>
      <c r="Y37" s="2"/>
      <c r="Z37" s="2"/>
      <c r="AA37" s="2"/>
      <c r="AB37" s="2"/>
    </row>
    <row r="38" spans="1:28" ht="36" customHeight="1">
      <c r="A38" s="8" t="s">
        <v>15</v>
      </c>
      <c r="B38" s="15" t="s">
        <v>37</v>
      </c>
      <c r="C38" s="16" t="s">
        <v>38</v>
      </c>
      <c r="D38" s="15" t="s">
        <v>106</v>
      </c>
      <c r="E38" s="9" t="s">
        <v>39</v>
      </c>
      <c r="F38" s="2"/>
      <c r="G38" s="10"/>
      <c r="H38" s="10"/>
      <c r="I38" s="10"/>
      <c r="J38" s="10"/>
      <c r="K38" s="10"/>
      <c r="L38" s="10"/>
      <c r="M38" s="2"/>
      <c r="N38" s="2"/>
      <c r="O38" s="2"/>
      <c r="P38" s="4"/>
      <c r="Q38" s="2"/>
      <c r="R38" s="2"/>
      <c r="S38" s="2"/>
      <c r="T38" s="2"/>
      <c r="U38" s="2"/>
      <c r="V38" s="2"/>
      <c r="W38" s="2"/>
      <c r="X38" s="2"/>
      <c r="Y38" s="2"/>
      <c r="Z38" s="2"/>
      <c r="AA38" s="2"/>
      <c r="AB38" s="2"/>
    </row>
    <row r="39" spans="1:28" ht="15.75" customHeight="1">
      <c r="A39" s="11" t="s">
        <v>22</v>
      </c>
      <c r="B39" s="604" t="s">
        <v>40</v>
      </c>
      <c r="C39" s="605" t="s">
        <v>110</v>
      </c>
      <c r="D39" s="601" t="s">
        <v>42</v>
      </c>
      <c r="E39" s="592" t="s">
        <v>13</v>
      </c>
      <c r="F39" s="2"/>
      <c r="G39" s="17"/>
      <c r="H39" s="18"/>
      <c r="I39" s="17"/>
      <c r="J39" s="19"/>
      <c r="K39" s="17"/>
      <c r="L39" s="19"/>
      <c r="M39" s="2"/>
      <c r="N39" s="2"/>
      <c r="O39" s="2"/>
      <c r="P39" s="4"/>
      <c r="Q39" s="2"/>
      <c r="R39" s="2"/>
      <c r="S39" s="2"/>
      <c r="T39" s="2"/>
      <c r="U39" s="2"/>
      <c r="V39" s="2"/>
      <c r="W39" s="2"/>
      <c r="X39" s="2"/>
      <c r="Y39" s="2"/>
      <c r="Z39" s="2"/>
      <c r="AA39" s="2"/>
      <c r="AB39" s="2"/>
    </row>
    <row r="40" spans="1:28" ht="15.75" customHeight="1">
      <c r="A40" s="12" t="s">
        <v>23</v>
      </c>
      <c r="B40" s="606" t="s">
        <v>40</v>
      </c>
      <c r="C40" s="607" t="s">
        <v>110</v>
      </c>
      <c r="D40" s="603" t="s">
        <v>42</v>
      </c>
      <c r="E40" s="608" t="s">
        <v>13</v>
      </c>
      <c r="F40" s="2"/>
      <c r="G40" s="17"/>
      <c r="H40" s="18"/>
      <c r="I40" s="17"/>
      <c r="J40" s="19"/>
      <c r="K40" s="17"/>
      <c r="L40" s="19"/>
      <c r="M40" s="2"/>
      <c r="N40" s="2"/>
      <c r="O40" s="2"/>
      <c r="P40" s="4"/>
      <c r="Q40" s="2"/>
      <c r="R40" s="2"/>
      <c r="S40" s="2"/>
      <c r="T40" s="2"/>
      <c r="U40" s="2"/>
      <c r="V40" s="2"/>
      <c r="W40" s="2"/>
      <c r="X40" s="2"/>
      <c r="Y40" s="2"/>
      <c r="Z40" s="2"/>
      <c r="AA40" s="2"/>
      <c r="AB40" s="2"/>
    </row>
    <row r="41" spans="1:28" ht="15.75" customHeight="1">
      <c r="A41" s="11" t="s">
        <v>24</v>
      </c>
      <c r="B41" s="604" t="s">
        <v>40</v>
      </c>
      <c r="C41" s="605" t="s">
        <v>110</v>
      </c>
      <c r="D41" s="601" t="s">
        <v>42</v>
      </c>
      <c r="E41" s="592" t="s">
        <v>13</v>
      </c>
      <c r="F41" s="2"/>
      <c r="G41" s="17"/>
      <c r="H41" s="18"/>
      <c r="I41" s="17"/>
      <c r="J41" s="19"/>
      <c r="K41" s="17"/>
      <c r="L41" s="19"/>
      <c r="M41" s="2"/>
      <c r="N41" s="2"/>
      <c r="O41" s="2"/>
      <c r="P41" s="4"/>
      <c r="Q41" s="2"/>
      <c r="R41" s="2"/>
      <c r="S41" s="2"/>
      <c r="T41" s="2"/>
      <c r="U41" s="2"/>
      <c r="V41" s="2"/>
      <c r="W41" s="2"/>
      <c r="X41" s="2"/>
      <c r="Y41" s="2"/>
      <c r="Z41" s="2"/>
      <c r="AA41" s="2"/>
      <c r="AB41" s="2"/>
    </row>
    <row r="42" spans="1:28" ht="15.75" customHeight="1">
      <c r="A42" s="12" t="s">
        <v>25</v>
      </c>
      <c r="B42" s="606" t="s">
        <v>40</v>
      </c>
      <c r="C42" s="607" t="s">
        <v>110</v>
      </c>
      <c r="D42" s="603" t="s">
        <v>42</v>
      </c>
      <c r="E42" s="608" t="s">
        <v>13</v>
      </c>
      <c r="F42" s="2"/>
      <c r="G42" s="17"/>
      <c r="H42" s="18"/>
      <c r="I42" s="17"/>
      <c r="J42" s="19"/>
      <c r="K42" s="17"/>
      <c r="L42" s="19"/>
      <c r="M42" s="2"/>
      <c r="N42" s="2"/>
      <c r="O42" s="2"/>
      <c r="P42" s="4"/>
      <c r="Q42" s="2"/>
      <c r="R42" s="2"/>
      <c r="S42" s="2"/>
      <c r="T42" s="2"/>
      <c r="U42" s="2"/>
      <c r="V42" s="2"/>
      <c r="W42" s="2"/>
      <c r="X42" s="2"/>
      <c r="Y42" s="2"/>
      <c r="Z42" s="2"/>
      <c r="AA42" s="2"/>
      <c r="AB42" s="2"/>
    </row>
    <row r="43" spans="1:28" ht="15.75" customHeight="1">
      <c r="A43" s="11" t="s">
        <v>26</v>
      </c>
      <c r="B43" s="604" t="s">
        <v>40</v>
      </c>
      <c r="C43" s="605" t="s">
        <v>110</v>
      </c>
      <c r="D43" s="601" t="s">
        <v>42</v>
      </c>
      <c r="E43" s="592" t="s">
        <v>13</v>
      </c>
      <c r="F43" s="2"/>
      <c r="G43" s="17"/>
      <c r="H43" s="18"/>
      <c r="I43" s="17"/>
      <c r="J43" s="19"/>
      <c r="K43" s="17"/>
      <c r="L43" s="19"/>
      <c r="M43" s="2"/>
      <c r="N43" s="2"/>
      <c r="O43" s="2"/>
      <c r="P43" s="4"/>
      <c r="Q43" s="2"/>
      <c r="R43" s="2"/>
      <c r="S43" s="2"/>
      <c r="T43" s="2"/>
      <c r="U43" s="2"/>
      <c r="V43" s="2"/>
      <c r="W43" s="2"/>
      <c r="X43" s="2"/>
      <c r="Y43" s="2"/>
      <c r="Z43" s="2"/>
      <c r="AA43" s="2"/>
      <c r="AB43" s="2"/>
    </row>
    <row r="44" spans="1:28" ht="15.75" customHeight="1">
      <c r="A44" s="12" t="s">
        <v>27</v>
      </c>
      <c r="B44" s="606" t="s">
        <v>40</v>
      </c>
      <c r="C44" s="607" t="s">
        <v>110</v>
      </c>
      <c r="D44" s="603" t="s">
        <v>42</v>
      </c>
      <c r="E44" s="608" t="s">
        <v>13</v>
      </c>
      <c r="F44" s="2"/>
      <c r="G44" s="17"/>
      <c r="H44" s="18"/>
      <c r="I44" s="17"/>
      <c r="J44" s="19"/>
      <c r="K44" s="17"/>
      <c r="L44" s="19"/>
      <c r="M44" s="2"/>
      <c r="N44" s="2"/>
      <c r="O44" s="2"/>
      <c r="P44" s="4"/>
      <c r="Q44" s="2"/>
      <c r="R44" s="2"/>
      <c r="S44" s="2"/>
      <c r="T44" s="2"/>
      <c r="U44" s="2"/>
      <c r="V44" s="2"/>
      <c r="W44" s="2"/>
      <c r="X44" s="2"/>
      <c r="Y44" s="2"/>
      <c r="Z44" s="2"/>
      <c r="AA44" s="2"/>
      <c r="AB44" s="2"/>
    </row>
    <row r="45" spans="1:28" ht="15.75" customHeight="1">
      <c r="A45" s="11" t="s">
        <v>28</v>
      </c>
      <c r="B45" s="604" t="s">
        <v>40</v>
      </c>
      <c r="C45" s="605" t="s">
        <v>110</v>
      </c>
      <c r="D45" s="601" t="s">
        <v>42</v>
      </c>
      <c r="E45" s="592" t="s">
        <v>13</v>
      </c>
      <c r="F45" s="2"/>
      <c r="G45" s="17"/>
      <c r="H45" s="18"/>
      <c r="I45" s="17"/>
      <c r="J45" s="19"/>
      <c r="K45" s="17"/>
      <c r="L45" s="19"/>
      <c r="M45" s="2"/>
      <c r="N45" s="2"/>
      <c r="O45" s="2"/>
      <c r="P45" s="4"/>
      <c r="Q45" s="2"/>
      <c r="R45" s="2"/>
      <c r="S45" s="2"/>
      <c r="T45" s="2"/>
      <c r="U45" s="2"/>
      <c r="V45" s="2"/>
      <c r="W45" s="2"/>
      <c r="X45" s="2"/>
      <c r="Y45" s="2"/>
      <c r="Z45" s="2"/>
      <c r="AA45" s="2"/>
      <c r="AB45" s="2"/>
    </row>
    <row r="46" spans="1:28" ht="15.75" customHeight="1">
      <c r="A46" s="12" t="s">
        <v>29</v>
      </c>
      <c r="B46" s="606" t="s">
        <v>40</v>
      </c>
      <c r="C46" s="607" t="s">
        <v>110</v>
      </c>
      <c r="D46" s="603" t="s">
        <v>42</v>
      </c>
      <c r="E46" s="608" t="s">
        <v>13</v>
      </c>
      <c r="F46" s="2"/>
      <c r="G46" s="17"/>
      <c r="H46" s="18"/>
      <c r="I46" s="17"/>
      <c r="J46" s="19"/>
      <c r="K46" s="17"/>
      <c r="L46" s="19"/>
      <c r="M46" s="2"/>
      <c r="N46" s="2"/>
      <c r="O46" s="2"/>
      <c r="P46" s="4"/>
      <c r="Q46" s="2"/>
      <c r="R46" s="2"/>
      <c r="S46" s="2"/>
      <c r="T46" s="2"/>
      <c r="U46" s="2"/>
      <c r="V46" s="2"/>
      <c r="W46" s="2"/>
      <c r="X46" s="2"/>
      <c r="Y46" s="2"/>
      <c r="Z46" s="2"/>
      <c r="AA46" s="2"/>
      <c r="AB46" s="2"/>
    </row>
    <row r="47" spans="1:28" ht="15.75" customHeight="1">
      <c r="A47" s="11" t="s">
        <v>30</v>
      </c>
      <c r="B47" s="604" t="s">
        <v>40</v>
      </c>
      <c r="C47" s="605" t="s">
        <v>110</v>
      </c>
      <c r="D47" s="601" t="s">
        <v>42</v>
      </c>
      <c r="E47" s="592" t="s">
        <v>13</v>
      </c>
      <c r="F47" s="2"/>
      <c r="G47" s="17"/>
      <c r="H47" s="18"/>
      <c r="I47" s="17"/>
      <c r="J47" s="19"/>
      <c r="K47" s="17"/>
      <c r="L47" s="19"/>
      <c r="M47" s="2"/>
      <c r="N47" s="2"/>
      <c r="O47" s="2"/>
      <c r="P47" s="4"/>
      <c r="Q47" s="2"/>
      <c r="R47" s="2"/>
      <c r="S47" s="2"/>
      <c r="T47" s="2"/>
      <c r="U47" s="2"/>
      <c r="V47" s="2"/>
      <c r="W47" s="2"/>
      <c r="X47" s="2"/>
      <c r="Y47" s="2"/>
      <c r="Z47" s="2"/>
      <c r="AA47" s="2"/>
      <c r="AB47" s="2"/>
    </row>
    <row r="48" spans="1:28" ht="15.75" customHeight="1">
      <c r="A48" s="12" t="s">
        <v>31</v>
      </c>
      <c r="B48" s="606" t="s">
        <v>112</v>
      </c>
      <c r="C48" s="595" t="s">
        <v>111</v>
      </c>
      <c r="D48" s="603" t="s">
        <v>115</v>
      </c>
      <c r="E48" s="608" t="s">
        <v>11</v>
      </c>
      <c r="F48" s="2"/>
      <c r="G48" s="17"/>
      <c r="H48" s="18"/>
      <c r="I48" s="17"/>
      <c r="J48" s="19"/>
      <c r="K48" s="17"/>
      <c r="L48" s="19"/>
      <c r="M48" s="2"/>
      <c r="N48" s="2"/>
      <c r="O48" s="2"/>
      <c r="P48" s="4"/>
      <c r="Q48" s="2"/>
      <c r="R48" s="2"/>
      <c r="S48" s="2"/>
      <c r="T48" s="2"/>
      <c r="U48" s="2"/>
      <c r="V48" s="2"/>
      <c r="W48" s="2"/>
      <c r="X48" s="2"/>
      <c r="Y48" s="2"/>
      <c r="Z48" s="2"/>
      <c r="AA48" s="2"/>
      <c r="AB48" s="2"/>
    </row>
    <row r="49" spans="1:28" ht="15.75" customHeight="1">
      <c r="A49" s="11" t="s">
        <v>32</v>
      </c>
      <c r="B49" s="604" t="s">
        <v>112</v>
      </c>
      <c r="C49" s="594" t="s">
        <v>111</v>
      </c>
      <c r="D49" s="601" t="s">
        <v>115</v>
      </c>
      <c r="E49" s="592" t="s">
        <v>11</v>
      </c>
      <c r="F49" s="2"/>
      <c r="G49" s="17"/>
      <c r="H49" s="18"/>
      <c r="I49" s="17"/>
      <c r="J49" s="19"/>
      <c r="K49" s="17"/>
      <c r="L49" s="19"/>
      <c r="M49" s="2"/>
      <c r="N49" s="2"/>
      <c r="O49" s="2"/>
      <c r="P49" s="2"/>
      <c r="Q49" s="2"/>
      <c r="R49" s="2"/>
      <c r="S49" s="2"/>
      <c r="T49" s="2"/>
      <c r="U49" s="2"/>
      <c r="V49" s="2"/>
      <c r="W49" s="2"/>
      <c r="X49" s="2"/>
      <c r="Y49" s="2"/>
      <c r="Z49" s="2"/>
      <c r="AA49" s="2"/>
      <c r="AB49" s="2"/>
    </row>
    <row r="50" spans="1:28" ht="15.75" customHeight="1">
      <c r="A50" s="12" t="s">
        <v>33</v>
      </c>
      <c r="B50" s="606" t="s">
        <v>112</v>
      </c>
      <c r="C50" s="595" t="s">
        <v>111</v>
      </c>
      <c r="D50" s="603" t="s">
        <v>115</v>
      </c>
      <c r="E50" s="608" t="s">
        <v>11</v>
      </c>
      <c r="F50" s="2"/>
      <c r="G50" s="17"/>
      <c r="H50" s="18"/>
      <c r="I50" s="17"/>
      <c r="J50" s="19"/>
      <c r="K50" s="17"/>
      <c r="L50" s="19"/>
      <c r="M50" s="2"/>
      <c r="N50" s="2"/>
      <c r="O50" s="2"/>
      <c r="P50" s="2"/>
      <c r="Q50" s="2"/>
      <c r="R50" s="2"/>
      <c r="S50" s="2"/>
      <c r="T50" s="2"/>
      <c r="U50" s="2"/>
      <c r="V50" s="2"/>
      <c r="W50" s="2"/>
      <c r="X50" s="2"/>
      <c r="Y50" s="2"/>
      <c r="Z50" s="2"/>
      <c r="AA50" s="2"/>
      <c r="AB50" s="2"/>
    </row>
    <row r="51" spans="1:28" ht="15.75" customHeight="1">
      <c r="A51" s="11" t="s">
        <v>34</v>
      </c>
      <c r="B51" s="604" t="s">
        <v>40</v>
      </c>
      <c r="C51" s="605" t="s">
        <v>110</v>
      </c>
      <c r="D51" s="601" t="s">
        <v>42</v>
      </c>
      <c r="E51" s="592" t="s">
        <v>13</v>
      </c>
      <c r="F51" s="2"/>
      <c r="G51" s="17"/>
      <c r="H51" s="18"/>
      <c r="I51" s="17"/>
      <c r="J51" s="19"/>
      <c r="K51" s="17"/>
      <c r="L51" s="19"/>
      <c r="M51" s="2"/>
      <c r="N51" s="2"/>
      <c r="O51" s="2"/>
      <c r="P51" s="2"/>
      <c r="Q51" s="2"/>
      <c r="R51" s="2"/>
      <c r="S51" s="2"/>
      <c r="T51" s="2"/>
      <c r="U51" s="2"/>
      <c r="V51" s="2"/>
      <c r="W51" s="2"/>
      <c r="X51" s="2"/>
      <c r="Y51" s="2"/>
      <c r="Z51" s="2"/>
      <c r="AA51" s="2"/>
      <c r="AB51" s="2"/>
    </row>
    <row r="52" spans="1:28" ht="15.75" customHeight="1">
      <c r="A52" s="12" t="s">
        <v>35</v>
      </c>
      <c r="B52" s="606" t="s">
        <v>40</v>
      </c>
      <c r="C52" s="607" t="s">
        <v>110</v>
      </c>
      <c r="D52" s="603" t="s">
        <v>42</v>
      </c>
      <c r="E52" s="608" t="s">
        <v>13</v>
      </c>
      <c r="F52" s="2"/>
      <c r="G52" s="17"/>
      <c r="H52" s="18"/>
      <c r="I52" s="17"/>
      <c r="J52" s="19"/>
      <c r="K52" s="17"/>
      <c r="L52" s="19"/>
      <c r="M52" s="2"/>
      <c r="N52" s="2"/>
      <c r="O52" s="2"/>
      <c r="P52" s="2"/>
      <c r="Q52" s="2"/>
      <c r="R52" s="2"/>
      <c r="S52" s="2"/>
      <c r="T52" s="2"/>
      <c r="U52" s="2"/>
      <c r="V52" s="2"/>
      <c r="W52" s="2"/>
      <c r="X52" s="2"/>
      <c r="Y52" s="2"/>
      <c r="Z52" s="2"/>
      <c r="AA52" s="2"/>
      <c r="AB52" s="2"/>
    </row>
    <row r="53" spans="1:28" ht="15.75" customHeight="1">
      <c r="A53" s="11" t="s">
        <v>36</v>
      </c>
      <c r="B53" s="604" t="s">
        <v>40</v>
      </c>
      <c r="C53" s="605" t="s">
        <v>110</v>
      </c>
      <c r="D53" s="601" t="s">
        <v>42</v>
      </c>
      <c r="E53" s="592" t="s">
        <v>13</v>
      </c>
      <c r="F53" s="2"/>
      <c r="G53" s="17"/>
      <c r="H53" s="18"/>
      <c r="I53" s="17"/>
      <c r="J53" s="19"/>
      <c r="K53" s="17"/>
      <c r="L53" s="19"/>
      <c r="M53" s="2"/>
      <c r="N53" s="2"/>
      <c r="O53" s="2"/>
      <c r="P53" s="2"/>
      <c r="Q53" s="2"/>
      <c r="R53" s="2"/>
      <c r="S53" s="2"/>
      <c r="T53" s="2"/>
      <c r="U53" s="2"/>
      <c r="V53" s="2"/>
      <c r="W53" s="2"/>
      <c r="X53" s="2"/>
      <c r="Y53" s="2"/>
      <c r="Z53" s="2"/>
      <c r="AA53" s="2"/>
      <c r="AB53" s="2"/>
    </row>
    <row r="54" spans="1:28" s="583" customFormat="1" ht="15.75" customHeight="1">
      <c r="A54" s="653"/>
      <c r="B54" s="654"/>
      <c r="C54" s="655"/>
      <c r="D54" s="656"/>
      <c r="E54" s="657"/>
      <c r="F54" s="657"/>
      <c r="G54" s="657"/>
      <c r="H54" s="657"/>
      <c r="I54" s="658"/>
      <c r="J54" s="657"/>
      <c r="K54" s="659"/>
      <c r="L54" s="657"/>
      <c r="M54" s="659"/>
      <c r="N54" s="628"/>
      <c r="O54" s="628"/>
      <c r="P54" s="628"/>
      <c r="Q54" s="628"/>
      <c r="R54" s="628"/>
      <c r="S54" s="628"/>
      <c r="T54" s="628"/>
      <c r="U54" s="628"/>
      <c r="V54" s="628"/>
      <c r="W54" s="628"/>
      <c r="X54" s="628"/>
      <c r="Y54" s="628"/>
      <c r="Z54" s="628"/>
      <c r="AA54" s="628"/>
      <c r="AB54" s="628"/>
    </row>
    <row r="55" spans="1:28" ht="20.25" customHeight="1">
      <c r="A55" s="874" t="s">
        <v>990</v>
      </c>
      <c r="B55" s="875"/>
      <c r="C55" s="875"/>
      <c r="D55" s="875"/>
      <c r="E55" s="875"/>
      <c r="F55" s="875"/>
      <c r="G55" s="858"/>
      <c r="H55" s="14"/>
      <c r="I55" s="14"/>
      <c r="J55" s="14"/>
      <c r="K55" s="14"/>
      <c r="L55" s="14"/>
      <c r="M55" s="14"/>
      <c r="N55" s="14"/>
      <c r="O55" s="2"/>
      <c r="P55" s="2"/>
      <c r="Q55" s="2"/>
      <c r="R55" s="2"/>
      <c r="S55" s="2"/>
      <c r="T55" s="2"/>
      <c r="U55" s="2"/>
      <c r="V55" s="2"/>
      <c r="W55" s="2"/>
      <c r="X55" s="2"/>
      <c r="Y55" s="2"/>
      <c r="Z55" s="2"/>
      <c r="AA55" s="2"/>
      <c r="AB55" s="2"/>
    </row>
    <row r="56" spans="1:28" ht="33.75" customHeight="1">
      <c r="A56" s="8" t="s">
        <v>15</v>
      </c>
      <c r="B56" s="9" t="s">
        <v>43</v>
      </c>
      <c r="C56" s="9" t="s">
        <v>44</v>
      </c>
      <c r="D56" s="9" t="s">
        <v>45</v>
      </c>
      <c r="E56" s="9" t="s">
        <v>46</v>
      </c>
      <c r="F56" s="15" t="s">
        <v>47</v>
      </c>
      <c r="G56" s="9" t="s">
        <v>48</v>
      </c>
      <c r="H56" s="10"/>
      <c r="I56" s="10"/>
      <c r="J56" s="10"/>
      <c r="K56" s="10"/>
      <c r="L56" s="10"/>
      <c r="M56" s="17"/>
      <c r="N56" s="19"/>
      <c r="O56" s="2"/>
      <c r="P56" s="2"/>
      <c r="Q56" s="2"/>
      <c r="R56" s="2"/>
      <c r="S56" s="2"/>
      <c r="T56" s="2"/>
      <c r="U56" s="2"/>
      <c r="V56" s="2"/>
      <c r="W56" s="2"/>
      <c r="X56" s="2"/>
      <c r="Y56" s="2"/>
      <c r="Z56" s="2"/>
      <c r="AA56" s="2"/>
      <c r="AB56" s="2"/>
    </row>
    <row r="57" spans="1:28" ht="30" customHeight="1">
      <c r="A57" s="11" t="s">
        <v>22</v>
      </c>
      <c r="B57" s="600" t="s">
        <v>49</v>
      </c>
      <c r="C57" s="594">
        <v>100</v>
      </c>
      <c r="D57" s="592"/>
      <c r="E57" s="596"/>
      <c r="F57" s="601"/>
      <c r="G57" s="596"/>
      <c r="H57" s="17"/>
      <c r="I57" s="20"/>
      <c r="J57" s="19"/>
      <c r="K57" s="17"/>
      <c r="L57" s="19"/>
      <c r="M57" s="17"/>
      <c r="N57" s="19"/>
      <c r="O57" s="2"/>
      <c r="P57" s="2"/>
      <c r="Q57" s="2"/>
      <c r="R57" s="2"/>
      <c r="S57" s="2"/>
      <c r="T57" s="2"/>
      <c r="U57" s="2"/>
      <c r="V57" s="2"/>
      <c r="W57" s="2"/>
      <c r="X57" s="2"/>
      <c r="Y57" s="2"/>
      <c r="Z57" s="2"/>
      <c r="AA57" s="2"/>
      <c r="AB57" s="2"/>
    </row>
    <row r="58" spans="1:28" ht="22.5" customHeight="1">
      <c r="A58" s="12" t="s">
        <v>23</v>
      </c>
      <c r="B58" s="593" t="s">
        <v>49</v>
      </c>
      <c r="C58" s="595">
        <v>100</v>
      </c>
      <c r="D58" s="602"/>
      <c r="E58" s="598"/>
      <c r="F58" s="603"/>
      <c r="G58" s="598"/>
      <c r="H58" s="17"/>
      <c r="I58" s="20"/>
      <c r="J58" s="19"/>
      <c r="K58" s="17"/>
      <c r="L58" s="19"/>
      <c r="M58" s="17"/>
      <c r="N58" s="19"/>
      <c r="O58" s="2"/>
      <c r="P58" s="2"/>
      <c r="Q58" s="2"/>
      <c r="R58" s="2"/>
      <c r="S58" s="2"/>
      <c r="T58" s="2"/>
      <c r="U58" s="2"/>
      <c r="V58" s="2"/>
      <c r="W58" s="2"/>
      <c r="X58" s="2"/>
      <c r="Y58" s="2"/>
      <c r="Z58" s="2"/>
      <c r="AA58" s="2"/>
      <c r="AB58" s="2"/>
    </row>
    <row r="59" spans="1:28" ht="30.75" customHeight="1">
      <c r="A59" s="11" t="s">
        <v>24</v>
      </c>
      <c r="B59" s="600" t="s">
        <v>49</v>
      </c>
      <c r="C59" s="594">
        <v>100</v>
      </c>
      <c r="D59" s="592"/>
      <c r="E59" s="596"/>
      <c r="F59" s="601"/>
      <c r="G59" s="596"/>
      <c r="H59" s="17"/>
      <c r="I59" s="20"/>
      <c r="J59" s="19"/>
      <c r="K59" s="17"/>
      <c r="L59" s="19"/>
      <c r="M59" s="17"/>
      <c r="N59" s="19"/>
      <c r="O59" s="2"/>
      <c r="P59" s="2"/>
      <c r="Q59" s="2"/>
      <c r="R59" s="2"/>
      <c r="S59" s="2"/>
      <c r="T59" s="2"/>
      <c r="U59" s="2"/>
      <c r="V59" s="2"/>
      <c r="W59" s="2"/>
      <c r="X59" s="2"/>
      <c r="Y59" s="2"/>
      <c r="Z59" s="2"/>
      <c r="AA59" s="2"/>
      <c r="AB59" s="2"/>
    </row>
    <row r="60" spans="1:28" ht="37.5" customHeight="1">
      <c r="A60" s="12" t="s">
        <v>25</v>
      </c>
      <c r="B60" s="593" t="s">
        <v>49</v>
      </c>
      <c r="C60" s="595">
        <v>100</v>
      </c>
      <c r="D60" s="602"/>
      <c r="E60" s="598"/>
      <c r="F60" s="603"/>
      <c r="G60" s="598"/>
      <c r="H60" s="17"/>
      <c r="I60" s="20"/>
      <c r="J60" s="19"/>
      <c r="K60" s="17"/>
      <c r="L60" s="19"/>
      <c r="M60" s="17"/>
      <c r="N60" s="19"/>
      <c r="O60" s="2"/>
      <c r="P60" s="2"/>
      <c r="Q60" s="2"/>
      <c r="R60" s="2"/>
      <c r="S60" s="2"/>
      <c r="T60" s="2"/>
      <c r="U60" s="2"/>
      <c r="V60" s="2"/>
      <c r="W60" s="2"/>
      <c r="X60" s="2"/>
      <c r="Y60" s="2"/>
      <c r="Z60" s="2"/>
      <c r="AA60" s="2"/>
      <c r="AB60" s="2"/>
    </row>
    <row r="61" spans="1:28" ht="15.75" customHeight="1">
      <c r="A61" s="11" t="s">
        <v>26</v>
      </c>
      <c r="B61" s="600" t="s">
        <v>49</v>
      </c>
      <c r="C61" s="594">
        <v>100</v>
      </c>
      <c r="D61" s="592"/>
      <c r="E61" s="596"/>
      <c r="F61" s="601"/>
      <c r="G61" s="596"/>
      <c r="H61" s="17"/>
      <c r="I61" s="20"/>
      <c r="J61" s="19"/>
      <c r="K61" s="17"/>
      <c r="L61" s="19"/>
      <c r="M61" s="17"/>
      <c r="N61" s="19"/>
      <c r="O61" s="2"/>
      <c r="P61" s="2"/>
      <c r="Q61" s="2"/>
      <c r="R61" s="2"/>
      <c r="S61" s="2"/>
      <c r="T61" s="2"/>
      <c r="U61" s="2"/>
      <c r="V61" s="2"/>
      <c r="W61" s="2"/>
      <c r="X61" s="2"/>
      <c r="Y61" s="2"/>
      <c r="Z61" s="2"/>
      <c r="AA61" s="2"/>
      <c r="AB61" s="2"/>
    </row>
    <row r="62" spans="1:28" ht="31.5" customHeight="1">
      <c r="A62" s="12" t="s">
        <v>27</v>
      </c>
      <c r="B62" s="593" t="s">
        <v>49</v>
      </c>
      <c r="C62" s="595">
        <v>100</v>
      </c>
      <c r="D62" s="602"/>
      <c r="E62" s="598"/>
      <c r="F62" s="603"/>
      <c r="G62" s="598"/>
      <c r="H62" s="17"/>
      <c r="I62" s="20"/>
      <c r="J62" s="19"/>
      <c r="K62" s="17"/>
      <c r="L62" s="19"/>
      <c r="M62" s="17"/>
      <c r="N62" s="19"/>
      <c r="O62" s="2"/>
      <c r="P62" s="2"/>
      <c r="Q62" s="2"/>
      <c r="R62" s="2"/>
      <c r="S62" s="2"/>
      <c r="T62" s="2"/>
      <c r="U62" s="2"/>
      <c r="V62" s="2"/>
      <c r="W62" s="2"/>
      <c r="X62" s="2"/>
      <c r="Y62" s="2"/>
      <c r="Z62" s="2"/>
      <c r="AA62" s="2"/>
      <c r="AB62" s="2"/>
    </row>
    <row r="63" spans="1:28" ht="34.5" customHeight="1">
      <c r="A63" s="11" t="s">
        <v>28</v>
      </c>
      <c r="B63" s="600" t="s">
        <v>49</v>
      </c>
      <c r="C63" s="594">
        <v>100</v>
      </c>
      <c r="D63" s="592"/>
      <c r="E63" s="596"/>
      <c r="F63" s="601"/>
      <c r="G63" s="596"/>
      <c r="H63" s="17"/>
      <c r="I63" s="20"/>
      <c r="J63" s="19"/>
      <c r="K63" s="17"/>
      <c r="L63" s="19"/>
      <c r="M63" s="17"/>
      <c r="N63" s="19"/>
      <c r="O63" s="2"/>
      <c r="P63" s="2"/>
      <c r="Q63" s="2"/>
      <c r="R63" s="2"/>
      <c r="S63" s="2"/>
      <c r="T63" s="2"/>
      <c r="U63" s="2"/>
      <c r="V63" s="2"/>
      <c r="W63" s="2"/>
      <c r="X63" s="2"/>
      <c r="Y63" s="2"/>
      <c r="Z63" s="2"/>
      <c r="AA63" s="2"/>
      <c r="AB63" s="2"/>
    </row>
    <row r="64" spans="1:28" ht="15.75" customHeight="1">
      <c r="A64" s="12" t="s">
        <v>29</v>
      </c>
      <c r="B64" s="593" t="s">
        <v>49</v>
      </c>
      <c r="C64" s="595">
        <v>100</v>
      </c>
      <c r="D64" s="602"/>
      <c r="E64" s="598"/>
      <c r="F64" s="603"/>
      <c r="G64" s="598"/>
      <c r="H64" s="17"/>
      <c r="I64" s="20"/>
      <c r="J64" s="19"/>
      <c r="K64" s="17"/>
      <c r="L64" s="19"/>
      <c r="M64" s="17"/>
      <c r="N64" s="19"/>
      <c r="O64" s="2"/>
      <c r="P64" s="2"/>
      <c r="Q64" s="2"/>
      <c r="R64" s="2"/>
      <c r="S64" s="2"/>
      <c r="T64" s="2"/>
      <c r="U64" s="2"/>
      <c r="V64" s="2"/>
      <c r="W64" s="2"/>
      <c r="X64" s="2"/>
      <c r="Y64" s="2"/>
      <c r="Z64" s="2"/>
      <c r="AA64" s="2"/>
      <c r="AB64" s="2"/>
    </row>
    <row r="65" spans="1:28" ht="35.25" customHeight="1">
      <c r="A65" s="11" t="s">
        <v>30</v>
      </c>
      <c r="B65" s="600" t="s">
        <v>49</v>
      </c>
      <c r="C65" s="594">
        <v>100</v>
      </c>
      <c r="D65" s="592"/>
      <c r="E65" s="596"/>
      <c r="F65" s="601"/>
      <c r="G65" s="596"/>
      <c r="H65" s="17"/>
      <c r="I65" s="20"/>
      <c r="J65" s="19"/>
      <c r="K65" s="17"/>
      <c r="L65" s="19"/>
      <c r="M65" s="17"/>
      <c r="N65" s="19"/>
      <c r="O65" s="2"/>
      <c r="P65" s="2"/>
      <c r="Q65" s="2"/>
      <c r="R65" s="2"/>
      <c r="S65" s="2"/>
      <c r="T65" s="2"/>
      <c r="U65" s="2"/>
      <c r="V65" s="2"/>
      <c r="W65" s="2"/>
      <c r="X65" s="2"/>
      <c r="Y65" s="2"/>
      <c r="Z65" s="2"/>
      <c r="AA65" s="2"/>
      <c r="AB65" s="2"/>
    </row>
    <row r="66" spans="1:28" ht="15.75" customHeight="1">
      <c r="A66" s="12" t="s">
        <v>31</v>
      </c>
      <c r="B66" s="593" t="s">
        <v>116</v>
      </c>
      <c r="C66" s="595">
        <v>100</v>
      </c>
      <c r="D66" s="602"/>
      <c r="E66" s="598"/>
      <c r="F66" s="603"/>
      <c r="G66" s="598"/>
      <c r="H66" s="17"/>
      <c r="I66" s="20"/>
      <c r="J66" s="19"/>
      <c r="K66" s="17"/>
      <c r="L66" s="19"/>
      <c r="M66" s="17"/>
      <c r="N66" s="19"/>
      <c r="O66" s="2"/>
      <c r="P66" s="2"/>
      <c r="Q66" s="2"/>
      <c r="R66" s="2"/>
      <c r="S66" s="2"/>
      <c r="T66" s="2"/>
      <c r="U66" s="2"/>
      <c r="V66" s="2"/>
      <c r="W66" s="2"/>
      <c r="X66" s="2"/>
      <c r="Y66" s="2"/>
      <c r="Z66" s="2"/>
      <c r="AA66" s="2"/>
      <c r="AB66" s="2"/>
    </row>
    <row r="67" spans="1:28" ht="15.75" customHeight="1">
      <c r="A67" s="11" t="s">
        <v>32</v>
      </c>
      <c r="B67" s="600" t="s">
        <v>116</v>
      </c>
      <c r="C67" s="594">
        <v>100</v>
      </c>
      <c r="D67" s="592"/>
      <c r="E67" s="596"/>
      <c r="F67" s="601"/>
      <c r="G67" s="596"/>
      <c r="H67" s="17"/>
      <c r="I67" s="20"/>
      <c r="J67" s="19"/>
      <c r="K67" s="17"/>
      <c r="L67" s="19"/>
      <c r="M67" s="17"/>
      <c r="N67" s="19"/>
      <c r="O67" s="2"/>
      <c r="P67" s="2"/>
      <c r="Q67" s="2"/>
      <c r="R67" s="2"/>
      <c r="S67" s="2"/>
      <c r="T67" s="2"/>
      <c r="U67" s="2"/>
      <c r="V67" s="2"/>
      <c r="W67" s="2"/>
      <c r="X67" s="2"/>
      <c r="Y67" s="2"/>
      <c r="Z67" s="2"/>
      <c r="AA67" s="2"/>
      <c r="AB67" s="2"/>
    </row>
    <row r="68" spans="1:28" ht="15.75" customHeight="1">
      <c r="A68" s="12" t="s">
        <v>33</v>
      </c>
      <c r="B68" s="593" t="s">
        <v>116</v>
      </c>
      <c r="C68" s="595">
        <v>100</v>
      </c>
      <c r="D68" s="602"/>
      <c r="E68" s="598"/>
      <c r="F68" s="603"/>
      <c r="G68" s="718"/>
      <c r="H68" s="17"/>
      <c r="I68" s="20"/>
      <c r="J68" s="19"/>
      <c r="K68" s="17"/>
      <c r="L68" s="19"/>
      <c r="M68" s="17"/>
      <c r="N68" s="19"/>
      <c r="O68" s="2"/>
      <c r="P68" s="2"/>
      <c r="Q68" s="2"/>
      <c r="R68" s="2"/>
      <c r="S68" s="2"/>
      <c r="T68" s="2"/>
      <c r="U68" s="2"/>
      <c r="V68" s="2"/>
      <c r="W68" s="2"/>
      <c r="X68" s="2"/>
      <c r="Y68" s="2"/>
      <c r="Z68" s="2"/>
      <c r="AA68" s="2"/>
      <c r="AB68" s="2"/>
    </row>
    <row r="69" spans="1:28" ht="35.25" customHeight="1">
      <c r="A69" s="11" t="s">
        <v>34</v>
      </c>
      <c r="B69" s="600" t="s">
        <v>49</v>
      </c>
      <c r="C69" s="594">
        <v>100</v>
      </c>
      <c r="D69" s="592"/>
      <c r="E69" s="596"/>
      <c r="F69" s="601"/>
      <c r="G69" s="719"/>
      <c r="H69" s="17"/>
      <c r="I69" s="20"/>
      <c r="J69" s="19"/>
      <c r="K69" s="17"/>
      <c r="L69" s="19"/>
      <c r="M69" s="17"/>
      <c r="N69" s="19"/>
      <c r="O69" s="2"/>
      <c r="P69" s="2"/>
      <c r="Q69" s="2"/>
      <c r="R69" s="2"/>
      <c r="S69" s="2"/>
      <c r="T69" s="2"/>
      <c r="U69" s="2"/>
      <c r="V69" s="2"/>
      <c r="W69" s="2"/>
      <c r="X69" s="2"/>
      <c r="Y69" s="2"/>
      <c r="Z69" s="2"/>
      <c r="AA69" s="2"/>
      <c r="AB69" s="2"/>
    </row>
    <row r="70" spans="1:28" ht="36" customHeight="1">
      <c r="A70" s="12" t="s">
        <v>35</v>
      </c>
      <c r="B70" s="593" t="s">
        <v>49</v>
      </c>
      <c r="C70" s="595">
        <v>100</v>
      </c>
      <c r="D70" s="602"/>
      <c r="E70" s="598"/>
      <c r="F70" s="603"/>
      <c r="G70" s="598"/>
      <c r="H70" s="17"/>
      <c r="I70" s="20"/>
      <c r="J70" s="19"/>
      <c r="K70" s="17"/>
      <c r="L70" s="19"/>
      <c r="M70" s="17"/>
      <c r="N70" s="19"/>
      <c r="O70" s="2"/>
      <c r="P70" s="2"/>
      <c r="Q70" s="2"/>
      <c r="R70" s="2"/>
      <c r="S70" s="2"/>
      <c r="T70" s="2"/>
      <c r="U70" s="2"/>
      <c r="V70" s="2"/>
      <c r="W70" s="2"/>
      <c r="X70" s="2"/>
      <c r="Y70" s="2"/>
      <c r="Z70" s="2"/>
      <c r="AA70" s="2"/>
      <c r="AB70" s="2"/>
    </row>
    <row r="71" spans="1:28" ht="36" customHeight="1">
      <c r="A71" s="11" t="s">
        <v>36</v>
      </c>
      <c r="B71" s="600" t="s">
        <v>49</v>
      </c>
      <c r="C71" s="596">
        <v>100</v>
      </c>
      <c r="D71" s="592"/>
      <c r="E71" s="596"/>
      <c r="F71" s="601"/>
      <c r="G71" s="596"/>
      <c r="H71" s="17"/>
      <c r="I71" s="20"/>
      <c r="J71" s="19"/>
      <c r="K71" s="17"/>
      <c r="L71" s="19"/>
      <c r="M71" s="17"/>
      <c r="N71" s="19"/>
      <c r="O71" s="2"/>
      <c r="P71" s="2"/>
      <c r="Q71" s="2"/>
      <c r="R71" s="2"/>
      <c r="S71" s="2"/>
      <c r="T71" s="2"/>
      <c r="U71" s="2"/>
      <c r="V71" s="2"/>
      <c r="W71" s="2"/>
      <c r="X71" s="2"/>
      <c r="Y71" s="2"/>
      <c r="Z71" s="2"/>
      <c r="AA71" s="2"/>
      <c r="AB71" s="2"/>
    </row>
    <row r="72" spans="1:28" ht="15.75" customHeight="1" thickBot="1">
      <c r="A72" s="21"/>
      <c r="B72" s="13"/>
      <c r="C72" s="13"/>
      <c r="D72" s="13"/>
      <c r="E72" s="13"/>
      <c r="F72" s="13"/>
      <c r="G72" s="13"/>
      <c r="H72" s="13"/>
      <c r="I72" s="13"/>
      <c r="J72" s="13"/>
      <c r="K72" s="13"/>
      <c r="L72" s="13"/>
      <c r="M72" s="2"/>
      <c r="N72" s="2"/>
      <c r="O72" s="2"/>
      <c r="P72" s="2"/>
      <c r="Q72" s="2"/>
      <c r="R72" s="2"/>
      <c r="S72" s="2"/>
      <c r="T72" s="2"/>
      <c r="U72" s="2"/>
      <c r="V72" s="2"/>
      <c r="W72" s="2"/>
      <c r="X72" s="2"/>
      <c r="Y72" s="2"/>
      <c r="Z72" s="2"/>
      <c r="AA72" s="2"/>
      <c r="AB72" s="2"/>
    </row>
    <row r="73" spans="1:28" ht="20.25" customHeight="1" thickBot="1">
      <c r="A73" s="410" t="s">
        <v>989</v>
      </c>
      <c r="B73" s="415"/>
      <c r="C73" s="392"/>
      <c r="D73" s="22"/>
      <c r="E73" s="22"/>
      <c r="F73" s="23"/>
      <c r="G73" s="22"/>
      <c r="H73" s="22"/>
      <c r="I73" s="22"/>
      <c r="J73" s="22"/>
      <c r="K73" s="22"/>
      <c r="L73" s="22"/>
      <c r="M73" s="22"/>
      <c r="N73" s="22"/>
      <c r="O73" s="22"/>
      <c r="P73" s="22"/>
      <c r="Q73" s="22"/>
      <c r="R73" s="22"/>
      <c r="S73" s="22"/>
      <c r="T73" s="22"/>
      <c r="U73" s="2"/>
      <c r="V73" s="2"/>
      <c r="W73" s="2"/>
      <c r="X73" s="2"/>
      <c r="Y73" s="2"/>
      <c r="Z73" s="2"/>
      <c r="AA73" s="2"/>
      <c r="AB73" s="2"/>
    </row>
    <row r="74" spans="1:28" ht="53.25" customHeight="1" thickBot="1">
      <c r="A74" s="414" t="s">
        <v>15</v>
      </c>
      <c r="B74" s="414" t="s">
        <v>50</v>
      </c>
      <c r="C74" s="393"/>
      <c r="D74" s="10"/>
      <c r="E74" s="10"/>
      <c r="F74" s="23"/>
      <c r="G74" s="10"/>
      <c r="H74" s="10"/>
      <c r="I74" s="10"/>
      <c r="J74" s="24"/>
      <c r="K74" s="24"/>
      <c r="L74" s="24"/>
      <c r="M74" s="24"/>
      <c r="N74" s="24"/>
      <c r="O74" s="24"/>
      <c r="P74" s="24"/>
      <c r="Q74" s="24"/>
      <c r="R74" s="24"/>
      <c r="S74" s="24"/>
      <c r="T74" s="24"/>
      <c r="U74" s="2"/>
      <c r="V74" s="2"/>
      <c r="W74" s="2"/>
      <c r="X74" s="2"/>
      <c r="Y74" s="2"/>
      <c r="Z74" s="2"/>
      <c r="AA74" s="2"/>
      <c r="AB74" s="2"/>
    </row>
    <row r="75" spans="1:28" ht="15.75" customHeight="1" thickBot="1">
      <c r="A75" s="413" t="s">
        <v>1088</v>
      </c>
      <c r="B75" s="713">
        <v>300</v>
      </c>
      <c r="C75" s="394"/>
      <c r="D75" s="26"/>
      <c r="E75" s="26"/>
      <c r="F75" s="23"/>
      <c r="G75" s="26"/>
      <c r="H75" s="26"/>
      <c r="I75" s="26"/>
      <c r="J75" s="22"/>
      <c r="K75" s="22"/>
      <c r="L75" s="22"/>
      <c r="M75" s="22"/>
      <c r="N75" s="22"/>
      <c r="O75" s="22"/>
      <c r="P75" s="22"/>
      <c r="Q75" s="22"/>
      <c r="R75" s="22"/>
      <c r="S75" s="22"/>
      <c r="T75" s="22"/>
      <c r="U75" s="2"/>
      <c r="V75" s="2"/>
      <c r="W75" s="2"/>
      <c r="X75" s="2"/>
      <c r="Y75" s="2"/>
      <c r="Z75" s="2"/>
      <c r="AA75" s="2"/>
      <c r="AB75" s="2"/>
    </row>
    <row r="76" spans="1:28" ht="15.75" customHeight="1" thickBot="1">
      <c r="A76" s="651" t="s">
        <v>1089</v>
      </c>
      <c r="B76" s="714">
        <v>400</v>
      </c>
      <c r="C76" s="394"/>
      <c r="D76" s="456"/>
      <c r="E76" s="456"/>
      <c r="F76" s="649"/>
      <c r="G76" s="456"/>
      <c r="H76" s="456"/>
      <c r="I76" s="456"/>
      <c r="J76" s="650"/>
      <c r="K76" s="650"/>
      <c r="L76" s="650"/>
      <c r="M76" s="650"/>
      <c r="N76" s="650"/>
      <c r="O76" s="650"/>
      <c r="P76" s="650"/>
      <c r="Q76" s="650"/>
      <c r="R76" s="650"/>
      <c r="S76" s="650"/>
      <c r="T76" s="650"/>
      <c r="U76" s="468"/>
      <c r="V76" s="468"/>
      <c r="W76" s="468"/>
      <c r="X76" s="468"/>
      <c r="Y76" s="468"/>
      <c r="Z76" s="468"/>
      <c r="AA76" s="468"/>
      <c r="AB76" s="468"/>
    </row>
    <row r="77" spans="1:28" ht="15.75" customHeight="1" thickBot="1">
      <c r="A77" s="413" t="s">
        <v>1090</v>
      </c>
      <c r="B77" s="713">
        <v>500</v>
      </c>
      <c r="C77" s="394"/>
      <c r="D77" s="456"/>
      <c r="E77" s="456"/>
      <c r="F77" s="649"/>
      <c r="G77" s="456"/>
      <c r="H77" s="456"/>
      <c r="I77" s="456"/>
      <c r="J77" s="650"/>
      <c r="K77" s="650"/>
      <c r="L77" s="650"/>
      <c r="M77" s="650"/>
      <c r="N77" s="650"/>
      <c r="O77" s="650"/>
      <c r="P77" s="650"/>
      <c r="Q77" s="650"/>
      <c r="R77" s="650"/>
      <c r="S77" s="650"/>
      <c r="T77" s="650"/>
      <c r="U77" s="468"/>
      <c r="V77" s="468"/>
      <c r="W77" s="468"/>
      <c r="X77" s="468"/>
      <c r="Y77" s="468"/>
      <c r="Z77" s="468"/>
      <c r="AA77" s="468"/>
      <c r="AB77" s="468"/>
    </row>
    <row r="78" spans="1:28" ht="15.75" customHeight="1" thickBot="1">
      <c r="A78" s="651" t="s">
        <v>1092</v>
      </c>
      <c r="B78" s="714">
        <v>20</v>
      </c>
      <c r="C78" s="394"/>
      <c r="D78" s="456"/>
      <c r="E78" s="456"/>
      <c r="F78" s="649"/>
      <c r="G78" s="456"/>
      <c r="H78" s="456"/>
      <c r="I78" s="456"/>
      <c r="J78" s="650"/>
      <c r="K78" s="650"/>
      <c r="L78" s="650"/>
      <c r="M78" s="650"/>
      <c r="N78" s="650"/>
      <c r="O78" s="650"/>
      <c r="P78" s="650"/>
      <c r="Q78" s="650"/>
      <c r="R78" s="650"/>
      <c r="S78" s="650"/>
      <c r="T78" s="650"/>
      <c r="U78" s="468"/>
      <c r="V78" s="468"/>
      <c r="W78" s="468"/>
      <c r="X78" s="468"/>
      <c r="Y78" s="468"/>
      <c r="Z78" s="468"/>
      <c r="AA78" s="468"/>
      <c r="AB78" s="468"/>
    </row>
    <row r="79" spans="1:28" ht="15.75" customHeight="1" thickBot="1">
      <c r="A79" s="652" t="s">
        <v>1093</v>
      </c>
      <c r="B79" s="715">
        <v>12</v>
      </c>
      <c r="C79" s="395"/>
      <c r="D79" s="28"/>
      <c r="E79" s="28"/>
      <c r="F79" s="23"/>
      <c r="G79" s="29"/>
      <c r="H79" s="29"/>
      <c r="I79" s="28"/>
      <c r="J79" s="2"/>
      <c r="K79" s="2"/>
      <c r="L79" s="2"/>
      <c r="M79" s="2"/>
      <c r="N79" s="2"/>
      <c r="O79" s="2"/>
      <c r="P79" s="2"/>
      <c r="Q79" s="2"/>
      <c r="R79" s="2"/>
      <c r="S79" s="2"/>
      <c r="T79" s="2"/>
      <c r="U79" s="2"/>
      <c r="V79" s="2"/>
      <c r="W79" s="2"/>
      <c r="X79" s="2"/>
      <c r="Y79" s="2"/>
      <c r="Z79" s="2"/>
      <c r="AA79" s="2"/>
      <c r="AB79" s="2"/>
    </row>
    <row r="80" spans="1:28" ht="15.75" customHeight="1" thickBot="1">
      <c r="A80" s="678" t="s">
        <v>1094</v>
      </c>
      <c r="B80" s="716">
        <v>3000</v>
      </c>
      <c r="C80" s="395"/>
      <c r="D80" s="675"/>
      <c r="E80" s="675"/>
      <c r="F80" s="649"/>
      <c r="G80" s="676"/>
      <c r="H80" s="676"/>
      <c r="I80" s="675"/>
      <c r="J80" s="468"/>
      <c r="K80" s="468"/>
      <c r="L80" s="468"/>
      <c r="M80" s="468"/>
      <c r="N80" s="468"/>
      <c r="O80" s="468"/>
      <c r="P80" s="468"/>
      <c r="Q80" s="468"/>
      <c r="R80" s="468"/>
      <c r="S80" s="468"/>
      <c r="T80" s="468"/>
      <c r="U80" s="468"/>
      <c r="V80" s="468"/>
      <c r="W80" s="468"/>
      <c r="X80" s="468"/>
      <c r="Y80" s="468"/>
      <c r="Z80" s="468"/>
      <c r="AA80" s="468"/>
      <c r="AB80" s="468"/>
    </row>
    <row r="81" spans="1:28" ht="15.75" customHeight="1" thickBot="1">
      <c r="A81" s="677" t="s">
        <v>1095</v>
      </c>
      <c r="B81" s="717">
        <v>6000</v>
      </c>
      <c r="C81" s="396"/>
      <c r="D81" s="2"/>
      <c r="E81" s="2"/>
      <c r="F81" s="2"/>
      <c r="G81" s="2"/>
      <c r="H81" s="2"/>
      <c r="I81" s="2"/>
      <c r="J81" s="2"/>
      <c r="K81" s="2"/>
      <c r="L81" s="2"/>
      <c r="M81" s="2"/>
      <c r="N81" s="2"/>
      <c r="O81" s="2"/>
      <c r="P81" s="2"/>
      <c r="Q81" s="2"/>
      <c r="R81" s="2"/>
      <c r="S81" s="2"/>
      <c r="T81" s="2"/>
      <c r="U81" s="2"/>
      <c r="V81" s="2"/>
      <c r="W81" s="2"/>
      <c r="X81" s="2"/>
      <c r="Y81" s="2"/>
      <c r="Z81" s="2"/>
      <c r="AA81" s="2"/>
      <c r="AB81" s="2"/>
    </row>
    <row r="82" spans="1:28"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22.5" customHeight="1" thickBot="1">
      <c r="A83" s="866" t="s">
        <v>987</v>
      </c>
      <c r="B83" s="869"/>
      <c r="C83" s="870"/>
      <c r="D83" s="398"/>
      <c r="E83" s="2"/>
      <c r="F83" s="2"/>
      <c r="G83" s="2"/>
      <c r="H83" s="2"/>
      <c r="I83" s="2"/>
      <c r="J83" s="2"/>
      <c r="K83" s="2"/>
      <c r="L83" s="2"/>
      <c r="M83" s="2"/>
      <c r="N83" s="2"/>
      <c r="O83" s="2"/>
      <c r="P83" s="2"/>
      <c r="Q83" s="2"/>
      <c r="R83" s="2"/>
      <c r="S83" s="2"/>
      <c r="T83" s="2"/>
      <c r="U83" s="2"/>
      <c r="V83" s="2"/>
      <c r="W83" s="2"/>
      <c r="X83" s="2"/>
      <c r="Y83" s="2"/>
      <c r="Z83" s="2"/>
      <c r="AA83" s="2"/>
      <c r="AB83" s="2"/>
    </row>
    <row r="84" spans="1:28" ht="15.75" customHeight="1" thickBot="1">
      <c r="A84" s="9" t="s">
        <v>51</v>
      </c>
      <c r="B84" s="397" t="s">
        <v>52</v>
      </c>
      <c r="C84" s="401" t="s">
        <v>53</v>
      </c>
      <c r="D84" s="393"/>
      <c r="E84" s="2"/>
      <c r="F84" s="2"/>
      <c r="G84" s="2"/>
      <c r="H84" s="2"/>
      <c r="I84" s="2"/>
      <c r="J84" s="2"/>
      <c r="K84" s="2"/>
      <c r="L84" s="2"/>
      <c r="M84" s="2"/>
      <c r="N84" s="2"/>
      <c r="O84" s="2"/>
      <c r="P84" s="2"/>
      <c r="Q84" s="2"/>
      <c r="R84" s="2"/>
      <c r="S84" s="2"/>
      <c r="T84" s="2"/>
      <c r="U84" s="2"/>
      <c r="V84" s="2"/>
      <c r="W84" s="2"/>
      <c r="X84" s="2"/>
      <c r="Y84" s="2"/>
      <c r="Z84" s="2"/>
      <c r="AA84" s="2"/>
      <c r="AB84" s="2"/>
    </row>
    <row r="85" spans="1:28" ht="15.75" customHeight="1" thickBot="1">
      <c r="A85" s="610" t="s">
        <v>984</v>
      </c>
      <c r="B85" s="820"/>
      <c r="C85" s="706"/>
      <c r="D85" s="399"/>
      <c r="E85" s="2"/>
      <c r="F85" s="2"/>
      <c r="G85" s="2"/>
      <c r="H85" s="2"/>
      <c r="I85" s="2"/>
      <c r="J85" s="2"/>
      <c r="K85" s="2"/>
      <c r="L85" s="2"/>
      <c r="M85" s="2"/>
      <c r="N85" s="2"/>
      <c r="O85" s="2"/>
      <c r="P85" s="2"/>
      <c r="Q85" s="2"/>
      <c r="R85" s="2"/>
      <c r="S85" s="2"/>
      <c r="T85" s="2"/>
      <c r="U85" s="2"/>
      <c r="V85" s="2"/>
      <c r="W85" s="2"/>
      <c r="X85" s="2"/>
      <c r="Y85" s="2"/>
      <c r="Z85" s="2"/>
      <c r="AA85" s="2"/>
      <c r="AB85" s="2"/>
    </row>
    <row r="86" spans="1:28" ht="15.75" customHeight="1" thickBot="1">
      <c r="A86" s="699" t="s">
        <v>1091</v>
      </c>
      <c r="B86" s="821"/>
      <c r="C86" s="707"/>
      <c r="D86" s="400"/>
      <c r="E86" s="2"/>
      <c r="F86" s="2"/>
      <c r="G86" s="2"/>
      <c r="H86" s="2"/>
      <c r="I86" s="2"/>
      <c r="J86" s="2"/>
      <c r="K86" s="2"/>
      <c r="L86" s="2"/>
      <c r="M86" s="2"/>
      <c r="N86" s="2"/>
      <c r="O86" s="2"/>
      <c r="P86" s="2"/>
      <c r="Q86" s="2"/>
      <c r="R86" s="2"/>
      <c r="S86" s="2"/>
      <c r="T86" s="2"/>
      <c r="U86" s="2"/>
      <c r="V86" s="2"/>
      <c r="W86" s="2"/>
      <c r="X86" s="2"/>
      <c r="Y86" s="2"/>
      <c r="Z86" s="2"/>
      <c r="AA86" s="2"/>
      <c r="AB86" s="2"/>
    </row>
    <row r="87" spans="1:28" ht="15.75" customHeight="1" thickBot="1">
      <c r="A87" s="610" t="s">
        <v>985</v>
      </c>
      <c r="B87" s="711"/>
      <c r="C87" s="706"/>
      <c r="D87" s="399"/>
      <c r="E87" s="2"/>
      <c r="F87" s="2"/>
      <c r="G87" s="2"/>
      <c r="H87" s="2"/>
      <c r="I87" s="2"/>
      <c r="J87" s="2"/>
      <c r="K87" s="2"/>
      <c r="L87" s="2"/>
      <c r="M87" s="2"/>
      <c r="N87" s="2"/>
      <c r="O87" s="2"/>
      <c r="P87" s="2"/>
      <c r="Q87" s="2"/>
      <c r="R87" s="2"/>
      <c r="S87" s="2"/>
      <c r="T87" s="2"/>
      <c r="U87" s="2"/>
      <c r="V87" s="2"/>
      <c r="W87" s="2"/>
      <c r="X87" s="2"/>
      <c r="Y87" s="2"/>
      <c r="Z87" s="2"/>
      <c r="AA87" s="2"/>
      <c r="AB87" s="2"/>
    </row>
    <row r="88" spans="1:28" ht="15.75" customHeight="1" thickBot="1">
      <c r="A88" s="680" t="s">
        <v>985</v>
      </c>
      <c r="B88" s="712"/>
      <c r="C88" s="708"/>
      <c r="D88" s="399"/>
      <c r="E88" s="468"/>
      <c r="F88" s="468"/>
      <c r="G88" s="468"/>
      <c r="H88" s="468"/>
      <c r="I88" s="468"/>
      <c r="J88" s="468"/>
      <c r="K88" s="468"/>
      <c r="L88" s="468"/>
      <c r="M88" s="468"/>
      <c r="N88" s="468"/>
      <c r="O88" s="468"/>
      <c r="P88" s="468"/>
      <c r="Q88" s="468"/>
      <c r="R88" s="468"/>
      <c r="S88" s="468"/>
      <c r="T88" s="468"/>
      <c r="U88" s="468"/>
      <c r="V88" s="468"/>
      <c r="W88" s="468"/>
      <c r="X88" s="468"/>
      <c r="Y88" s="468"/>
      <c r="Z88" s="468"/>
      <c r="AA88" s="468"/>
      <c r="AB88" s="468"/>
    </row>
    <row r="89" spans="1:28" ht="15.75" customHeight="1" thickBot="1">
      <c r="A89" s="679" t="s">
        <v>985</v>
      </c>
      <c r="B89" s="709"/>
      <c r="C89" s="710"/>
      <c r="D89" s="400"/>
      <c r="E89" s="2"/>
      <c r="F89" s="2"/>
      <c r="G89" s="2"/>
      <c r="H89" s="2"/>
      <c r="I89" s="2"/>
      <c r="J89" s="2"/>
      <c r="K89" s="2"/>
      <c r="L89" s="2"/>
      <c r="M89" s="2"/>
      <c r="N89" s="2"/>
      <c r="O89" s="2"/>
      <c r="P89" s="2"/>
      <c r="Q89" s="2"/>
      <c r="R89" s="2"/>
      <c r="S89" s="2"/>
      <c r="T89" s="2"/>
      <c r="U89" s="2"/>
      <c r="V89" s="2"/>
      <c r="W89" s="2"/>
      <c r="X89" s="2"/>
      <c r="Y89" s="2"/>
      <c r="Z89" s="2"/>
      <c r="AA89" s="2"/>
      <c r="AB89" s="2"/>
    </row>
    <row r="90" spans="1:28" ht="15.75" customHeight="1" thickBot="1">
      <c r="A90" s="2"/>
      <c r="B90" s="2"/>
      <c r="C90" s="2"/>
      <c r="D90" s="2"/>
      <c r="E90" s="2"/>
      <c r="F90" s="468"/>
      <c r="G90" s="2"/>
      <c r="H90" s="2"/>
      <c r="I90" s="2"/>
      <c r="J90" s="2"/>
      <c r="K90" s="2"/>
      <c r="L90" s="2"/>
      <c r="M90" s="2"/>
      <c r="N90" s="2"/>
      <c r="O90" s="2"/>
      <c r="P90" s="2"/>
      <c r="Q90" s="2"/>
      <c r="R90" s="2"/>
      <c r="S90" s="2"/>
      <c r="T90" s="2"/>
      <c r="U90" s="2"/>
      <c r="V90" s="2"/>
      <c r="W90" s="2"/>
      <c r="X90" s="2"/>
      <c r="Y90" s="2"/>
      <c r="Z90" s="2"/>
      <c r="AA90" s="2"/>
      <c r="AB90" s="2"/>
    </row>
    <row r="91" spans="1:28" ht="23.25" customHeight="1" thickBot="1">
      <c r="A91" s="876" t="s">
        <v>986</v>
      </c>
      <c r="B91" s="877"/>
      <c r="C91" s="877"/>
      <c r="D91" s="877"/>
      <c r="E91" s="878"/>
      <c r="F91" s="409"/>
      <c r="G91" s="2"/>
      <c r="H91" s="2"/>
      <c r="I91" s="2"/>
      <c r="J91" s="2"/>
      <c r="K91" s="2"/>
      <c r="L91" s="2"/>
      <c r="M91" s="2"/>
      <c r="N91" s="2"/>
      <c r="O91" s="2"/>
      <c r="P91" s="2"/>
      <c r="Q91" s="2"/>
      <c r="R91" s="2"/>
      <c r="S91" s="2"/>
      <c r="T91" s="2"/>
      <c r="U91" s="2"/>
      <c r="V91" s="2"/>
      <c r="W91" s="2"/>
      <c r="X91" s="2"/>
      <c r="Y91" s="2"/>
      <c r="Z91" s="2"/>
      <c r="AA91" s="2"/>
      <c r="AB91" s="2"/>
    </row>
    <row r="92" spans="1:28" ht="50.25" customHeight="1" thickBot="1">
      <c r="A92" s="9" t="s">
        <v>1098</v>
      </c>
      <c r="B92" s="9" t="s">
        <v>54</v>
      </c>
      <c r="C92" s="856" t="s">
        <v>1096</v>
      </c>
      <c r="D92" s="9" t="s">
        <v>1097</v>
      </c>
      <c r="E92" s="9" t="s">
        <v>55</v>
      </c>
      <c r="F92" s="393"/>
      <c r="G92" s="468"/>
      <c r="H92" s="2"/>
      <c r="I92" s="2"/>
      <c r="J92" s="2"/>
      <c r="K92" s="2"/>
      <c r="L92" s="2"/>
      <c r="M92" s="2"/>
      <c r="N92" s="2"/>
      <c r="O92" s="2"/>
      <c r="P92" s="2"/>
      <c r="Q92" s="2"/>
      <c r="R92" s="2"/>
      <c r="S92" s="2"/>
      <c r="T92" s="2"/>
      <c r="U92" s="2"/>
      <c r="V92" s="2"/>
      <c r="W92" s="2"/>
      <c r="X92" s="2"/>
      <c r="Y92" s="2"/>
      <c r="Z92" s="2"/>
      <c r="AA92" s="2"/>
      <c r="AB92" s="2"/>
    </row>
    <row r="93" spans="1:28" ht="15.75" customHeight="1" thickBot="1">
      <c r="A93" s="591" t="s">
        <v>1220</v>
      </c>
      <c r="B93" s="594">
        <v>50</v>
      </c>
      <c r="C93" s="596">
        <v>75</v>
      </c>
      <c r="D93" s="592" t="s">
        <v>124</v>
      </c>
      <c r="E93" s="592" t="s">
        <v>1103</v>
      </c>
      <c r="F93" s="681"/>
      <c r="G93" s="2"/>
      <c r="H93" s="2"/>
      <c r="I93" s="2"/>
      <c r="J93" s="2"/>
      <c r="K93" s="2"/>
      <c r="L93" s="2"/>
      <c r="M93" s="2"/>
      <c r="N93" s="2"/>
      <c r="O93" s="2"/>
      <c r="P93" s="2"/>
      <c r="Q93" s="2"/>
      <c r="R93" s="2"/>
      <c r="S93" s="2"/>
      <c r="T93" s="2"/>
      <c r="U93" s="2"/>
      <c r="V93" s="2"/>
      <c r="W93" s="2"/>
      <c r="X93" s="2"/>
      <c r="Y93" s="2"/>
      <c r="Z93" s="2"/>
      <c r="AA93" s="2"/>
      <c r="AB93" s="2"/>
    </row>
    <row r="94" spans="1:28" ht="24" customHeight="1" thickBot="1">
      <c r="A94" s="590" t="s">
        <v>1221</v>
      </c>
      <c r="B94" s="590">
        <v>30</v>
      </c>
      <c r="C94" s="598">
        <v>75</v>
      </c>
      <c r="D94" s="602" t="s">
        <v>124</v>
      </c>
      <c r="E94" s="602" t="s">
        <v>1102</v>
      </c>
      <c r="F94" s="682"/>
      <c r="G94" s="2"/>
      <c r="H94" s="2"/>
      <c r="I94" s="2"/>
      <c r="J94" s="2"/>
      <c r="K94" s="2"/>
      <c r="L94" s="2"/>
      <c r="M94" s="2"/>
      <c r="N94" s="2"/>
      <c r="O94" s="2"/>
      <c r="P94" s="2"/>
      <c r="Q94" s="2"/>
      <c r="R94" s="2"/>
      <c r="S94" s="2"/>
      <c r="T94" s="2"/>
      <c r="U94" s="2"/>
      <c r="V94" s="2"/>
      <c r="W94" s="2"/>
      <c r="X94" s="2"/>
      <c r="Y94" s="2"/>
      <c r="Z94" s="2"/>
      <c r="AA94" s="2"/>
      <c r="AB94" s="2"/>
    </row>
    <row r="95" spans="1:28" ht="15.75" customHeight="1" thickBot="1">
      <c r="A95" s="591"/>
      <c r="B95" s="591"/>
      <c r="C95" s="596"/>
      <c r="D95" s="592"/>
      <c r="E95" s="592"/>
      <c r="F95" s="681"/>
      <c r="G95" s="2"/>
      <c r="H95" s="2"/>
      <c r="I95" s="2"/>
      <c r="J95" s="2"/>
      <c r="K95" s="2"/>
      <c r="L95" s="2"/>
      <c r="M95" s="2"/>
      <c r="N95" s="2"/>
      <c r="O95" s="2"/>
      <c r="P95" s="2"/>
      <c r="Q95" s="2"/>
      <c r="R95" s="2"/>
      <c r="S95" s="2"/>
      <c r="T95" s="2"/>
      <c r="U95" s="2"/>
      <c r="V95" s="2"/>
      <c r="W95" s="2"/>
      <c r="X95" s="2"/>
      <c r="Y95" s="2"/>
      <c r="Z95" s="2"/>
      <c r="AA95" s="2"/>
      <c r="AB95" s="2"/>
    </row>
    <row r="96" spans="1:28" ht="15.75" customHeight="1" thickBot="1">
      <c r="A96" s="590"/>
      <c r="B96" s="590"/>
      <c r="C96" s="598"/>
      <c r="D96" s="602"/>
      <c r="E96" s="602"/>
      <c r="F96" s="682"/>
      <c r="G96" s="2"/>
      <c r="H96" s="2"/>
      <c r="I96" s="2"/>
      <c r="J96" s="2"/>
      <c r="K96" s="2"/>
      <c r="L96" s="2"/>
      <c r="M96" s="2"/>
      <c r="N96" s="2"/>
      <c r="O96" s="2"/>
      <c r="P96" s="2"/>
      <c r="Q96" s="2"/>
      <c r="R96" s="2"/>
      <c r="S96" s="2"/>
      <c r="T96" s="2"/>
      <c r="U96" s="2"/>
      <c r="V96" s="2"/>
      <c r="W96" s="2"/>
      <c r="X96" s="2"/>
      <c r="Y96" s="2"/>
      <c r="Z96" s="2"/>
      <c r="AA96" s="2"/>
      <c r="AB96" s="2"/>
    </row>
    <row r="97" spans="1:28" ht="15.75" customHeight="1" thickBot="1">
      <c r="A97" s="591"/>
      <c r="B97" s="591"/>
      <c r="C97" s="596"/>
      <c r="D97" s="592"/>
      <c r="E97" s="592"/>
      <c r="F97" s="681"/>
      <c r="G97" s="2"/>
      <c r="H97" s="2"/>
      <c r="I97" s="2"/>
      <c r="J97" s="2"/>
      <c r="K97" s="2"/>
      <c r="L97" s="2"/>
      <c r="M97" s="2"/>
      <c r="N97" s="2"/>
      <c r="O97" s="2"/>
      <c r="P97" s="2"/>
      <c r="Q97" s="2"/>
      <c r="R97" s="2"/>
      <c r="S97" s="2"/>
      <c r="T97" s="2"/>
      <c r="U97" s="2"/>
      <c r="V97" s="2"/>
      <c r="W97" s="2"/>
      <c r="X97" s="2"/>
      <c r="Y97" s="2"/>
      <c r="Z97" s="2"/>
      <c r="AA97" s="2"/>
      <c r="AB97" s="2"/>
    </row>
    <row r="98" spans="1:28" ht="15.75" customHeight="1" thickBot="1">
      <c r="A98" s="590"/>
      <c r="B98" s="590"/>
      <c r="C98" s="598"/>
      <c r="D98" s="602"/>
      <c r="E98" s="602"/>
      <c r="F98" s="682"/>
      <c r="G98" s="2"/>
      <c r="H98" s="2"/>
      <c r="I98" s="2"/>
      <c r="J98" s="2"/>
      <c r="K98" s="2"/>
      <c r="L98" s="2"/>
      <c r="M98" s="2"/>
      <c r="N98" s="2"/>
      <c r="O98" s="2"/>
      <c r="P98" s="2"/>
      <c r="Q98" s="2"/>
      <c r="R98" s="2"/>
      <c r="S98" s="2"/>
      <c r="T98" s="2"/>
      <c r="U98" s="2"/>
      <c r="V98" s="2"/>
      <c r="W98" s="2"/>
      <c r="X98" s="2"/>
      <c r="Y98" s="2"/>
      <c r="Z98" s="2"/>
      <c r="AA98" s="2"/>
      <c r="AB98" s="2"/>
    </row>
    <row r="99" spans="1:28"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22.5" customHeight="1">
      <c r="A100" s="866" t="s">
        <v>988</v>
      </c>
      <c r="B100" s="867"/>
      <c r="C100" s="867"/>
      <c r="D100" s="868"/>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36.75" customHeight="1" thickBot="1">
      <c r="A101" s="32" t="s">
        <v>57</v>
      </c>
      <c r="B101" s="32" t="s">
        <v>58</v>
      </c>
      <c r="C101" s="9" t="s">
        <v>54</v>
      </c>
      <c r="D101" s="32" t="s">
        <v>59</v>
      </c>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5.75" customHeight="1" thickBot="1">
      <c r="A102" s="591" t="s">
        <v>1059</v>
      </c>
      <c r="B102" s="594">
        <v>50</v>
      </c>
      <c r="C102" s="591">
        <v>20</v>
      </c>
      <c r="D102" s="822">
        <f>B102*C102</f>
        <v>1000</v>
      </c>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5.75" customHeight="1" thickBot="1">
      <c r="A103" s="609"/>
      <c r="B103" s="590"/>
      <c r="C103" s="704"/>
      <c r="D103" s="823">
        <f t="shared" ref="D103:D107" si="0">B103*C103</f>
        <v>0</v>
      </c>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5.75" customHeight="1" thickBot="1">
      <c r="A104" s="591"/>
      <c r="B104" s="591"/>
      <c r="C104" s="705"/>
      <c r="D104" s="822">
        <f t="shared" si="0"/>
        <v>0</v>
      </c>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5.75" customHeight="1" thickBot="1">
      <c r="A105" s="609"/>
      <c r="B105" s="590"/>
      <c r="C105" s="704"/>
      <c r="D105" s="823">
        <f t="shared" si="0"/>
        <v>0</v>
      </c>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5.75" customHeight="1" thickBot="1">
      <c r="A106" s="591"/>
      <c r="B106" s="591"/>
      <c r="C106" s="705"/>
      <c r="D106" s="822">
        <f t="shared" si="0"/>
        <v>0</v>
      </c>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5.75" customHeight="1" thickBot="1">
      <c r="A107" s="609"/>
      <c r="B107" s="590"/>
      <c r="C107" s="704"/>
      <c r="D107" s="823">
        <f t="shared" si="0"/>
        <v>0</v>
      </c>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1:28"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1:28"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sheetData>
  <mergeCells count="22">
    <mergeCell ref="A19:H19"/>
    <mergeCell ref="B1:F1"/>
    <mergeCell ref="A100:D100"/>
    <mergeCell ref="A83:C83"/>
    <mergeCell ref="A37:E37"/>
    <mergeCell ref="A55:G55"/>
    <mergeCell ref="A91:E91"/>
    <mergeCell ref="A7:B7"/>
    <mergeCell ref="A15:B15"/>
    <mergeCell ref="A16:B16"/>
    <mergeCell ref="A17:B17"/>
    <mergeCell ref="A8:B8"/>
    <mergeCell ref="A9:B9"/>
    <mergeCell ref="A10:B10"/>
    <mergeCell ref="A11:B11"/>
    <mergeCell ref="A12:B12"/>
    <mergeCell ref="A13:B13"/>
    <mergeCell ref="A14:B14"/>
    <mergeCell ref="A3:B3"/>
    <mergeCell ref="A4:B4"/>
    <mergeCell ref="A5:B5"/>
    <mergeCell ref="A6:B6"/>
  </mergeCells>
  <conditionalFormatting sqref="D102 D104 D106">
    <cfRule type="cellIs" dxfId="17" priority="2" operator="equal">
      <formula>0</formula>
    </cfRule>
  </conditionalFormatting>
  <conditionalFormatting sqref="D103 D105 D107">
    <cfRule type="cellIs" dxfId="16" priority="1" operator="equal">
      <formula>0</formula>
    </cfRule>
  </conditionalFormatting>
  <dataValidations count="6">
    <dataValidation type="list" allowBlank="1" showErrorMessage="1" sqref="R3:R18 R36 P37:P48" xr:uid="{2D5BD0F5-6DB5-4FFE-9177-51C5C0E36F45}">
      <formula1>$R$3:$R$49</formula1>
    </dataValidation>
    <dataValidation type="custom" allowBlank="1" showInputMessage="1" showErrorMessage="1" sqref="C3 C5 A93:A98" xr:uid="{A974D54D-BDBA-4AE5-9273-8B4F1AE76100}">
      <formula1>ISTEXT(A3)</formula1>
    </dataValidation>
    <dataValidation type="custom" allowBlank="1" showInputMessage="1" showErrorMessage="1" sqref="C10:C14" xr:uid="{2262BED7-E75F-42FF-A3B1-7E45DDFF1A04}">
      <formula1>ISNUMBER(C10:C14)</formula1>
    </dataValidation>
    <dataValidation type="custom" allowBlank="1" showInputMessage="1" showErrorMessage="1" sqref="B77:B78" xr:uid="{4D5B2214-793B-4EC6-94B8-FB60B3616BD4}">
      <formula1>ISNUMBER(B77:B82)</formula1>
    </dataValidation>
    <dataValidation type="custom" allowBlank="1" showInputMessage="1" showErrorMessage="1" sqref="B75:B76" xr:uid="{953EA86D-AA1F-4D33-A492-2EFED0BBF59A}">
      <formula1>ISNUMBER(B75:B81)</formula1>
    </dataValidation>
    <dataValidation type="date" allowBlank="1" showInputMessage="1" showErrorMessage="1" sqref="C8:C9" xr:uid="{2AFD96B2-F891-4A17-834F-B3906331ECA6}">
      <formula1>1</formula1>
      <formula2>73385</formula2>
    </dataValidation>
  </dataValidations>
  <pageMargins left="0.511811024" right="0.511811024" top="0.78740157499999996" bottom="0.78740157499999996" header="0" footer="0"/>
  <pageSetup orientation="landscape"/>
  <drawing r:id="rId1"/>
  <extLst>
    <ext xmlns:x14="http://schemas.microsoft.com/office/spreadsheetml/2009/9/main" uri="{CCE6A557-97BC-4b89-ADB6-D9C93CAAB3DF}">
      <x14:dataValidations xmlns:xm="http://schemas.microsoft.com/office/excel/2006/main" count="22">
        <x14:dataValidation type="list" allowBlank="1" showErrorMessage="1" xr:uid="{56F8345B-BA89-4835-8078-BBB2484A818F}">
          <x14:formula1>
            <xm:f>'Lista Suspensa'!$N$2</xm:f>
          </x14:formula1>
          <xm:sqref>B48:B50</xm:sqref>
        </x14:dataValidation>
        <x14:dataValidation type="list" allowBlank="1" showErrorMessage="1" xr:uid="{D54D24A4-76D0-4113-84A2-06C3BF6A1008}">
          <x14:formula1>
            <xm:f>'Lista Suspensa'!$AB$2:$AB$3</xm:f>
          </x14:formula1>
          <xm:sqref>D48:D50</xm:sqref>
        </x14:dataValidation>
        <x14:dataValidation type="list" allowBlank="1" showErrorMessage="1" xr:uid="{DE5CBF08-97FF-44D3-A882-9E4BB860ACE4}">
          <x14:formula1>
            <xm:f>'Lista Suspensa'!$X$2:$X$3</xm:f>
          </x14:formula1>
          <xm:sqref>C15</xm:sqref>
        </x14:dataValidation>
        <x14:dataValidation type="list" allowBlank="1" showErrorMessage="1" xr:uid="{76B24DBA-DD90-43E4-8952-D50E1D9D3D8C}">
          <x14:formula1>
            <xm:f>'Lista Suspensa'!$AD$2:$AD$3</xm:f>
          </x14:formula1>
          <xm:sqref>D39:D47 D51:D53</xm:sqref>
        </x14:dataValidation>
        <x14:dataValidation type="list" allowBlank="1" showErrorMessage="1" xr:uid="{5CD70A6B-92BF-4B4B-831D-23DF578075FC}">
          <x14:formula1>
            <xm:f>'Lista Suspensa'!$L$2:$L$3</xm:f>
          </x14:formula1>
          <xm:sqref>C39:C47 C51:C53</xm:sqref>
        </x14:dataValidation>
        <x14:dataValidation type="list" allowBlank="1" showErrorMessage="1" xr:uid="{D8326535-A89B-4B61-92E4-433219E2C72F}">
          <x14:formula1>
            <xm:f>'Lista Suspensa'!$T$2:$T$7</xm:f>
          </x14:formula1>
          <xm:sqref>C6</xm:sqref>
        </x14:dataValidation>
        <x14:dataValidation type="list" allowBlank="1" showErrorMessage="1" xr:uid="{2C46B4CB-A722-46A3-A60B-15BF389503BE}">
          <x14:formula1>
            <xm:f>'Lista Suspensa'!$J$2</xm:f>
          </x14:formula1>
          <xm:sqref>C48:C50</xm:sqref>
        </x14:dataValidation>
        <x14:dataValidation type="list" allowBlank="1" showErrorMessage="1" xr:uid="{B25D3F7B-2183-4FC8-A6D2-5E62809D0096}">
          <x14:formula1>
            <xm:f>'Lista Suspensa'!$AN$2:$AN$10</xm:f>
          </x14:formula1>
          <xm:sqref>D93:E98</xm:sqref>
        </x14:dataValidation>
        <x14:dataValidation type="list" allowBlank="1" showErrorMessage="1" xr:uid="{73E76207-E157-4DB4-8CDD-6B2D13B0721E}">
          <x14:formula1>
            <xm:f>'Lista Suspensa'!$Z$2:$Z$3</xm:f>
          </x14:formula1>
          <xm:sqref>C16</xm:sqref>
        </x14:dataValidation>
        <x14:dataValidation type="list" allowBlank="1" showErrorMessage="1" xr:uid="{304B4C26-3EE5-4094-B475-1C3341EDCCB2}">
          <x14:formula1>
            <xm:f>'Lista Suspensa'!$AF$2:$AF$5</xm:f>
          </x14:formula1>
          <xm:sqref>E54:F54</xm:sqref>
        </x14:dataValidation>
        <x14:dataValidation type="list" allowBlank="1" showErrorMessage="1" xr:uid="{E1CBA0BC-EF90-47A4-94AA-2679A017272A}">
          <x14:formula1>
            <xm:f>'Lista Suspensa'!$P$2:$P$3</xm:f>
          </x14:formula1>
          <xm:sqref>B39:B47 B51:B53</xm:sqref>
        </x14:dataValidation>
        <x14:dataValidation type="list" allowBlank="1" showErrorMessage="1" xr:uid="{D25C3EE2-7989-484A-9A5A-CDD3AF739A9B}">
          <x14:formula1>
            <xm:f>'Lista Suspensa'!$H$2:$H$4</xm:f>
          </x14:formula1>
          <xm:sqref>D54</xm:sqref>
        </x14:dataValidation>
        <x14:dataValidation type="list" allowBlank="1" showInputMessage="1" showErrorMessage="1" xr:uid="{84A6C6D8-F3D3-4FF6-AC80-BE1A402A5344}">
          <x14:formula1>
            <xm:f>'Lista Suspensa'!$AP$2:$AP$27</xm:f>
          </x14:formula1>
          <xm:sqref>C4</xm:sqref>
        </x14:dataValidation>
        <x14:dataValidation type="list" allowBlank="1" showInputMessage="1" showErrorMessage="1" xr:uid="{73D0CAB2-8830-4578-98D2-E348A617649B}">
          <x14:formula1>
            <xm:f>'Lista Suspensa'!$AR$2:$AR$4</xm:f>
          </x14:formula1>
          <xm:sqref>A102:A107</xm:sqref>
        </x14:dataValidation>
        <x14:dataValidation type="list" allowBlank="1" showErrorMessage="1" xr:uid="{D4774F99-3D34-4FA0-87A8-D0DE421BC95F}">
          <x14:formula1>
            <xm:f>'Lista Suspensa'!$AJ$2:$AJ$3</xm:f>
          </x14:formula1>
          <xm:sqref>E39:E53</xm:sqref>
        </x14:dataValidation>
        <x14:dataValidation type="list" allowBlank="1" showErrorMessage="1" xr:uid="{B988A016-04DE-4EEC-B3AE-89B57058CB43}">
          <x14:formula1>
            <xm:f>'Lista Suspensa'!$R$2:$R$4</xm:f>
          </x14:formula1>
          <xm:sqref>B54</xm:sqref>
        </x14:dataValidation>
        <x14:dataValidation type="list" allowBlank="1" showErrorMessage="1" xr:uid="{CB5B5CC2-9114-441B-BC2C-12A98AE3E20B}">
          <x14:formula1>
            <xm:f>'Lista Suspensa'!$R$2:$R$6</xm:f>
          </x14:formula1>
          <xm:sqref>C7</xm:sqref>
        </x14:dataValidation>
        <x14:dataValidation type="list" allowBlank="1" showInputMessage="1" showErrorMessage="1" xr:uid="{07F6F68B-1947-41D6-97E5-4E369C259A96}">
          <x14:formula1>
            <xm:f>'Lista Suspensa'!$AT$2:$AT$4</xm:f>
          </x14:formula1>
          <xm:sqref>B87:B89</xm:sqref>
        </x14:dataValidation>
        <x14:dataValidation type="list" allowBlank="1" showInputMessage="1" showErrorMessage="1" xr:uid="{64B907C0-BBBD-4300-BD2A-BF76917F71AB}">
          <x14:formula1>
            <xm:f>'Lista Suspensa'!$AV$2:$AV$21</xm:f>
          </x14:formula1>
          <xm:sqref>C17</xm:sqref>
        </x14:dataValidation>
        <x14:dataValidation type="list" allowBlank="1" showInputMessage="1" showErrorMessage="1" xr:uid="{3DF27559-6AD4-4040-9787-F1681A7FB702}">
          <x14:formula1>
            <xm:f>'Lista Suspensa'!$AZ$2:$AZ$4</xm:f>
          </x14:formula1>
          <xm:sqref>B85</xm:sqref>
        </x14:dataValidation>
        <x14:dataValidation type="list" allowBlank="1" showInputMessage="1" showErrorMessage="1" xr:uid="{26564562-DC5F-4365-A5D9-72F5416D9B2C}">
          <x14:formula1>
            <xm:f>'Lista Suspensa'!$AX$2:$AX$7</xm:f>
          </x14:formula1>
          <xm:sqref>B86</xm:sqref>
        </x14:dataValidation>
        <x14:dataValidation type="list" allowBlank="1" showErrorMessage="1" xr:uid="{A4E0B8E7-4B5F-4AF6-832D-86A89FEF8F3C}">
          <x14:formula1>
            <xm:f>'Lista Suspensa'!$AH$2:$AH$13</xm:f>
          </x14:formula1>
          <xm:sqref>I39:I53 M56:M71 K57:K71 H57:H71 F57:F71 D57:D71 B57:B71 L54 J54 H54 K39:K53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BZ237"/>
  <sheetViews>
    <sheetView tabSelected="1" topLeftCell="BZ36" workbookViewId="0">
      <selection activeCell="CQ36" sqref="CQ36"/>
    </sheetView>
  </sheetViews>
  <sheetFormatPr defaultColWidth="14.42578125" defaultRowHeight="15" customHeight="1"/>
  <cols>
    <col min="1" max="1" width="35.85546875" customWidth="1"/>
    <col min="2" max="91" width="8.85546875" style="408" customWidth="1"/>
    <col min="92" max="95" width="14.42578125" style="408"/>
    <col min="96" max="2106" width="14.42578125" style="583"/>
  </cols>
  <sheetData>
    <row r="1" spans="1:2106" ht="111" customHeight="1">
      <c r="A1" s="672" t="s">
        <v>1086</v>
      </c>
      <c r="B1" s="885" t="s">
        <v>1127</v>
      </c>
      <c r="C1" s="885"/>
      <c r="D1" s="885"/>
      <c r="E1" s="885"/>
      <c r="F1" s="885"/>
      <c r="G1" s="885"/>
      <c r="H1" s="885"/>
      <c r="I1" s="885"/>
      <c r="J1" s="885"/>
      <c r="K1" s="885"/>
      <c r="L1" s="885"/>
      <c r="M1" s="885"/>
      <c r="N1" s="885"/>
      <c r="O1" s="885"/>
      <c r="P1" s="885"/>
      <c r="Q1" s="726"/>
      <c r="R1" s="726"/>
      <c r="S1" s="726"/>
      <c r="T1" s="726"/>
      <c r="U1" s="727"/>
      <c r="V1" s="727"/>
      <c r="W1" s="727"/>
      <c r="X1" s="727"/>
      <c r="Y1" s="727"/>
      <c r="Z1" s="727"/>
      <c r="AA1" s="727"/>
      <c r="AB1" s="727"/>
      <c r="AC1" s="728"/>
      <c r="AD1" s="728"/>
      <c r="AE1" s="728"/>
      <c r="AF1" s="728"/>
      <c r="AG1" s="728"/>
      <c r="AH1" s="728"/>
      <c r="AI1" s="728"/>
      <c r="AJ1" s="728"/>
      <c r="AK1" s="728"/>
      <c r="AL1" s="728"/>
      <c r="AM1" s="728"/>
      <c r="AN1" s="728"/>
      <c r="AO1" s="728"/>
      <c r="AP1" s="728"/>
      <c r="AQ1" s="728"/>
      <c r="AR1" s="728"/>
      <c r="AS1" s="728"/>
      <c r="AT1" s="728"/>
      <c r="AU1" s="728"/>
      <c r="AV1" s="728"/>
      <c r="AW1" s="728"/>
      <c r="AX1" s="728"/>
      <c r="AY1" s="728"/>
      <c r="AZ1" s="728"/>
      <c r="BA1" s="728"/>
      <c r="BB1" s="728"/>
      <c r="BC1" s="728"/>
      <c r="BD1" s="728"/>
      <c r="BE1" s="728"/>
      <c r="BF1" s="728"/>
      <c r="BG1" s="728"/>
      <c r="BH1" s="728"/>
      <c r="BI1" s="728"/>
      <c r="BJ1" s="728"/>
      <c r="BK1" s="728"/>
      <c r="BL1" s="728"/>
      <c r="BM1" s="728"/>
      <c r="BN1" s="728"/>
      <c r="BO1" s="728"/>
      <c r="BP1" s="728"/>
      <c r="BQ1" s="728"/>
      <c r="BR1" s="728"/>
      <c r="BS1" s="728"/>
      <c r="BT1" s="728"/>
      <c r="BU1" s="728"/>
      <c r="BV1" s="728"/>
      <c r="BW1" s="728"/>
      <c r="BX1" s="728"/>
      <c r="BY1" s="728"/>
      <c r="BZ1" s="728"/>
      <c r="CA1" s="728"/>
      <c r="CB1" s="728"/>
      <c r="CC1" s="728"/>
      <c r="CD1" s="728"/>
      <c r="CE1" s="728"/>
      <c r="CF1" s="728"/>
      <c r="CG1" s="728"/>
      <c r="CH1" s="728"/>
      <c r="CI1" s="728"/>
      <c r="CJ1" s="728"/>
      <c r="CK1" s="728"/>
      <c r="CL1" s="728"/>
      <c r="CM1" s="728"/>
      <c r="CN1" s="728"/>
      <c r="CO1" s="728"/>
      <c r="CP1" s="728"/>
      <c r="CQ1" s="728"/>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row>
    <row r="2" spans="1:2106" ht="21.75" thickBot="1">
      <c r="A2" s="886" t="s">
        <v>0</v>
      </c>
      <c r="B2" s="887"/>
      <c r="C2" s="887"/>
      <c r="D2" s="887"/>
      <c r="E2" s="887"/>
      <c r="F2" s="887"/>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887"/>
      <c r="AI2" s="887"/>
      <c r="AJ2" s="887"/>
      <c r="AK2" s="887"/>
      <c r="AL2" s="887"/>
      <c r="AM2" s="887"/>
      <c r="AN2" s="887"/>
      <c r="AO2" s="887"/>
      <c r="AP2" s="887"/>
      <c r="AQ2" s="887"/>
      <c r="AR2" s="887"/>
      <c r="AS2" s="887"/>
      <c r="AT2" s="887"/>
      <c r="AU2" s="887"/>
      <c r="AV2" s="887"/>
      <c r="AW2" s="887"/>
      <c r="AX2" s="887"/>
      <c r="AY2" s="887"/>
      <c r="AZ2" s="887"/>
      <c r="BA2" s="887"/>
      <c r="BB2" s="887"/>
      <c r="BC2" s="887"/>
      <c r="BD2" s="887"/>
      <c r="BE2" s="887"/>
      <c r="BF2" s="887"/>
      <c r="BG2" s="887"/>
      <c r="BH2" s="887"/>
      <c r="BI2" s="887"/>
      <c r="BJ2" s="887"/>
      <c r="BK2" s="887"/>
      <c r="BL2" s="887"/>
      <c r="BM2" s="887"/>
      <c r="BN2" s="887"/>
      <c r="BO2" s="887"/>
      <c r="BP2" s="887"/>
      <c r="BQ2" s="887"/>
      <c r="BR2" s="887"/>
      <c r="BS2" s="887"/>
      <c r="BT2" s="887"/>
      <c r="BU2" s="887"/>
      <c r="BV2" s="887"/>
      <c r="BW2" s="887"/>
      <c r="BX2" s="887"/>
      <c r="BY2" s="887"/>
      <c r="BZ2" s="887"/>
      <c r="CA2" s="887"/>
      <c r="CB2" s="887"/>
      <c r="CC2" s="887"/>
      <c r="CD2" s="887"/>
      <c r="CE2" s="887"/>
      <c r="CF2" s="887"/>
      <c r="CG2" s="887"/>
      <c r="CH2" s="887"/>
      <c r="CI2" s="887"/>
      <c r="CJ2" s="887"/>
      <c r="CK2" s="887"/>
      <c r="CL2" s="887"/>
      <c r="CM2" s="887"/>
      <c r="CN2" s="888" t="s">
        <v>60</v>
      </c>
      <c r="CO2" s="889"/>
      <c r="CP2" s="889"/>
      <c r="CQ2" s="890"/>
      <c r="CR2" s="629"/>
      <c r="CS2" s="629"/>
      <c r="CT2" s="629"/>
      <c r="CU2" s="629"/>
      <c r="CV2" s="629"/>
      <c r="CW2" s="629"/>
      <c r="CX2" s="629"/>
      <c r="CY2" s="629"/>
      <c r="CZ2" s="629"/>
      <c r="DA2" s="629"/>
      <c r="DB2" s="629"/>
      <c r="DC2" s="629"/>
      <c r="DD2" s="629"/>
      <c r="DE2" s="629"/>
      <c r="DF2" s="629"/>
      <c r="DG2" s="629"/>
      <c r="DH2" s="629"/>
    </row>
    <row r="3" spans="1:2106" ht="15.75" thickTop="1">
      <c r="A3" s="891" t="s">
        <v>61</v>
      </c>
      <c r="B3" s="882" t="s">
        <v>22</v>
      </c>
      <c r="C3" s="883"/>
      <c r="D3" s="883"/>
      <c r="E3" s="883"/>
      <c r="F3" s="883"/>
      <c r="G3" s="884"/>
      <c r="H3" s="882" t="s">
        <v>23</v>
      </c>
      <c r="I3" s="883"/>
      <c r="J3" s="883"/>
      <c r="K3" s="883"/>
      <c r="L3" s="883"/>
      <c r="M3" s="884"/>
      <c r="N3" s="882" t="s">
        <v>24</v>
      </c>
      <c r="O3" s="883"/>
      <c r="P3" s="883"/>
      <c r="Q3" s="883"/>
      <c r="R3" s="883"/>
      <c r="S3" s="884"/>
      <c r="T3" s="882" t="s">
        <v>25</v>
      </c>
      <c r="U3" s="883"/>
      <c r="V3" s="883"/>
      <c r="W3" s="883"/>
      <c r="X3" s="883"/>
      <c r="Y3" s="884"/>
      <c r="Z3" s="882" t="s">
        <v>26</v>
      </c>
      <c r="AA3" s="883"/>
      <c r="AB3" s="883"/>
      <c r="AC3" s="883"/>
      <c r="AD3" s="883"/>
      <c r="AE3" s="884"/>
      <c r="AF3" s="882" t="s">
        <v>62</v>
      </c>
      <c r="AG3" s="883"/>
      <c r="AH3" s="883"/>
      <c r="AI3" s="883"/>
      <c r="AJ3" s="883"/>
      <c r="AK3" s="884"/>
      <c r="AL3" s="882" t="s">
        <v>28</v>
      </c>
      <c r="AM3" s="883"/>
      <c r="AN3" s="883"/>
      <c r="AO3" s="883"/>
      <c r="AP3" s="883"/>
      <c r="AQ3" s="884"/>
      <c r="AR3" s="882" t="s">
        <v>29</v>
      </c>
      <c r="AS3" s="883"/>
      <c r="AT3" s="883"/>
      <c r="AU3" s="883"/>
      <c r="AV3" s="883"/>
      <c r="AW3" s="884"/>
      <c r="AX3" s="882" t="s">
        <v>30</v>
      </c>
      <c r="AY3" s="883"/>
      <c r="AZ3" s="883"/>
      <c r="BA3" s="883"/>
      <c r="BB3" s="883"/>
      <c r="BC3" s="884"/>
      <c r="BD3" s="882" t="s">
        <v>31</v>
      </c>
      <c r="BE3" s="883"/>
      <c r="BF3" s="883"/>
      <c r="BG3" s="883"/>
      <c r="BH3" s="883"/>
      <c r="BI3" s="884"/>
      <c r="BJ3" s="882" t="s">
        <v>32</v>
      </c>
      <c r="BK3" s="883"/>
      <c r="BL3" s="883"/>
      <c r="BM3" s="883"/>
      <c r="BN3" s="883"/>
      <c r="BO3" s="884"/>
      <c r="BP3" s="882" t="s">
        <v>63</v>
      </c>
      <c r="BQ3" s="883"/>
      <c r="BR3" s="883"/>
      <c r="BS3" s="883"/>
      <c r="BT3" s="883"/>
      <c r="BU3" s="884"/>
      <c r="BV3" s="882" t="s">
        <v>64</v>
      </c>
      <c r="BW3" s="883"/>
      <c r="BX3" s="883"/>
      <c r="BY3" s="883"/>
      <c r="BZ3" s="883"/>
      <c r="CA3" s="884"/>
      <c r="CB3" s="882" t="s">
        <v>35</v>
      </c>
      <c r="CC3" s="883"/>
      <c r="CD3" s="883"/>
      <c r="CE3" s="883"/>
      <c r="CF3" s="883"/>
      <c r="CG3" s="884"/>
      <c r="CH3" s="882" t="s">
        <v>36</v>
      </c>
      <c r="CI3" s="883"/>
      <c r="CJ3" s="883"/>
      <c r="CK3" s="883"/>
      <c r="CL3" s="883"/>
      <c r="CM3" s="883"/>
      <c r="CN3" s="638" t="s">
        <v>65</v>
      </c>
      <c r="CO3" s="33" t="s">
        <v>66</v>
      </c>
      <c r="CP3" s="755"/>
      <c r="CQ3" s="639"/>
      <c r="CR3" s="628"/>
      <c r="CS3" s="628"/>
      <c r="CT3" s="628"/>
      <c r="CU3" s="628"/>
      <c r="CV3" s="628"/>
      <c r="CW3" s="628"/>
      <c r="CX3" s="628"/>
      <c r="CY3" s="628"/>
      <c r="CZ3" s="628"/>
      <c r="DA3" s="628"/>
      <c r="DB3" s="628"/>
      <c r="DC3" s="628"/>
      <c r="DD3" s="628"/>
      <c r="DE3" s="628"/>
      <c r="DF3" s="628"/>
      <c r="DG3" s="628"/>
      <c r="DH3" s="628"/>
    </row>
    <row r="4" spans="1:2106" ht="46.5" customHeight="1">
      <c r="A4" s="892"/>
      <c r="B4" s="34" t="s">
        <v>67</v>
      </c>
      <c r="C4" s="35" t="s">
        <v>68</v>
      </c>
      <c r="D4" s="35" t="s">
        <v>69</v>
      </c>
      <c r="E4" s="35" t="s">
        <v>70</v>
      </c>
      <c r="F4" s="35" t="s">
        <v>71</v>
      </c>
      <c r="G4" s="36" t="s">
        <v>993</v>
      </c>
      <c r="H4" s="34" t="s">
        <v>72</v>
      </c>
      <c r="I4" s="35" t="s">
        <v>73</v>
      </c>
      <c r="J4" s="35" t="s">
        <v>69</v>
      </c>
      <c r="K4" s="35" t="s">
        <v>70</v>
      </c>
      <c r="L4" s="35" t="s">
        <v>71</v>
      </c>
      <c r="M4" s="36" t="s">
        <v>993</v>
      </c>
      <c r="N4" s="34" t="s">
        <v>74</v>
      </c>
      <c r="O4" s="35" t="s">
        <v>75</v>
      </c>
      <c r="P4" s="35" t="s">
        <v>69</v>
      </c>
      <c r="Q4" s="35" t="s">
        <v>70</v>
      </c>
      <c r="R4" s="35" t="s">
        <v>71</v>
      </c>
      <c r="S4" s="36" t="s">
        <v>993</v>
      </c>
      <c r="T4" s="34" t="s">
        <v>76</v>
      </c>
      <c r="U4" s="35" t="s">
        <v>77</v>
      </c>
      <c r="V4" s="35" t="s">
        <v>69</v>
      </c>
      <c r="W4" s="35" t="s">
        <v>70</v>
      </c>
      <c r="X4" s="35" t="s">
        <v>71</v>
      </c>
      <c r="Y4" s="36" t="s">
        <v>993</v>
      </c>
      <c r="Z4" s="34" t="s">
        <v>78</v>
      </c>
      <c r="AA4" s="35" t="s">
        <v>79</v>
      </c>
      <c r="AB4" s="35" t="s">
        <v>69</v>
      </c>
      <c r="AC4" s="35" t="s">
        <v>70</v>
      </c>
      <c r="AD4" s="35" t="s">
        <v>71</v>
      </c>
      <c r="AE4" s="36" t="s">
        <v>993</v>
      </c>
      <c r="AF4" s="34" t="s">
        <v>72</v>
      </c>
      <c r="AG4" s="35" t="s">
        <v>68</v>
      </c>
      <c r="AH4" s="35" t="s">
        <v>69</v>
      </c>
      <c r="AI4" s="35" t="s">
        <v>70</v>
      </c>
      <c r="AJ4" s="35" t="s">
        <v>71</v>
      </c>
      <c r="AK4" s="36" t="s">
        <v>993</v>
      </c>
      <c r="AL4" s="34" t="s">
        <v>80</v>
      </c>
      <c r="AM4" s="35" t="s">
        <v>81</v>
      </c>
      <c r="AN4" s="35" t="s">
        <v>69</v>
      </c>
      <c r="AO4" s="35" t="s">
        <v>70</v>
      </c>
      <c r="AP4" s="35" t="s">
        <v>71</v>
      </c>
      <c r="AQ4" s="36" t="s">
        <v>993</v>
      </c>
      <c r="AR4" s="34" t="s">
        <v>72</v>
      </c>
      <c r="AS4" s="35" t="s">
        <v>82</v>
      </c>
      <c r="AT4" s="35" t="s">
        <v>69</v>
      </c>
      <c r="AU4" s="35" t="s">
        <v>70</v>
      </c>
      <c r="AV4" s="35" t="s">
        <v>71</v>
      </c>
      <c r="AW4" s="36" t="s">
        <v>993</v>
      </c>
      <c r="AX4" s="34" t="s">
        <v>80</v>
      </c>
      <c r="AY4" s="35" t="s">
        <v>83</v>
      </c>
      <c r="AZ4" s="35" t="s">
        <v>69</v>
      </c>
      <c r="BA4" s="35" t="s">
        <v>70</v>
      </c>
      <c r="BB4" s="35" t="s">
        <v>71</v>
      </c>
      <c r="BC4" s="36" t="s">
        <v>993</v>
      </c>
      <c r="BD4" s="34" t="s">
        <v>76</v>
      </c>
      <c r="BE4" s="35" t="s">
        <v>77</v>
      </c>
      <c r="BF4" s="35" t="s">
        <v>69</v>
      </c>
      <c r="BG4" s="35" t="s">
        <v>70</v>
      </c>
      <c r="BH4" s="35" t="s">
        <v>71</v>
      </c>
      <c r="BI4" s="36" t="s">
        <v>993</v>
      </c>
      <c r="BJ4" s="34" t="s">
        <v>74</v>
      </c>
      <c r="BK4" s="35" t="s">
        <v>84</v>
      </c>
      <c r="BL4" s="35" t="s">
        <v>69</v>
      </c>
      <c r="BM4" s="35" t="s">
        <v>70</v>
      </c>
      <c r="BN4" s="35" t="s">
        <v>71</v>
      </c>
      <c r="BO4" s="36" t="s">
        <v>993</v>
      </c>
      <c r="BP4" s="34" t="s">
        <v>85</v>
      </c>
      <c r="BQ4" s="35" t="s">
        <v>84</v>
      </c>
      <c r="BR4" s="35" t="s">
        <v>69</v>
      </c>
      <c r="BS4" s="35" t="s">
        <v>70</v>
      </c>
      <c r="BT4" s="35" t="s">
        <v>71</v>
      </c>
      <c r="BU4" s="36" t="s">
        <v>993</v>
      </c>
      <c r="BV4" s="34" t="s">
        <v>86</v>
      </c>
      <c r="BW4" s="35" t="s">
        <v>87</v>
      </c>
      <c r="BX4" s="35" t="s">
        <v>69</v>
      </c>
      <c r="BY4" s="35" t="s">
        <v>70</v>
      </c>
      <c r="BZ4" s="35" t="s">
        <v>71</v>
      </c>
      <c r="CA4" s="36" t="s">
        <v>993</v>
      </c>
      <c r="CB4" s="34" t="s">
        <v>88</v>
      </c>
      <c r="CC4" s="35" t="s">
        <v>73</v>
      </c>
      <c r="CD4" s="35" t="s">
        <v>69</v>
      </c>
      <c r="CE4" s="35" t="s">
        <v>70</v>
      </c>
      <c r="CF4" s="35" t="s">
        <v>71</v>
      </c>
      <c r="CG4" s="36" t="s">
        <v>993</v>
      </c>
      <c r="CH4" s="34" t="s">
        <v>78</v>
      </c>
      <c r="CI4" s="35" t="s">
        <v>77</v>
      </c>
      <c r="CJ4" s="35" t="s">
        <v>69</v>
      </c>
      <c r="CK4" s="35" t="s">
        <v>70</v>
      </c>
      <c r="CL4" s="35" t="s">
        <v>71</v>
      </c>
      <c r="CM4" s="635" t="s">
        <v>993</v>
      </c>
      <c r="CN4" s="760" t="s">
        <v>89</v>
      </c>
      <c r="CO4" s="761" t="s">
        <v>90</v>
      </c>
      <c r="CP4" s="35" t="s">
        <v>69</v>
      </c>
      <c r="CQ4" s="762" t="s">
        <v>993</v>
      </c>
      <c r="CR4" s="630"/>
      <c r="CS4" s="630"/>
      <c r="CT4" s="630"/>
      <c r="CU4" s="630"/>
      <c r="CV4" s="630"/>
      <c r="CW4" s="630"/>
      <c r="CX4" s="630"/>
      <c r="CY4" s="630"/>
      <c r="CZ4" s="630"/>
      <c r="DA4" s="630"/>
      <c r="DB4" s="630"/>
      <c r="DC4" s="630"/>
      <c r="DD4" s="630"/>
      <c r="DE4" s="630"/>
      <c r="DF4" s="630"/>
      <c r="DG4" s="630"/>
      <c r="DH4" s="630"/>
    </row>
    <row r="5" spans="1:2106">
      <c r="A5" s="611" t="s">
        <v>95</v>
      </c>
      <c r="B5" s="612">
        <v>10</v>
      </c>
      <c r="C5" s="613">
        <f t="shared" ref="C5:C34" si="0">(B5*(D5/100))</f>
        <v>3.1219999999999999</v>
      </c>
      <c r="D5" s="613">
        <f>IF(B5&gt;0,VLOOKUP(A5,'Lista Suspensa'!$A$1:$F$92,3,),0)</f>
        <v>31.22</v>
      </c>
      <c r="E5" s="613">
        <f>IF(OR(B5&gt;0,C5&gt;0),VLOOKUP(A5,'Lista Suspensa'!$A$1:$F$90,4,),0)</f>
        <v>7.18</v>
      </c>
      <c r="F5" s="613">
        <f>IF(OR(B5&gt;0,C5&gt;0),VLOOKUP(A5,'Lista Suspensa'!$A$1:$F$90,5,),0)</f>
        <v>63.58</v>
      </c>
      <c r="G5" s="402">
        <f>IF(OR(B5&gt;0,C5&gt;0),VLOOKUP(A5,'Lista Suspensa'!$A$1:$F$90,6,),0)</f>
        <v>5.3609999999999998E-2</v>
      </c>
      <c r="H5" s="612">
        <v>10</v>
      </c>
      <c r="I5" s="613">
        <f>H5*(J5/100)</f>
        <v>3.1219999999999999</v>
      </c>
      <c r="J5" s="613">
        <f>IF(H5&gt;0,VLOOKUP(A5,'Lista Suspensa'!$A$1:$F$92,3,),0)</f>
        <v>31.22</v>
      </c>
      <c r="K5" s="613">
        <f>IF(OR(H5&gt;0,I5&gt;0),VLOOKUP(A5,'Lista Suspensa'!$A$1:$F$90,4,),0)</f>
        <v>7.18</v>
      </c>
      <c r="L5" s="613">
        <f>IF(OR(H5&gt;0,I5&gt;0),VLOOKUP(A5,'Lista Suspensa'!$A$1:$F$90,5,),0)</f>
        <v>63.58</v>
      </c>
      <c r="M5" s="402">
        <f>IF(OR(H5&gt;0,I5&gt;0),VLOOKUP(A5,'Lista Suspensa'!$A$1:$F$90,6,),0)</f>
        <v>5.3609999999999998E-2</v>
      </c>
      <c r="N5" s="612">
        <v>10</v>
      </c>
      <c r="O5" s="613">
        <f t="shared" ref="O5:O34" si="1">N5*(P5/100)</f>
        <v>3.1219999999999999</v>
      </c>
      <c r="P5" s="613">
        <f>IF(N5&gt;0,VLOOKUP(A5,'Lista Suspensa'!$A$1:$F$92,3,),0)</f>
        <v>31.22</v>
      </c>
      <c r="Q5" s="613">
        <f>IF(OR(N5&gt;0,O5&gt;0),VLOOKUP(A5,'Lista Suspensa'!$A$1:$F$90,4,),0)</f>
        <v>7.18</v>
      </c>
      <c r="R5" s="613">
        <f>IF(OR(N5&gt;0,O5&gt;0),VLOOKUP(A5,'Lista Suspensa'!$A$1:$F$90,5,),0)</f>
        <v>63.58</v>
      </c>
      <c r="S5" s="402">
        <f>IF(OR(N5&gt;0,O5&gt;0),VLOOKUP(A5,'Lista Suspensa'!$A$1:$F$90,6,),0)</f>
        <v>5.3609999999999998E-2</v>
      </c>
      <c r="T5" s="612">
        <v>20</v>
      </c>
      <c r="U5" s="613">
        <f t="shared" ref="U5:U34" si="2">T5*(V5/100)</f>
        <v>6.2439999999999998</v>
      </c>
      <c r="V5" s="613">
        <f>IF(T5&gt;0,VLOOKUP(A5,'Lista Suspensa'!$A$1:$F$92,3,),0)</f>
        <v>31.22</v>
      </c>
      <c r="W5" s="613">
        <f>IF(OR(T5&gt;0,U5&gt;0),VLOOKUP(A5,'Lista Suspensa'!$A$1:$F$90,4,),0)</f>
        <v>7.18</v>
      </c>
      <c r="X5" s="613">
        <f>IF(OR(T5&gt;0,U5&gt;0),VLOOKUP(A5,'Lista Suspensa'!$A$1:$F$90,5,),0)</f>
        <v>63.58</v>
      </c>
      <c r="Y5" s="402">
        <f>IF(OR(T5&gt;0,U5&gt;0),VLOOKUP(A5,'Lista Suspensa'!$A$1:$F$90,6,),0)</f>
        <v>5.3609999999999998E-2</v>
      </c>
      <c r="Z5" s="612">
        <v>20</v>
      </c>
      <c r="AA5" s="613">
        <f t="shared" ref="AA5:AA34" si="3">Z5*(AB5/100)</f>
        <v>6.2439999999999998</v>
      </c>
      <c r="AB5" s="613">
        <f>IF(Z5&gt;0,VLOOKUP(A5,'Lista Suspensa'!$A$1:$F$92,3,),0)</f>
        <v>31.22</v>
      </c>
      <c r="AC5" s="613">
        <f>IF(OR(Z5&gt;0,AA5&gt;0),VLOOKUP(A5,'Lista Suspensa'!$A$1:$F$90,4,),0)</f>
        <v>7.18</v>
      </c>
      <c r="AD5" s="613">
        <f>IF(OR(Z5&gt;0,AA5&gt;0),VLOOKUP(A5,'Lista Suspensa'!$A$1:$F$90,5,),0)</f>
        <v>63.58</v>
      </c>
      <c r="AE5" s="402">
        <f>IF(OR(Z5&gt;0,AA5&gt;0),VLOOKUP(A5,'Lista Suspensa'!$A$1:$F$90,6,),0)</f>
        <v>5.3609999999999998E-2</v>
      </c>
      <c r="AF5" s="612">
        <v>20</v>
      </c>
      <c r="AG5" s="613">
        <f>AF5*(AH5/100)</f>
        <v>6.2439999999999998</v>
      </c>
      <c r="AH5" s="613">
        <f>IF(AF5&gt;0,VLOOKUP(A5,'Lista Suspensa'!$A$1:$F$92,3,),0)</f>
        <v>31.22</v>
      </c>
      <c r="AI5" s="613">
        <f>IF(OR(AF5&gt;0,AG5&gt;0),VLOOKUP(A5,'Lista Suspensa'!$A$1:$F$90,4,),0)</f>
        <v>7.18</v>
      </c>
      <c r="AJ5" s="613">
        <f>IF(OR(AF5&gt;0,AG5&gt;0),VLOOKUP(A5,'Lista Suspensa'!$A$1:$F$90,5,),0)</f>
        <v>63.58</v>
      </c>
      <c r="AK5" s="402">
        <f>IF(OR(AF5&gt;0,AG5&gt;0),VLOOKUP(A5,'Lista Suspensa'!$A$1:$F$90,6,),0)</f>
        <v>5.3609999999999998E-2</v>
      </c>
      <c r="AL5" s="612">
        <v>30</v>
      </c>
      <c r="AM5" s="613">
        <f t="shared" ref="AM5:AM34" si="4">AL5*(AN5/100)</f>
        <v>9.3659999999999997</v>
      </c>
      <c r="AN5" s="613">
        <f>IF(AL5&gt;0,VLOOKUP(A5,'Lista Suspensa'!$A$1:$F$92,3,),0)</f>
        <v>31.22</v>
      </c>
      <c r="AO5" s="613">
        <f>IF(OR(AL5&gt;0,AM5&gt;0),VLOOKUP(A5,'Lista Suspensa'!$A$1:$F$90,4,),0)</f>
        <v>7.18</v>
      </c>
      <c r="AP5" s="613">
        <f>IF(OR(AL5&gt;0,AM5&gt;0),VLOOKUP(A5,'Lista Suspensa'!$A$1:$F$90,5,),0)</f>
        <v>63.58</v>
      </c>
      <c r="AQ5" s="402">
        <f>IF(OR(AL5&gt;0,AM5&gt;0),VLOOKUP(A5,'Lista Suspensa'!$A$1:$F$90,6,),0)</f>
        <v>5.3609999999999998E-2</v>
      </c>
      <c r="AR5" s="612">
        <v>30</v>
      </c>
      <c r="AS5" s="613">
        <f>AR5*(AT5/100)</f>
        <v>9.3659999999999997</v>
      </c>
      <c r="AT5" s="613">
        <f>IF(AR5&gt;0,VLOOKUP(A5,'Lista Suspensa'!$A$1:$F$92,3,),0)</f>
        <v>31.22</v>
      </c>
      <c r="AU5" s="613">
        <f>IF(OR(AR5&gt;0,AS5&gt;0),VLOOKUP(A5,'Lista Suspensa'!$A$1:$F$90,4,),0)</f>
        <v>7.18</v>
      </c>
      <c r="AV5" s="613">
        <f>IF(OR(AR5&gt;0,AS5&gt;0),VLOOKUP(A5,'Lista Suspensa'!$A$1:$F$90,5,),0)</f>
        <v>63.58</v>
      </c>
      <c r="AW5" s="37">
        <f>IF(OR(AR5&gt;0,AS5&gt;0),VLOOKUP(A5,'Lista Suspensa'!$A$1:$F$90,6,),0)</f>
        <v>5.3609999999999998E-2</v>
      </c>
      <c r="AX5" s="612">
        <v>30</v>
      </c>
      <c r="AY5" s="613">
        <f t="shared" ref="AY5:AY34" si="5">AX5*(AZ5/100)</f>
        <v>9.3659999999999997</v>
      </c>
      <c r="AZ5" s="613">
        <f>IF(AX5&gt;0,VLOOKUP(A5,'Lista Suspensa'!$A$1:$F$92,3,),0)</f>
        <v>31.22</v>
      </c>
      <c r="BA5" s="613">
        <f>IF(OR(AX5&gt;0,AY5&gt;0),VLOOKUP(A5,'Lista Suspensa'!$A$1:$F$90,4,),0)</f>
        <v>7.18</v>
      </c>
      <c r="BB5" s="613">
        <f>IF(OR(AX5&gt;0,AY5&gt;0),VLOOKUP(A5,'Lista Suspensa'!$A$1:$F$90,5,),0)</f>
        <v>63.58</v>
      </c>
      <c r="BC5" s="37">
        <f>IF(OR(AX5&gt;0,AY5&gt;0),VLOOKUP(A5,'Lista Suspensa'!$A$1:$F$90,6,),0)</f>
        <v>5.3609999999999998E-2</v>
      </c>
      <c r="BD5" s="612">
        <v>40</v>
      </c>
      <c r="BE5" s="613">
        <f t="shared" ref="BE5:BE34" si="6">BD5*(BF5/100)</f>
        <v>12.488</v>
      </c>
      <c r="BF5" s="613">
        <f>IF(BD5&gt;0,VLOOKUP(A5,'Lista Suspensa'!$A$1:$F$92,3,),0)</f>
        <v>31.22</v>
      </c>
      <c r="BG5" s="613">
        <f>IF(OR(BD5&gt;0,BE5&gt;0),VLOOKUP(A5,'Lista Suspensa'!$A$1:$F$90,4,),0)</f>
        <v>7.18</v>
      </c>
      <c r="BH5" s="613">
        <f>IF(OR(BD5&gt;0,BE5&gt;0),VLOOKUP(A5,'Lista Suspensa'!$A$1:$F$90,5,),0)</f>
        <v>63.58</v>
      </c>
      <c r="BI5" s="37">
        <f>IF(OR(BD5&gt;0,BE5&gt;0),VLOOKUP(A5,'Lista Suspensa'!$A$1:$F$90,6,),0)</f>
        <v>5.3609999999999998E-2</v>
      </c>
      <c r="BJ5" s="612">
        <v>40</v>
      </c>
      <c r="BK5" s="613">
        <f t="shared" ref="BK5:BK34" si="7">BJ5*(BL5/100)</f>
        <v>12.488</v>
      </c>
      <c r="BL5" s="613">
        <f>IF(BJ5&gt;0,VLOOKUP(A5,'Lista Suspensa'!$A$1:$F$92,3,),0)</f>
        <v>31.22</v>
      </c>
      <c r="BM5" s="613">
        <f>IF(OR(BJ5&gt;0,BK5&gt;0),VLOOKUP(A5,'Lista Suspensa'!$A$1:$F$90,4,),0)</f>
        <v>7.18</v>
      </c>
      <c r="BN5" s="613">
        <f>IF(OR(BJ5&gt;0,BK5&gt;0),VLOOKUP(A5,'Lista Suspensa'!$A$1:$F$90,5,),0)</f>
        <v>63.58</v>
      </c>
      <c r="BO5" s="37">
        <f>IF(OR(BJ5&gt;0,BK5&gt;0),VLOOKUP(A5,'Lista Suspensa'!$A$1:$F$90,6,),0)</f>
        <v>5.3609999999999998E-2</v>
      </c>
      <c r="BP5" s="612">
        <v>40</v>
      </c>
      <c r="BQ5" s="613">
        <f t="shared" ref="BQ5:BQ34" si="8">BP5*(BR5/100)</f>
        <v>12.488</v>
      </c>
      <c r="BR5" s="613">
        <f>IF(BP5&gt;0,VLOOKUP(A5,'Lista Suspensa'!$A$1:$F$92,3,),0)</f>
        <v>31.22</v>
      </c>
      <c r="BS5" s="613">
        <f>IF(OR(BP5&gt;0,BQ5&gt;0),VLOOKUP(A5,'Lista Suspensa'!$A$1:$F$90,4,),0)</f>
        <v>7.18</v>
      </c>
      <c r="BT5" s="613">
        <f>IF(OR(BP5&gt;0,BQ5&gt;0),VLOOKUP(A5,'Lista Suspensa'!$A$1:$F$90,5,),0)</f>
        <v>63.58</v>
      </c>
      <c r="BU5" s="37">
        <f>IF(OR(BP5&gt;0,BQ5&gt;0),VLOOKUP(A5,'Lista Suspensa'!$A$1:$F$90,6,),0)</f>
        <v>5.3609999999999998E-2</v>
      </c>
      <c r="BV5" s="612">
        <v>25</v>
      </c>
      <c r="BW5" s="613">
        <f t="shared" ref="BW5:BW34" si="9">BV5*(BX5/100)</f>
        <v>7.8049999999999997</v>
      </c>
      <c r="BX5" s="613">
        <f>IF(BV5&gt;0,VLOOKUP(A5,'Lista Suspensa'!$A$1:$F$92,3,),0)</f>
        <v>31.22</v>
      </c>
      <c r="BY5" s="613">
        <f>IF(OR(BV5&gt;0,BW5&gt;0),VLOOKUP(A5,'Lista Suspensa'!$A$1:$F$90,4,),0)</f>
        <v>7.18</v>
      </c>
      <c r="BZ5" s="613">
        <f>IF(OR(BV5&gt;0,BW5&gt;0),VLOOKUP(A5,'Lista Suspensa'!$A$1:$F$90,5,),0)</f>
        <v>63.58</v>
      </c>
      <c r="CA5" s="37">
        <f>IF(OR(BV5&gt;0,BW5&gt;0),VLOOKUP(A5,'Lista Suspensa'!$A$1:$F$90,6,),0)</f>
        <v>5.3609999999999998E-2</v>
      </c>
      <c r="CB5" s="612">
        <v>25</v>
      </c>
      <c r="CC5" s="613">
        <f t="shared" ref="CC5:CC34" si="10">CB5*(CD5/100)</f>
        <v>7.8049999999999997</v>
      </c>
      <c r="CD5" s="613">
        <f>IF(CB5&gt;0,VLOOKUP(A5,'Lista Suspensa'!$A$1:$F$92,3,),0)</f>
        <v>31.22</v>
      </c>
      <c r="CE5" s="613">
        <f>IF(OR(CB5&gt;0,CC5&gt;0),VLOOKUP(A5,'Lista Suspensa'!$A$1:$F$90,4,),0)</f>
        <v>7.18</v>
      </c>
      <c r="CF5" s="613">
        <f>IF(OR(CB5&gt;0,CC5&gt;0),VLOOKUP(A5,'Lista Suspensa'!$A$1:$F$90,5,),0)</f>
        <v>63.58</v>
      </c>
      <c r="CG5" s="37">
        <f>IF(OR(CB5&gt;0,CC5&gt;0),VLOOKUP(A5,'Lista Suspensa'!$A$1:$F$90,6,),0)</f>
        <v>5.3609999999999998E-2</v>
      </c>
      <c r="CH5" s="612">
        <v>25</v>
      </c>
      <c r="CI5" s="613">
        <f t="shared" ref="CI5:CI34" si="11">CH5*(CJ5/100)</f>
        <v>7.8049999999999997</v>
      </c>
      <c r="CJ5" s="613">
        <f>IF(CH5&gt;0,VLOOKUP(A5,'Lista Suspensa'!$A$1:$F$92,3,),0)</f>
        <v>31.22</v>
      </c>
      <c r="CK5" s="613">
        <f>IF(OR(CH5&gt;0,CI5&gt;0),VLOOKUP(A5,'Lista Suspensa'!$A$1:$F$90,4,),0)</f>
        <v>7.18</v>
      </c>
      <c r="CL5" s="613">
        <f>IF(OR(CH5&gt;0,CI5&gt;0),VLOOKUP(A5,'Lista Suspensa'!$A$1:$F$90,5,),0)</f>
        <v>63.58</v>
      </c>
      <c r="CM5" s="636">
        <f>IF(OR(CH5&gt;0,CI5&gt;0),VLOOKUP(A5,'Lista Suspensa'!$A$1:$F$90,6,),0)</f>
        <v>5.3609999999999998E-2</v>
      </c>
      <c r="CN5" s="640"/>
      <c r="CO5" s="403">
        <f>CN5*(CP5/100)</f>
        <v>0</v>
      </c>
      <c r="CP5" s="756">
        <f>IF(CN5&gt;0,VLOOKUP(A5,'Lista Suspensa'!$A$1:$F$92,3,),0)</f>
        <v>0</v>
      </c>
      <c r="CQ5" s="641">
        <f>IF(OR(CN5&gt;0,CO5&gt;0),VLOOKUP(A5,'Lista Suspensa'!$A$1:$F$90,6,),0)</f>
        <v>0</v>
      </c>
      <c r="CR5" s="628"/>
      <c r="CS5" s="633"/>
      <c r="CT5" s="633"/>
      <c r="CU5" s="628"/>
      <c r="CV5" s="628"/>
      <c r="CW5" s="628"/>
      <c r="CX5" s="628"/>
      <c r="CY5" s="628"/>
      <c r="CZ5" s="628"/>
      <c r="DA5" s="628"/>
      <c r="DB5" s="628"/>
      <c r="DC5" s="628"/>
      <c r="DD5" s="628"/>
      <c r="DE5" s="628"/>
      <c r="DF5" s="628"/>
      <c r="DG5" s="628"/>
      <c r="DH5" s="628"/>
    </row>
    <row r="6" spans="1:2106" s="588" customFormat="1">
      <c r="A6" s="614" t="s">
        <v>91</v>
      </c>
      <c r="B6" s="615">
        <v>5</v>
      </c>
      <c r="C6" s="616">
        <f t="shared" si="0"/>
        <v>4.4325000000000001</v>
      </c>
      <c r="D6" s="616">
        <f>IF(B6&gt;0,VLOOKUP(A6,'Lista Suspensa'!$A$1:$F$92,3,),0)</f>
        <v>88.65</v>
      </c>
      <c r="E6" s="616">
        <f>IF(OR(B6&gt;0,C6&gt;0),VLOOKUP(A6,'Lista Suspensa'!$A$1:$F$90,4,),0)</f>
        <v>48.84</v>
      </c>
      <c r="F6" s="616">
        <f>IF(OR(B6&gt;0,C6&gt;0),VLOOKUP(A6,'Lista Suspensa'!$A$1:$F$90,5,),0)</f>
        <v>79.45</v>
      </c>
      <c r="G6" s="587">
        <f>IF(OR(B6&gt;0,C6&gt;0),VLOOKUP(A6,'Lista Suspensa'!$A$1:$F$90,6,),0)</f>
        <v>1.4099900000000001</v>
      </c>
      <c r="H6" s="615">
        <v>5</v>
      </c>
      <c r="I6" s="623">
        <f t="shared" ref="I6:I34" si="12">H6*(J6/100)</f>
        <v>4.4325000000000001</v>
      </c>
      <c r="J6" s="616">
        <f>IF(H6&gt;0,VLOOKUP(A6,'Lista Suspensa'!$A$1:$F$92,3,),0)</f>
        <v>88.65</v>
      </c>
      <c r="K6" s="616">
        <f>IF(OR(H6&gt;0,I6&gt;0),VLOOKUP(A6,'Lista Suspensa'!$A$1:$F$90,4,),0)</f>
        <v>48.84</v>
      </c>
      <c r="L6" s="616">
        <f>IF(OR(H6&gt;0,I6&gt;0),VLOOKUP(A6,'Lista Suspensa'!$A$1:$F$90,5,),0)</f>
        <v>79.45</v>
      </c>
      <c r="M6" s="587">
        <f>IF(OR(H6&gt;0,I6&gt;0),VLOOKUP(A6,'Lista Suspensa'!$A$1:$F$90,6,),0)</f>
        <v>1.4099900000000001</v>
      </c>
      <c r="N6" s="615">
        <v>5</v>
      </c>
      <c r="O6" s="623">
        <f t="shared" si="1"/>
        <v>4.4325000000000001</v>
      </c>
      <c r="P6" s="616">
        <f>IF(N6&gt;0,VLOOKUP(A6,'Lista Suspensa'!$A$1:$F$92,3,),0)</f>
        <v>88.65</v>
      </c>
      <c r="Q6" s="616">
        <f>IF(OR(N6&gt;0,O6&gt;0),VLOOKUP(A6,'Lista Suspensa'!$A$1:$F$90,4,),0)</f>
        <v>48.84</v>
      </c>
      <c r="R6" s="616">
        <f>IF(OR(N6&gt;0,O6&gt;0),VLOOKUP(A6,'Lista Suspensa'!$A$1:$F$90,5,),0)</f>
        <v>79.45</v>
      </c>
      <c r="S6" s="587">
        <f>IF(OR(N6&gt;0,O6&gt;0),VLOOKUP(A6,'Lista Suspensa'!$A$1:$F$90,6,),0)</f>
        <v>1.4099900000000001</v>
      </c>
      <c r="T6" s="615">
        <v>10</v>
      </c>
      <c r="U6" s="623">
        <f t="shared" si="2"/>
        <v>8.8650000000000002</v>
      </c>
      <c r="V6" s="616">
        <f>IF(T6&gt;0,VLOOKUP(A6,'Lista Suspensa'!$A$1:$F$92,3,),0)</f>
        <v>88.65</v>
      </c>
      <c r="W6" s="616">
        <f>IF(OR(T6&gt;0,U6&gt;0),VLOOKUP(A6,'Lista Suspensa'!$A$1:$F$90,4,),0)</f>
        <v>48.84</v>
      </c>
      <c r="X6" s="616">
        <f>IF(OR(T6&gt;0,U6&gt;0),VLOOKUP(A6,'Lista Suspensa'!$A$1:$F$90,5,),0)</f>
        <v>79.45</v>
      </c>
      <c r="Y6" s="587">
        <f>IF(OR(T6&gt;0,U6&gt;0),VLOOKUP(A6,'Lista Suspensa'!$A$1:$F$90,6,),0)</f>
        <v>1.4099900000000001</v>
      </c>
      <c r="Z6" s="615">
        <v>10</v>
      </c>
      <c r="AA6" s="623">
        <f t="shared" si="3"/>
        <v>8.8650000000000002</v>
      </c>
      <c r="AB6" s="616">
        <f>IF(Z6&gt;0,VLOOKUP(A6,'Lista Suspensa'!$A$1:$F$92,3,),0)</f>
        <v>88.65</v>
      </c>
      <c r="AC6" s="616">
        <f>IF(OR(Z6&gt;0,AA6&gt;0),VLOOKUP(A6,'Lista Suspensa'!$A$1:$F$90,4,),0)</f>
        <v>48.84</v>
      </c>
      <c r="AD6" s="616">
        <f>IF(OR(Z6&gt;0,AA6&gt;0),VLOOKUP(A6,'Lista Suspensa'!$A$1:$F$90,5,),0)</f>
        <v>79.45</v>
      </c>
      <c r="AE6" s="587">
        <f>IF(OR(Z6&gt;0,AA6&gt;0),VLOOKUP(A6,'Lista Suspensa'!$A$1:$F$90,6,),0)</f>
        <v>1.4099900000000001</v>
      </c>
      <c r="AF6" s="615">
        <v>10</v>
      </c>
      <c r="AG6" s="623">
        <f t="shared" ref="AG6:AG34" si="13">AF6*(AH6/100)</f>
        <v>8.8650000000000002</v>
      </c>
      <c r="AH6" s="616">
        <f>IF(AF6&gt;0,VLOOKUP(A6,'Lista Suspensa'!$A$1:$F$92,3,),0)</f>
        <v>88.65</v>
      </c>
      <c r="AI6" s="616">
        <f>IF(OR(AF6&gt;0,AG6&gt;0),VLOOKUP(A6,'Lista Suspensa'!$A$1:$F$90,4,),0)</f>
        <v>48.84</v>
      </c>
      <c r="AJ6" s="616">
        <f>IF(OR(AF6&gt;0,AG6&gt;0),VLOOKUP(A6,'Lista Suspensa'!$A$1:$F$90,5,),0)</f>
        <v>79.45</v>
      </c>
      <c r="AK6" s="587">
        <f>IF(OR(AF6&gt;0,AG6&gt;0),VLOOKUP(A6,'Lista Suspensa'!$A$1:$F$90,6,),0)</f>
        <v>1.4099900000000001</v>
      </c>
      <c r="AL6" s="615">
        <v>10</v>
      </c>
      <c r="AM6" s="623">
        <f t="shared" si="4"/>
        <v>8.8650000000000002</v>
      </c>
      <c r="AN6" s="616">
        <f>IF(AL6&gt;0,VLOOKUP(A6,'Lista Suspensa'!$A$1:$F$92,3,),0)</f>
        <v>88.65</v>
      </c>
      <c r="AO6" s="616">
        <f>IF(OR(AL6&gt;0,AM6&gt;0),VLOOKUP(A6,'Lista Suspensa'!$A$1:$F$90,4,),0)</f>
        <v>48.84</v>
      </c>
      <c r="AP6" s="616">
        <f>IF(OR(AL6&gt;0,AM6&gt;0),VLOOKUP(A6,'Lista Suspensa'!$A$1:$F$90,5,),0)</f>
        <v>79.45</v>
      </c>
      <c r="AQ6" s="587">
        <f>IF(OR(AL6&gt;0,AM6&gt;0),VLOOKUP(A6,'Lista Suspensa'!$A$1:$F$90,6,),0)</f>
        <v>1.4099900000000001</v>
      </c>
      <c r="AR6" s="615">
        <v>10</v>
      </c>
      <c r="AS6" s="623">
        <f t="shared" ref="AS6:AS34" si="14">AR6*(AT6/100)</f>
        <v>8.8650000000000002</v>
      </c>
      <c r="AT6" s="616">
        <f>IF(AR6&gt;0,VLOOKUP(A6,'Lista Suspensa'!$A$1:$F$92,3,),0)</f>
        <v>88.65</v>
      </c>
      <c r="AU6" s="616">
        <f>IF(OR(AR6&gt;0,AS6&gt;0),VLOOKUP(A6,'Lista Suspensa'!$A$1:$F$90,4,),0)</f>
        <v>48.84</v>
      </c>
      <c r="AV6" s="616">
        <f>IF(OR(AR6&gt;0,AS6&gt;0),VLOOKUP(A6,'Lista Suspensa'!$A$1:$F$90,5,),0)</f>
        <v>79.45</v>
      </c>
      <c r="AW6" s="586">
        <f>IF(OR(AR6&gt;0,AS6&gt;0),VLOOKUP(A6,'Lista Suspensa'!$A$1:$F$90,6,),0)</f>
        <v>1.4099900000000001</v>
      </c>
      <c r="AX6" s="615">
        <v>10</v>
      </c>
      <c r="AY6" s="623">
        <f t="shared" si="5"/>
        <v>8.8650000000000002</v>
      </c>
      <c r="AZ6" s="616">
        <f>IF(AX6&gt;0,VLOOKUP(A6,'Lista Suspensa'!$A$1:$F$92,3,),0)</f>
        <v>88.65</v>
      </c>
      <c r="BA6" s="616">
        <f>IF(OR(AX6&gt;0,AY6&gt;0),VLOOKUP(A6,'Lista Suspensa'!$A$1:$F$90,4,),0)</f>
        <v>48.84</v>
      </c>
      <c r="BB6" s="616">
        <f>IF(OR(AX6&gt;0,AY6&gt;0),VLOOKUP(A6,'Lista Suspensa'!$A$1:$F$90,5,),0)</f>
        <v>79.45</v>
      </c>
      <c r="BC6" s="586">
        <f>IF(OR(AX6&gt;0,AY6&gt;0),VLOOKUP(A6,'Lista Suspensa'!$A$1:$F$90,6,),0)</f>
        <v>1.4099900000000001</v>
      </c>
      <c r="BD6" s="615">
        <v>10</v>
      </c>
      <c r="BE6" s="623">
        <f t="shared" si="6"/>
        <v>8.8650000000000002</v>
      </c>
      <c r="BF6" s="616">
        <f>IF(BD6&gt;0,VLOOKUP(A6,'Lista Suspensa'!$A$1:$F$92,3,),0)</f>
        <v>88.65</v>
      </c>
      <c r="BG6" s="616">
        <f>IF(OR(BD6&gt;0,BE6&gt;0),VLOOKUP(A6,'Lista Suspensa'!$A$1:$F$90,4,),0)</f>
        <v>48.84</v>
      </c>
      <c r="BH6" s="616">
        <f>IF(OR(BD6&gt;0,BE6&gt;0),VLOOKUP(A6,'Lista Suspensa'!$A$1:$F$90,5,),0)</f>
        <v>79.45</v>
      </c>
      <c r="BI6" s="586">
        <f>IF(OR(BD6&gt;0,BE6&gt;0),VLOOKUP(A6,'Lista Suspensa'!$A$1:$F$90,6,),0)</f>
        <v>1.4099900000000001</v>
      </c>
      <c r="BJ6" s="615">
        <v>10</v>
      </c>
      <c r="BK6" s="623">
        <f t="shared" si="7"/>
        <v>8.8650000000000002</v>
      </c>
      <c r="BL6" s="616">
        <f>IF(BJ6&gt;0,VLOOKUP(A6,'Lista Suspensa'!$A$1:$F$92,3,),0)</f>
        <v>88.65</v>
      </c>
      <c r="BM6" s="616">
        <f>IF(OR(BJ6&gt;0,BK6&gt;0),VLOOKUP(A6,'Lista Suspensa'!$A$1:$F$90,4,),0)</f>
        <v>48.84</v>
      </c>
      <c r="BN6" s="616">
        <f>IF(OR(BJ6&gt;0,BK6&gt;0),VLOOKUP(A6,'Lista Suspensa'!$A$1:$F$90,5,),0)</f>
        <v>79.45</v>
      </c>
      <c r="BO6" s="586">
        <f>IF(OR(BJ6&gt;0,BK6&gt;0),VLOOKUP(A6,'Lista Suspensa'!$A$1:$F$90,6,),0)</f>
        <v>1.4099900000000001</v>
      </c>
      <c r="BP6" s="615">
        <v>10</v>
      </c>
      <c r="BQ6" s="623">
        <f t="shared" si="8"/>
        <v>8.8650000000000002</v>
      </c>
      <c r="BR6" s="616">
        <f>IF(BP6&gt;0,VLOOKUP(A6,'Lista Suspensa'!$A$1:$F$92,3,),0)</f>
        <v>88.65</v>
      </c>
      <c r="BS6" s="616">
        <f>IF(OR(BP6&gt;0,BQ6&gt;0),VLOOKUP(A6,'Lista Suspensa'!$A$1:$F$90,4,),0)</f>
        <v>48.84</v>
      </c>
      <c r="BT6" s="616">
        <f>IF(OR(BP6&gt;0,BQ6&gt;0),VLOOKUP(A6,'Lista Suspensa'!$A$1:$F$90,5,),0)</f>
        <v>79.45</v>
      </c>
      <c r="BU6" s="586">
        <f>IF(OR(BP6&gt;0,BQ6&gt;0),VLOOKUP(A6,'Lista Suspensa'!$A$1:$F$90,6,),0)</f>
        <v>1.4099900000000001</v>
      </c>
      <c r="BV6" s="615">
        <v>10</v>
      </c>
      <c r="BW6" s="623">
        <f t="shared" si="9"/>
        <v>8.8650000000000002</v>
      </c>
      <c r="BX6" s="616">
        <f>IF(BV6&gt;0,VLOOKUP(A6,'Lista Suspensa'!$A$1:$F$92,3,),0)</f>
        <v>88.65</v>
      </c>
      <c r="BY6" s="616">
        <f>IF(OR(BV6&gt;0,BW6&gt;0),VLOOKUP(A6,'Lista Suspensa'!$A$1:$F$90,4,),0)</f>
        <v>48.84</v>
      </c>
      <c r="BZ6" s="616">
        <f>IF(OR(BV6&gt;0,BW6&gt;0),VLOOKUP(A6,'Lista Suspensa'!$A$1:$F$90,5,),0)</f>
        <v>79.45</v>
      </c>
      <c r="CA6" s="586">
        <f>IF(OR(BV6&gt;0,BW6&gt;0),VLOOKUP(A6,'Lista Suspensa'!$A$1:$F$90,6,),0)</f>
        <v>1.4099900000000001</v>
      </c>
      <c r="CB6" s="615">
        <v>10</v>
      </c>
      <c r="CC6" s="623">
        <f t="shared" si="10"/>
        <v>8.8650000000000002</v>
      </c>
      <c r="CD6" s="616">
        <f>IF(CB6&gt;0,VLOOKUP(A6,'Lista Suspensa'!$A$1:$F$92,3,),0)</f>
        <v>88.65</v>
      </c>
      <c r="CE6" s="616">
        <f>IF(OR(CB6&gt;0,CC6&gt;0),VLOOKUP(A6,'Lista Suspensa'!$A$1:$F$90,4,),0)</f>
        <v>48.84</v>
      </c>
      <c r="CF6" s="616">
        <f>IF(OR(CB6&gt;0,CC6&gt;0),VLOOKUP(A6,'Lista Suspensa'!$A$1:$F$90,5,),0)</f>
        <v>79.45</v>
      </c>
      <c r="CG6" s="586">
        <f>IF(OR(CB6&gt;0,CC6&gt;0),VLOOKUP(A6,'Lista Suspensa'!$A$1:$F$90,6,),0)</f>
        <v>1.4099900000000001</v>
      </c>
      <c r="CH6" s="615">
        <v>5</v>
      </c>
      <c r="CI6" s="623">
        <f t="shared" si="11"/>
        <v>4.4325000000000001</v>
      </c>
      <c r="CJ6" s="616">
        <f>IF(CH6&gt;0,VLOOKUP(A6,'Lista Suspensa'!$A$1:$F$92,3,),0)</f>
        <v>88.65</v>
      </c>
      <c r="CK6" s="616">
        <f>IF(OR(CH6&gt;0,CI6&gt;0),VLOOKUP(A6,'Lista Suspensa'!$A$1:$F$90,4,),0)</f>
        <v>48.84</v>
      </c>
      <c r="CL6" s="616">
        <f>IF(OR(CH6&gt;0,CI6&gt;0),VLOOKUP(A6,'Lista Suspensa'!$A$1:$F$90,5,),0)</f>
        <v>79.45</v>
      </c>
      <c r="CM6" s="637">
        <f>IF(OR(CH6&gt;0,CI6&gt;0),VLOOKUP(A6,'Lista Suspensa'!$A$1:$F$90,6,),0)</f>
        <v>1.4099900000000001</v>
      </c>
      <c r="CN6" s="642"/>
      <c r="CO6" s="403">
        <f t="shared" ref="CO6:CO34" si="15">CN6*(CP6/100)</f>
        <v>0</v>
      </c>
      <c r="CP6" s="756">
        <f>IF(CN6&gt;0,VLOOKUP(A6,'Lista Suspensa'!$A$1:$F$92,3,),0)</f>
        <v>0</v>
      </c>
      <c r="CQ6" s="643">
        <f>IF(OR(CN6&gt;0,CO6&gt;0),VLOOKUP(A6,'Lista Suspensa'!$A$1:$F$90,6,),0)</f>
        <v>0</v>
      </c>
      <c r="CR6" s="628"/>
      <c r="CS6" s="633"/>
      <c r="CT6" s="633"/>
      <c r="CU6" s="628"/>
      <c r="CV6" s="628"/>
      <c r="CW6" s="628"/>
      <c r="CX6" s="628"/>
      <c r="CY6" s="628"/>
      <c r="CZ6" s="628"/>
      <c r="DA6" s="628"/>
      <c r="DB6" s="628"/>
      <c r="DC6" s="628"/>
      <c r="DD6" s="628"/>
      <c r="DE6" s="628"/>
      <c r="DF6" s="628"/>
      <c r="DG6" s="628"/>
      <c r="DH6" s="628"/>
      <c r="DI6" s="583"/>
      <c r="DJ6" s="583"/>
      <c r="DK6" s="583"/>
      <c r="DL6" s="583"/>
      <c r="DM6" s="583"/>
      <c r="DN6" s="583"/>
      <c r="DO6" s="583"/>
      <c r="DP6" s="583"/>
      <c r="DQ6" s="583"/>
      <c r="DR6" s="583"/>
      <c r="DS6" s="583"/>
      <c r="DT6" s="583"/>
      <c r="DU6" s="583"/>
      <c r="DV6" s="583"/>
      <c r="DW6" s="583"/>
      <c r="DX6" s="583"/>
      <c r="DY6" s="583"/>
      <c r="DZ6" s="583"/>
      <c r="EA6" s="583"/>
      <c r="EB6" s="583"/>
      <c r="EC6" s="583"/>
      <c r="ED6" s="583"/>
      <c r="EE6" s="583"/>
      <c r="EF6" s="583"/>
      <c r="EG6" s="583"/>
      <c r="EH6" s="583"/>
      <c r="EI6" s="583"/>
      <c r="EJ6" s="583"/>
      <c r="EK6" s="583"/>
      <c r="EL6" s="583"/>
      <c r="EM6" s="583"/>
      <c r="EN6" s="583"/>
      <c r="EO6" s="583"/>
      <c r="EP6" s="583"/>
      <c r="EQ6" s="583"/>
      <c r="ER6" s="583"/>
      <c r="ES6" s="583"/>
      <c r="ET6" s="583"/>
      <c r="EU6" s="583"/>
      <c r="EV6" s="583"/>
      <c r="EW6" s="583"/>
      <c r="EX6" s="583"/>
      <c r="EY6" s="583"/>
      <c r="EZ6" s="583"/>
      <c r="FA6" s="583"/>
      <c r="FB6" s="583"/>
      <c r="FC6" s="583"/>
      <c r="FD6" s="583"/>
      <c r="FE6" s="583"/>
      <c r="FF6" s="583"/>
      <c r="FG6" s="583"/>
      <c r="FH6" s="583"/>
      <c r="FI6" s="583"/>
      <c r="FJ6" s="583"/>
      <c r="FK6" s="583"/>
      <c r="FL6" s="583"/>
      <c r="FM6" s="583"/>
      <c r="FN6" s="583"/>
      <c r="FO6" s="583"/>
      <c r="FP6" s="583"/>
      <c r="FQ6" s="583"/>
      <c r="FR6" s="583"/>
      <c r="FS6" s="583"/>
      <c r="FT6" s="583"/>
      <c r="FU6" s="583"/>
      <c r="FV6" s="583"/>
      <c r="FW6" s="583"/>
      <c r="FX6" s="583"/>
      <c r="FY6" s="583"/>
      <c r="FZ6" s="583"/>
      <c r="GA6" s="583"/>
      <c r="GB6" s="583"/>
      <c r="GC6" s="583"/>
      <c r="GD6" s="583"/>
      <c r="GE6" s="583"/>
      <c r="GF6" s="583"/>
      <c r="GG6" s="583"/>
      <c r="GH6" s="583"/>
      <c r="GI6" s="583"/>
      <c r="GJ6" s="583"/>
      <c r="GK6" s="583"/>
      <c r="GL6" s="583"/>
      <c r="GM6" s="583"/>
      <c r="GN6" s="583"/>
      <c r="GO6" s="583"/>
      <c r="GP6" s="583"/>
      <c r="GQ6" s="583"/>
      <c r="GR6" s="583"/>
      <c r="GS6" s="583"/>
      <c r="GT6" s="583"/>
      <c r="GU6" s="583"/>
      <c r="GV6" s="583"/>
      <c r="GW6" s="583"/>
      <c r="GX6" s="583"/>
      <c r="GY6" s="583"/>
      <c r="GZ6" s="583"/>
      <c r="HA6" s="583"/>
      <c r="HB6" s="583"/>
      <c r="HC6" s="583"/>
      <c r="HD6" s="583"/>
      <c r="HE6" s="583"/>
      <c r="HF6" s="583"/>
      <c r="HG6" s="583"/>
      <c r="HH6" s="583"/>
      <c r="HI6" s="583"/>
      <c r="HJ6" s="583"/>
      <c r="HK6" s="583"/>
      <c r="HL6" s="583"/>
      <c r="HM6" s="583"/>
      <c r="HN6" s="583"/>
      <c r="HO6" s="583"/>
      <c r="HP6" s="583"/>
      <c r="HQ6" s="583"/>
      <c r="HR6" s="583"/>
      <c r="HS6" s="583"/>
      <c r="HT6" s="583"/>
      <c r="HU6" s="583"/>
      <c r="HV6" s="583"/>
      <c r="HW6" s="583"/>
      <c r="HX6" s="583"/>
      <c r="HY6" s="583"/>
      <c r="HZ6" s="583"/>
      <c r="IA6" s="583"/>
      <c r="IB6" s="583"/>
      <c r="IC6" s="583"/>
      <c r="ID6" s="583"/>
      <c r="IE6" s="583"/>
      <c r="IF6" s="583"/>
      <c r="IG6" s="583"/>
      <c r="IH6" s="583"/>
      <c r="II6" s="583"/>
      <c r="IJ6" s="583"/>
      <c r="IK6" s="583"/>
      <c r="IL6" s="583"/>
      <c r="IM6" s="583"/>
      <c r="IN6" s="583"/>
      <c r="IO6" s="583"/>
      <c r="IP6" s="583"/>
      <c r="IQ6" s="583"/>
      <c r="IR6" s="583"/>
      <c r="IS6" s="583"/>
      <c r="IT6" s="583"/>
      <c r="IU6" s="583"/>
      <c r="IV6" s="583"/>
      <c r="IW6" s="583"/>
      <c r="IX6" s="583"/>
      <c r="IY6" s="583"/>
      <c r="IZ6" s="583"/>
      <c r="JA6" s="583"/>
      <c r="JB6" s="583"/>
      <c r="JC6" s="583"/>
      <c r="JD6" s="583"/>
      <c r="JE6" s="583"/>
      <c r="JF6" s="583"/>
      <c r="JG6" s="583"/>
      <c r="JH6" s="583"/>
      <c r="JI6" s="583"/>
      <c r="JJ6" s="583"/>
      <c r="JK6" s="583"/>
      <c r="JL6" s="583"/>
      <c r="JM6" s="583"/>
      <c r="JN6" s="583"/>
      <c r="JO6" s="583"/>
      <c r="JP6" s="583"/>
      <c r="JQ6" s="583"/>
      <c r="JR6" s="583"/>
      <c r="JS6" s="583"/>
      <c r="JT6" s="583"/>
      <c r="JU6" s="583"/>
      <c r="JV6" s="583"/>
      <c r="JW6" s="583"/>
      <c r="JX6" s="583"/>
      <c r="JY6" s="583"/>
      <c r="JZ6" s="583"/>
      <c r="KA6" s="583"/>
      <c r="KB6" s="583"/>
      <c r="KC6" s="583"/>
      <c r="KD6" s="583"/>
      <c r="KE6" s="583"/>
      <c r="KF6" s="583"/>
      <c r="KG6" s="583"/>
      <c r="KH6" s="583"/>
      <c r="KI6" s="583"/>
      <c r="KJ6" s="583"/>
      <c r="KK6" s="583"/>
      <c r="KL6" s="583"/>
      <c r="KM6" s="583"/>
      <c r="KN6" s="583"/>
      <c r="KO6" s="583"/>
      <c r="KP6" s="583"/>
      <c r="KQ6" s="583"/>
      <c r="KR6" s="583"/>
      <c r="KS6" s="583"/>
      <c r="KT6" s="583"/>
      <c r="KU6" s="583"/>
      <c r="KV6" s="583"/>
      <c r="KW6" s="583"/>
      <c r="KX6" s="583"/>
      <c r="KY6" s="583"/>
      <c r="KZ6" s="583"/>
      <c r="LA6" s="583"/>
      <c r="LB6" s="583"/>
      <c r="LC6" s="583"/>
      <c r="LD6" s="583"/>
      <c r="LE6" s="583"/>
      <c r="LF6" s="583"/>
      <c r="LG6" s="583"/>
      <c r="LH6" s="583"/>
      <c r="LI6" s="583"/>
      <c r="LJ6" s="583"/>
      <c r="LK6" s="583"/>
      <c r="LL6" s="583"/>
      <c r="LM6" s="583"/>
      <c r="LN6" s="583"/>
      <c r="LO6" s="583"/>
      <c r="LP6" s="583"/>
      <c r="LQ6" s="583"/>
      <c r="LR6" s="583"/>
      <c r="LS6" s="583"/>
      <c r="LT6" s="583"/>
      <c r="LU6" s="583"/>
      <c r="LV6" s="583"/>
      <c r="LW6" s="583"/>
      <c r="LX6" s="583"/>
      <c r="LY6" s="583"/>
      <c r="LZ6" s="583"/>
      <c r="MA6" s="583"/>
      <c r="MB6" s="583"/>
      <c r="MC6" s="583"/>
      <c r="MD6" s="583"/>
      <c r="ME6" s="583"/>
      <c r="MF6" s="583"/>
      <c r="MG6" s="583"/>
      <c r="MH6" s="583"/>
      <c r="MI6" s="583"/>
      <c r="MJ6" s="583"/>
      <c r="MK6" s="583"/>
      <c r="ML6" s="583"/>
      <c r="MM6" s="583"/>
      <c r="MN6" s="583"/>
      <c r="MO6" s="583"/>
      <c r="MP6" s="583"/>
      <c r="MQ6" s="583"/>
      <c r="MR6" s="583"/>
      <c r="MS6" s="583"/>
      <c r="MT6" s="583"/>
      <c r="MU6" s="583"/>
      <c r="MV6" s="583"/>
      <c r="MW6" s="583"/>
      <c r="MX6" s="583"/>
      <c r="MY6" s="583"/>
      <c r="MZ6" s="583"/>
      <c r="NA6" s="583"/>
      <c r="NB6" s="583"/>
      <c r="NC6" s="583"/>
      <c r="ND6" s="583"/>
      <c r="NE6" s="583"/>
      <c r="NF6" s="583"/>
      <c r="NG6" s="583"/>
      <c r="NH6" s="583"/>
      <c r="NI6" s="583"/>
      <c r="NJ6" s="583"/>
      <c r="NK6" s="583"/>
      <c r="NL6" s="583"/>
      <c r="NM6" s="583"/>
      <c r="NN6" s="583"/>
      <c r="NO6" s="583"/>
      <c r="NP6" s="583"/>
      <c r="NQ6" s="583"/>
      <c r="NR6" s="583"/>
      <c r="NS6" s="583"/>
      <c r="NT6" s="583"/>
      <c r="NU6" s="583"/>
      <c r="NV6" s="583"/>
      <c r="NW6" s="583"/>
      <c r="NX6" s="583"/>
      <c r="NY6" s="583"/>
      <c r="NZ6" s="583"/>
      <c r="OA6" s="583"/>
      <c r="OB6" s="583"/>
      <c r="OC6" s="583"/>
      <c r="OD6" s="583"/>
      <c r="OE6" s="583"/>
      <c r="OF6" s="583"/>
      <c r="OG6" s="583"/>
      <c r="OH6" s="583"/>
      <c r="OI6" s="583"/>
      <c r="OJ6" s="583"/>
      <c r="OK6" s="583"/>
      <c r="OL6" s="583"/>
      <c r="OM6" s="583"/>
      <c r="ON6" s="583"/>
      <c r="OO6" s="583"/>
      <c r="OP6" s="583"/>
      <c r="OQ6" s="583"/>
      <c r="OR6" s="583"/>
      <c r="OS6" s="583"/>
      <c r="OT6" s="583"/>
      <c r="OU6" s="583"/>
      <c r="OV6" s="583"/>
      <c r="OW6" s="583"/>
      <c r="OX6" s="583"/>
      <c r="OY6" s="583"/>
      <c r="OZ6" s="583"/>
      <c r="PA6" s="583"/>
      <c r="PB6" s="583"/>
      <c r="PC6" s="583"/>
      <c r="PD6" s="583"/>
      <c r="PE6" s="583"/>
      <c r="PF6" s="583"/>
      <c r="PG6" s="583"/>
      <c r="PH6" s="583"/>
      <c r="PI6" s="583"/>
      <c r="PJ6" s="583"/>
      <c r="PK6" s="583"/>
      <c r="PL6" s="583"/>
      <c r="PM6" s="583"/>
      <c r="PN6" s="583"/>
      <c r="PO6" s="583"/>
      <c r="PP6" s="583"/>
      <c r="PQ6" s="583"/>
      <c r="PR6" s="583"/>
      <c r="PS6" s="583"/>
      <c r="PT6" s="583"/>
      <c r="PU6" s="583"/>
      <c r="PV6" s="583"/>
      <c r="PW6" s="583"/>
      <c r="PX6" s="583"/>
      <c r="PY6" s="583"/>
      <c r="PZ6" s="583"/>
      <c r="QA6" s="583"/>
      <c r="QB6" s="583"/>
      <c r="QC6" s="583"/>
      <c r="QD6" s="583"/>
      <c r="QE6" s="583"/>
      <c r="QF6" s="583"/>
      <c r="QG6" s="583"/>
      <c r="QH6" s="583"/>
      <c r="QI6" s="583"/>
      <c r="QJ6" s="583"/>
      <c r="QK6" s="583"/>
      <c r="QL6" s="583"/>
      <c r="QM6" s="583"/>
      <c r="QN6" s="583"/>
      <c r="QO6" s="583"/>
      <c r="QP6" s="583"/>
      <c r="QQ6" s="583"/>
      <c r="QR6" s="583"/>
      <c r="QS6" s="583"/>
      <c r="QT6" s="583"/>
      <c r="QU6" s="583"/>
      <c r="QV6" s="583"/>
      <c r="QW6" s="583"/>
      <c r="QX6" s="583"/>
      <c r="QY6" s="583"/>
      <c r="QZ6" s="583"/>
      <c r="RA6" s="583"/>
      <c r="RB6" s="583"/>
      <c r="RC6" s="583"/>
      <c r="RD6" s="583"/>
      <c r="RE6" s="583"/>
      <c r="RF6" s="583"/>
      <c r="RG6" s="583"/>
      <c r="RH6" s="583"/>
      <c r="RI6" s="583"/>
      <c r="RJ6" s="583"/>
      <c r="RK6" s="583"/>
      <c r="RL6" s="583"/>
      <c r="RM6" s="583"/>
      <c r="RN6" s="583"/>
      <c r="RO6" s="583"/>
      <c r="RP6" s="583"/>
      <c r="RQ6" s="583"/>
      <c r="RR6" s="583"/>
      <c r="RS6" s="583"/>
      <c r="RT6" s="583"/>
      <c r="RU6" s="583"/>
      <c r="RV6" s="583"/>
      <c r="RW6" s="583"/>
      <c r="RX6" s="583"/>
      <c r="RY6" s="583"/>
      <c r="RZ6" s="583"/>
      <c r="SA6" s="583"/>
      <c r="SB6" s="583"/>
      <c r="SC6" s="583"/>
      <c r="SD6" s="583"/>
      <c r="SE6" s="583"/>
      <c r="SF6" s="583"/>
      <c r="SG6" s="583"/>
      <c r="SH6" s="583"/>
      <c r="SI6" s="583"/>
      <c r="SJ6" s="583"/>
      <c r="SK6" s="583"/>
      <c r="SL6" s="583"/>
      <c r="SM6" s="583"/>
      <c r="SN6" s="583"/>
      <c r="SO6" s="583"/>
      <c r="SP6" s="583"/>
      <c r="SQ6" s="583"/>
      <c r="SR6" s="583"/>
      <c r="SS6" s="583"/>
      <c r="ST6" s="583"/>
      <c r="SU6" s="583"/>
      <c r="SV6" s="583"/>
      <c r="SW6" s="583"/>
      <c r="SX6" s="583"/>
      <c r="SY6" s="583"/>
      <c r="SZ6" s="583"/>
      <c r="TA6" s="583"/>
      <c r="TB6" s="583"/>
      <c r="TC6" s="583"/>
      <c r="TD6" s="583"/>
      <c r="TE6" s="583"/>
      <c r="TF6" s="583"/>
      <c r="TG6" s="583"/>
      <c r="TH6" s="583"/>
      <c r="TI6" s="583"/>
      <c r="TJ6" s="583"/>
      <c r="TK6" s="583"/>
      <c r="TL6" s="583"/>
      <c r="TM6" s="583"/>
      <c r="TN6" s="583"/>
      <c r="TO6" s="583"/>
      <c r="TP6" s="583"/>
      <c r="TQ6" s="583"/>
      <c r="TR6" s="583"/>
      <c r="TS6" s="583"/>
      <c r="TT6" s="583"/>
      <c r="TU6" s="583"/>
      <c r="TV6" s="583"/>
      <c r="TW6" s="583"/>
      <c r="TX6" s="583"/>
      <c r="TY6" s="583"/>
      <c r="TZ6" s="583"/>
      <c r="UA6" s="583"/>
      <c r="UB6" s="583"/>
      <c r="UC6" s="583"/>
      <c r="UD6" s="583"/>
      <c r="UE6" s="583"/>
      <c r="UF6" s="583"/>
      <c r="UG6" s="583"/>
      <c r="UH6" s="583"/>
      <c r="UI6" s="583"/>
      <c r="UJ6" s="583"/>
      <c r="UK6" s="583"/>
      <c r="UL6" s="583"/>
      <c r="UM6" s="583"/>
      <c r="UN6" s="583"/>
      <c r="UO6" s="583"/>
      <c r="UP6" s="583"/>
      <c r="UQ6" s="583"/>
      <c r="UR6" s="583"/>
      <c r="US6" s="583"/>
      <c r="UT6" s="583"/>
      <c r="UU6" s="583"/>
      <c r="UV6" s="583"/>
      <c r="UW6" s="583"/>
      <c r="UX6" s="583"/>
      <c r="UY6" s="583"/>
      <c r="UZ6" s="583"/>
      <c r="VA6" s="583"/>
      <c r="VB6" s="583"/>
      <c r="VC6" s="583"/>
      <c r="VD6" s="583"/>
      <c r="VE6" s="583"/>
      <c r="VF6" s="583"/>
      <c r="VG6" s="583"/>
      <c r="VH6" s="583"/>
      <c r="VI6" s="583"/>
      <c r="VJ6" s="583"/>
      <c r="VK6" s="583"/>
      <c r="VL6" s="583"/>
      <c r="VM6" s="583"/>
      <c r="VN6" s="583"/>
      <c r="VO6" s="583"/>
      <c r="VP6" s="583"/>
      <c r="VQ6" s="583"/>
      <c r="VR6" s="583"/>
      <c r="VS6" s="583"/>
      <c r="VT6" s="583"/>
      <c r="VU6" s="583"/>
      <c r="VV6" s="583"/>
      <c r="VW6" s="583"/>
      <c r="VX6" s="583"/>
      <c r="VY6" s="583"/>
      <c r="VZ6" s="583"/>
      <c r="WA6" s="583"/>
      <c r="WB6" s="583"/>
      <c r="WC6" s="583"/>
      <c r="WD6" s="583"/>
      <c r="WE6" s="583"/>
      <c r="WF6" s="583"/>
      <c r="WG6" s="583"/>
      <c r="WH6" s="583"/>
      <c r="WI6" s="583"/>
      <c r="WJ6" s="583"/>
      <c r="WK6" s="583"/>
      <c r="WL6" s="583"/>
      <c r="WM6" s="583"/>
      <c r="WN6" s="583"/>
      <c r="WO6" s="583"/>
      <c r="WP6" s="583"/>
      <c r="WQ6" s="583"/>
      <c r="WR6" s="583"/>
      <c r="WS6" s="583"/>
      <c r="WT6" s="583"/>
      <c r="WU6" s="583"/>
      <c r="WV6" s="583"/>
      <c r="WW6" s="583"/>
      <c r="WX6" s="583"/>
      <c r="WY6" s="583"/>
      <c r="WZ6" s="583"/>
      <c r="XA6" s="583"/>
      <c r="XB6" s="583"/>
      <c r="XC6" s="583"/>
      <c r="XD6" s="583"/>
      <c r="XE6" s="583"/>
      <c r="XF6" s="583"/>
      <c r="XG6" s="583"/>
      <c r="XH6" s="583"/>
      <c r="XI6" s="583"/>
      <c r="XJ6" s="583"/>
      <c r="XK6" s="583"/>
      <c r="XL6" s="583"/>
      <c r="XM6" s="583"/>
      <c r="XN6" s="583"/>
      <c r="XO6" s="583"/>
      <c r="XP6" s="583"/>
      <c r="XQ6" s="583"/>
      <c r="XR6" s="583"/>
      <c r="XS6" s="583"/>
      <c r="XT6" s="583"/>
      <c r="XU6" s="583"/>
      <c r="XV6" s="583"/>
      <c r="XW6" s="583"/>
      <c r="XX6" s="583"/>
      <c r="XY6" s="583"/>
      <c r="XZ6" s="583"/>
      <c r="YA6" s="583"/>
      <c r="YB6" s="583"/>
      <c r="YC6" s="583"/>
      <c r="YD6" s="583"/>
      <c r="YE6" s="583"/>
      <c r="YF6" s="583"/>
      <c r="YG6" s="583"/>
      <c r="YH6" s="583"/>
      <c r="YI6" s="583"/>
      <c r="YJ6" s="583"/>
      <c r="YK6" s="583"/>
      <c r="YL6" s="583"/>
      <c r="YM6" s="583"/>
      <c r="YN6" s="583"/>
      <c r="YO6" s="583"/>
      <c r="YP6" s="583"/>
      <c r="YQ6" s="583"/>
      <c r="YR6" s="583"/>
      <c r="YS6" s="583"/>
      <c r="YT6" s="583"/>
      <c r="YU6" s="583"/>
      <c r="YV6" s="583"/>
      <c r="YW6" s="583"/>
      <c r="YX6" s="583"/>
      <c r="YY6" s="583"/>
      <c r="YZ6" s="583"/>
      <c r="ZA6" s="583"/>
      <c r="ZB6" s="583"/>
      <c r="ZC6" s="583"/>
      <c r="ZD6" s="583"/>
      <c r="ZE6" s="583"/>
      <c r="ZF6" s="583"/>
      <c r="ZG6" s="583"/>
      <c r="ZH6" s="583"/>
      <c r="ZI6" s="583"/>
      <c r="ZJ6" s="583"/>
      <c r="ZK6" s="583"/>
      <c r="ZL6" s="583"/>
      <c r="ZM6" s="583"/>
      <c r="ZN6" s="583"/>
      <c r="ZO6" s="583"/>
      <c r="ZP6" s="583"/>
      <c r="ZQ6" s="583"/>
      <c r="ZR6" s="583"/>
      <c r="ZS6" s="583"/>
      <c r="ZT6" s="583"/>
      <c r="ZU6" s="583"/>
      <c r="ZV6" s="583"/>
      <c r="ZW6" s="583"/>
      <c r="ZX6" s="583"/>
      <c r="ZY6" s="583"/>
      <c r="ZZ6" s="583"/>
      <c r="AAA6" s="583"/>
      <c r="AAB6" s="583"/>
      <c r="AAC6" s="583"/>
      <c r="AAD6" s="583"/>
      <c r="AAE6" s="583"/>
      <c r="AAF6" s="583"/>
      <c r="AAG6" s="583"/>
      <c r="AAH6" s="583"/>
      <c r="AAI6" s="583"/>
      <c r="AAJ6" s="583"/>
      <c r="AAK6" s="583"/>
      <c r="AAL6" s="583"/>
      <c r="AAM6" s="583"/>
      <c r="AAN6" s="583"/>
      <c r="AAO6" s="583"/>
      <c r="AAP6" s="583"/>
      <c r="AAQ6" s="583"/>
      <c r="AAR6" s="583"/>
      <c r="AAS6" s="583"/>
      <c r="AAT6" s="583"/>
      <c r="AAU6" s="583"/>
      <c r="AAV6" s="583"/>
      <c r="AAW6" s="583"/>
      <c r="AAX6" s="583"/>
      <c r="AAY6" s="583"/>
      <c r="AAZ6" s="583"/>
      <c r="ABA6" s="583"/>
      <c r="ABB6" s="583"/>
      <c r="ABC6" s="583"/>
      <c r="ABD6" s="583"/>
      <c r="ABE6" s="583"/>
      <c r="ABF6" s="583"/>
      <c r="ABG6" s="583"/>
      <c r="ABH6" s="583"/>
      <c r="ABI6" s="583"/>
      <c r="ABJ6" s="583"/>
      <c r="ABK6" s="583"/>
      <c r="ABL6" s="583"/>
      <c r="ABM6" s="583"/>
      <c r="ABN6" s="583"/>
      <c r="ABO6" s="583"/>
      <c r="ABP6" s="583"/>
      <c r="ABQ6" s="583"/>
      <c r="ABR6" s="583"/>
      <c r="ABS6" s="583"/>
      <c r="ABT6" s="583"/>
      <c r="ABU6" s="583"/>
      <c r="ABV6" s="583"/>
      <c r="ABW6" s="583"/>
      <c r="ABX6" s="583"/>
      <c r="ABY6" s="583"/>
      <c r="ABZ6" s="583"/>
      <c r="ACA6" s="583"/>
      <c r="ACB6" s="583"/>
      <c r="ACC6" s="583"/>
      <c r="ACD6" s="583"/>
      <c r="ACE6" s="583"/>
      <c r="ACF6" s="583"/>
      <c r="ACG6" s="583"/>
      <c r="ACH6" s="583"/>
      <c r="ACI6" s="583"/>
      <c r="ACJ6" s="583"/>
      <c r="ACK6" s="583"/>
      <c r="ACL6" s="583"/>
      <c r="ACM6" s="583"/>
      <c r="ACN6" s="583"/>
      <c r="ACO6" s="583"/>
      <c r="ACP6" s="583"/>
      <c r="ACQ6" s="583"/>
      <c r="ACR6" s="583"/>
      <c r="ACS6" s="583"/>
      <c r="ACT6" s="583"/>
      <c r="ACU6" s="583"/>
      <c r="ACV6" s="583"/>
      <c r="ACW6" s="583"/>
      <c r="ACX6" s="583"/>
      <c r="ACY6" s="583"/>
      <c r="ACZ6" s="583"/>
      <c r="ADA6" s="583"/>
      <c r="ADB6" s="583"/>
      <c r="ADC6" s="583"/>
      <c r="ADD6" s="583"/>
      <c r="ADE6" s="583"/>
      <c r="ADF6" s="583"/>
      <c r="ADG6" s="583"/>
      <c r="ADH6" s="583"/>
      <c r="ADI6" s="583"/>
      <c r="ADJ6" s="583"/>
      <c r="ADK6" s="583"/>
      <c r="ADL6" s="583"/>
      <c r="ADM6" s="583"/>
      <c r="ADN6" s="583"/>
      <c r="ADO6" s="583"/>
      <c r="ADP6" s="583"/>
      <c r="ADQ6" s="583"/>
      <c r="ADR6" s="583"/>
      <c r="ADS6" s="583"/>
      <c r="ADT6" s="583"/>
      <c r="ADU6" s="583"/>
      <c r="ADV6" s="583"/>
      <c r="ADW6" s="583"/>
      <c r="ADX6" s="583"/>
      <c r="ADY6" s="583"/>
      <c r="ADZ6" s="583"/>
      <c r="AEA6" s="583"/>
      <c r="AEB6" s="583"/>
      <c r="AEC6" s="583"/>
      <c r="AED6" s="583"/>
      <c r="AEE6" s="583"/>
      <c r="AEF6" s="583"/>
      <c r="AEG6" s="583"/>
      <c r="AEH6" s="583"/>
      <c r="AEI6" s="583"/>
      <c r="AEJ6" s="583"/>
      <c r="AEK6" s="583"/>
      <c r="AEL6" s="583"/>
      <c r="AEM6" s="583"/>
      <c r="AEN6" s="583"/>
      <c r="AEO6" s="583"/>
      <c r="AEP6" s="583"/>
      <c r="AEQ6" s="583"/>
      <c r="AER6" s="583"/>
      <c r="AES6" s="583"/>
      <c r="AET6" s="583"/>
      <c r="AEU6" s="583"/>
      <c r="AEV6" s="583"/>
      <c r="AEW6" s="583"/>
      <c r="AEX6" s="583"/>
      <c r="AEY6" s="583"/>
      <c r="AEZ6" s="583"/>
      <c r="AFA6" s="583"/>
      <c r="AFB6" s="583"/>
      <c r="AFC6" s="583"/>
      <c r="AFD6" s="583"/>
      <c r="AFE6" s="583"/>
      <c r="AFF6" s="583"/>
      <c r="AFG6" s="583"/>
      <c r="AFH6" s="583"/>
      <c r="AFI6" s="583"/>
      <c r="AFJ6" s="583"/>
      <c r="AFK6" s="583"/>
      <c r="AFL6" s="583"/>
      <c r="AFM6" s="583"/>
      <c r="AFN6" s="583"/>
      <c r="AFO6" s="583"/>
      <c r="AFP6" s="583"/>
      <c r="AFQ6" s="583"/>
      <c r="AFR6" s="583"/>
      <c r="AFS6" s="583"/>
      <c r="AFT6" s="583"/>
      <c r="AFU6" s="583"/>
      <c r="AFV6" s="583"/>
      <c r="AFW6" s="583"/>
      <c r="AFX6" s="583"/>
      <c r="AFY6" s="583"/>
      <c r="AFZ6" s="583"/>
      <c r="AGA6" s="583"/>
      <c r="AGB6" s="583"/>
      <c r="AGC6" s="583"/>
      <c r="AGD6" s="583"/>
      <c r="AGE6" s="583"/>
      <c r="AGF6" s="583"/>
      <c r="AGG6" s="583"/>
      <c r="AGH6" s="583"/>
      <c r="AGI6" s="583"/>
      <c r="AGJ6" s="583"/>
      <c r="AGK6" s="583"/>
      <c r="AGL6" s="583"/>
      <c r="AGM6" s="583"/>
      <c r="AGN6" s="583"/>
      <c r="AGO6" s="583"/>
      <c r="AGP6" s="583"/>
      <c r="AGQ6" s="583"/>
      <c r="AGR6" s="583"/>
      <c r="AGS6" s="583"/>
      <c r="AGT6" s="583"/>
      <c r="AGU6" s="583"/>
      <c r="AGV6" s="583"/>
      <c r="AGW6" s="583"/>
      <c r="AGX6" s="583"/>
      <c r="AGY6" s="583"/>
      <c r="AGZ6" s="583"/>
      <c r="AHA6" s="583"/>
      <c r="AHB6" s="583"/>
      <c r="AHC6" s="583"/>
      <c r="AHD6" s="583"/>
      <c r="AHE6" s="583"/>
      <c r="AHF6" s="583"/>
      <c r="AHG6" s="583"/>
      <c r="AHH6" s="583"/>
      <c r="AHI6" s="583"/>
      <c r="AHJ6" s="583"/>
      <c r="AHK6" s="583"/>
      <c r="AHL6" s="583"/>
      <c r="AHM6" s="583"/>
      <c r="AHN6" s="583"/>
      <c r="AHO6" s="583"/>
      <c r="AHP6" s="583"/>
      <c r="AHQ6" s="583"/>
      <c r="AHR6" s="583"/>
      <c r="AHS6" s="583"/>
      <c r="AHT6" s="583"/>
      <c r="AHU6" s="583"/>
      <c r="AHV6" s="583"/>
      <c r="AHW6" s="583"/>
      <c r="AHX6" s="583"/>
      <c r="AHY6" s="583"/>
      <c r="AHZ6" s="583"/>
      <c r="AIA6" s="583"/>
      <c r="AIB6" s="583"/>
      <c r="AIC6" s="583"/>
      <c r="AID6" s="583"/>
      <c r="AIE6" s="583"/>
      <c r="AIF6" s="583"/>
      <c r="AIG6" s="583"/>
      <c r="AIH6" s="583"/>
      <c r="AII6" s="583"/>
      <c r="AIJ6" s="583"/>
      <c r="AIK6" s="583"/>
      <c r="AIL6" s="583"/>
      <c r="AIM6" s="583"/>
      <c r="AIN6" s="583"/>
      <c r="AIO6" s="583"/>
      <c r="AIP6" s="583"/>
      <c r="AIQ6" s="583"/>
      <c r="AIR6" s="583"/>
      <c r="AIS6" s="583"/>
      <c r="AIT6" s="583"/>
      <c r="AIU6" s="583"/>
      <c r="AIV6" s="583"/>
      <c r="AIW6" s="583"/>
      <c r="AIX6" s="583"/>
      <c r="AIY6" s="583"/>
      <c r="AIZ6" s="583"/>
      <c r="AJA6" s="583"/>
      <c r="AJB6" s="583"/>
      <c r="AJC6" s="583"/>
      <c r="AJD6" s="583"/>
      <c r="AJE6" s="583"/>
      <c r="AJF6" s="583"/>
      <c r="AJG6" s="583"/>
      <c r="AJH6" s="583"/>
      <c r="AJI6" s="583"/>
      <c r="AJJ6" s="583"/>
      <c r="AJK6" s="583"/>
      <c r="AJL6" s="583"/>
      <c r="AJM6" s="583"/>
      <c r="AJN6" s="583"/>
      <c r="AJO6" s="583"/>
      <c r="AJP6" s="583"/>
      <c r="AJQ6" s="583"/>
      <c r="AJR6" s="583"/>
      <c r="AJS6" s="583"/>
      <c r="AJT6" s="583"/>
      <c r="AJU6" s="583"/>
      <c r="AJV6" s="583"/>
      <c r="AJW6" s="583"/>
      <c r="AJX6" s="583"/>
      <c r="AJY6" s="583"/>
      <c r="AJZ6" s="583"/>
      <c r="AKA6" s="583"/>
      <c r="AKB6" s="583"/>
      <c r="AKC6" s="583"/>
      <c r="AKD6" s="583"/>
      <c r="AKE6" s="583"/>
      <c r="AKF6" s="583"/>
      <c r="AKG6" s="583"/>
      <c r="AKH6" s="583"/>
      <c r="AKI6" s="583"/>
      <c r="AKJ6" s="583"/>
      <c r="AKK6" s="583"/>
      <c r="AKL6" s="583"/>
      <c r="AKM6" s="583"/>
      <c r="AKN6" s="583"/>
      <c r="AKO6" s="583"/>
      <c r="AKP6" s="583"/>
      <c r="AKQ6" s="583"/>
      <c r="AKR6" s="583"/>
      <c r="AKS6" s="583"/>
      <c r="AKT6" s="583"/>
      <c r="AKU6" s="583"/>
      <c r="AKV6" s="583"/>
      <c r="AKW6" s="583"/>
      <c r="AKX6" s="583"/>
      <c r="AKY6" s="583"/>
      <c r="AKZ6" s="583"/>
      <c r="ALA6" s="583"/>
      <c r="ALB6" s="583"/>
      <c r="ALC6" s="583"/>
      <c r="ALD6" s="583"/>
      <c r="ALE6" s="583"/>
      <c r="ALF6" s="583"/>
      <c r="ALG6" s="583"/>
      <c r="ALH6" s="583"/>
      <c r="ALI6" s="583"/>
      <c r="ALJ6" s="583"/>
      <c r="ALK6" s="583"/>
      <c r="ALL6" s="583"/>
      <c r="ALM6" s="583"/>
      <c r="ALN6" s="583"/>
      <c r="ALO6" s="583"/>
      <c r="ALP6" s="583"/>
      <c r="ALQ6" s="583"/>
      <c r="ALR6" s="583"/>
      <c r="ALS6" s="583"/>
      <c r="ALT6" s="583"/>
      <c r="ALU6" s="583"/>
      <c r="ALV6" s="583"/>
      <c r="ALW6" s="583"/>
      <c r="ALX6" s="583"/>
      <c r="ALY6" s="583"/>
      <c r="ALZ6" s="583"/>
      <c r="AMA6" s="583"/>
      <c r="AMB6" s="583"/>
      <c r="AMC6" s="583"/>
      <c r="AMD6" s="583"/>
      <c r="AME6" s="583"/>
      <c r="AMF6" s="583"/>
      <c r="AMG6" s="583"/>
      <c r="AMH6" s="583"/>
      <c r="AMI6" s="583"/>
      <c r="AMJ6" s="583"/>
      <c r="AMK6" s="583"/>
      <c r="AML6" s="583"/>
      <c r="AMM6" s="583"/>
      <c r="AMN6" s="583"/>
      <c r="AMO6" s="583"/>
      <c r="AMP6" s="583"/>
      <c r="AMQ6" s="583"/>
      <c r="AMR6" s="583"/>
      <c r="AMS6" s="583"/>
      <c r="AMT6" s="583"/>
      <c r="AMU6" s="583"/>
      <c r="AMV6" s="583"/>
      <c r="AMW6" s="583"/>
      <c r="AMX6" s="583"/>
      <c r="AMY6" s="583"/>
      <c r="AMZ6" s="583"/>
      <c r="ANA6" s="583"/>
      <c r="ANB6" s="583"/>
      <c r="ANC6" s="583"/>
      <c r="AND6" s="583"/>
      <c r="ANE6" s="583"/>
      <c r="ANF6" s="583"/>
      <c r="ANG6" s="583"/>
      <c r="ANH6" s="583"/>
      <c r="ANI6" s="583"/>
      <c r="ANJ6" s="583"/>
      <c r="ANK6" s="583"/>
      <c r="ANL6" s="583"/>
      <c r="ANM6" s="583"/>
      <c r="ANN6" s="583"/>
      <c r="ANO6" s="583"/>
      <c r="ANP6" s="583"/>
      <c r="ANQ6" s="583"/>
      <c r="ANR6" s="583"/>
      <c r="ANS6" s="583"/>
      <c r="ANT6" s="583"/>
      <c r="ANU6" s="583"/>
      <c r="ANV6" s="583"/>
      <c r="ANW6" s="583"/>
      <c r="ANX6" s="583"/>
      <c r="ANY6" s="583"/>
      <c r="ANZ6" s="583"/>
      <c r="AOA6" s="583"/>
      <c r="AOB6" s="583"/>
      <c r="AOC6" s="583"/>
      <c r="AOD6" s="583"/>
      <c r="AOE6" s="583"/>
      <c r="AOF6" s="583"/>
      <c r="AOG6" s="583"/>
      <c r="AOH6" s="583"/>
      <c r="AOI6" s="583"/>
      <c r="AOJ6" s="583"/>
      <c r="AOK6" s="583"/>
      <c r="AOL6" s="583"/>
      <c r="AOM6" s="583"/>
      <c r="AON6" s="583"/>
      <c r="AOO6" s="583"/>
      <c r="AOP6" s="583"/>
      <c r="AOQ6" s="583"/>
      <c r="AOR6" s="583"/>
      <c r="AOS6" s="583"/>
      <c r="AOT6" s="583"/>
      <c r="AOU6" s="583"/>
      <c r="AOV6" s="583"/>
      <c r="AOW6" s="583"/>
      <c r="AOX6" s="583"/>
      <c r="AOY6" s="583"/>
      <c r="AOZ6" s="583"/>
      <c r="APA6" s="583"/>
      <c r="APB6" s="583"/>
      <c r="APC6" s="583"/>
      <c r="APD6" s="583"/>
      <c r="APE6" s="583"/>
      <c r="APF6" s="583"/>
      <c r="APG6" s="583"/>
      <c r="APH6" s="583"/>
      <c r="API6" s="583"/>
      <c r="APJ6" s="583"/>
      <c r="APK6" s="583"/>
      <c r="APL6" s="583"/>
      <c r="APM6" s="583"/>
      <c r="APN6" s="583"/>
      <c r="APO6" s="583"/>
      <c r="APP6" s="583"/>
      <c r="APQ6" s="583"/>
      <c r="APR6" s="583"/>
      <c r="APS6" s="583"/>
      <c r="APT6" s="583"/>
      <c r="APU6" s="583"/>
      <c r="APV6" s="583"/>
      <c r="APW6" s="583"/>
      <c r="APX6" s="583"/>
      <c r="APY6" s="583"/>
      <c r="APZ6" s="583"/>
      <c r="AQA6" s="583"/>
      <c r="AQB6" s="583"/>
      <c r="AQC6" s="583"/>
      <c r="AQD6" s="583"/>
      <c r="AQE6" s="583"/>
      <c r="AQF6" s="583"/>
      <c r="AQG6" s="583"/>
      <c r="AQH6" s="583"/>
      <c r="AQI6" s="583"/>
      <c r="AQJ6" s="583"/>
      <c r="AQK6" s="583"/>
      <c r="AQL6" s="583"/>
      <c r="AQM6" s="583"/>
      <c r="AQN6" s="583"/>
      <c r="AQO6" s="583"/>
      <c r="AQP6" s="583"/>
      <c r="AQQ6" s="583"/>
      <c r="AQR6" s="583"/>
      <c r="AQS6" s="583"/>
      <c r="AQT6" s="583"/>
      <c r="AQU6" s="583"/>
      <c r="AQV6" s="583"/>
      <c r="AQW6" s="583"/>
      <c r="AQX6" s="583"/>
      <c r="AQY6" s="583"/>
      <c r="AQZ6" s="583"/>
      <c r="ARA6" s="583"/>
      <c r="ARB6" s="583"/>
      <c r="ARC6" s="583"/>
      <c r="ARD6" s="583"/>
      <c r="ARE6" s="583"/>
      <c r="ARF6" s="583"/>
      <c r="ARG6" s="583"/>
      <c r="ARH6" s="583"/>
      <c r="ARI6" s="583"/>
      <c r="ARJ6" s="583"/>
      <c r="ARK6" s="583"/>
      <c r="ARL6" s="583"/>
      <c r="ARM6" s="583"/>
      <c r="ARN6" s="583"/>
      <c r="ARO6" s="583"/>
      <c r="ARP6" s="583"/>
      <c r="ARQ6" s="583"/>
      <c r="ARR6" s="583"/>
      <c r="ARS6" s="583"/>
      <c r="ART6" s="583"/>
      <c r="ARU6" s="583"/>
      <c r="ARV6" s="583"/>
      <c r="ARW6" s="583"/>
      <c r="ARX6" s="583"/>
      <c r="ARY6" s="583"/>
      <c r="ARZ6" s="583"/>
      <c r="ASA6" s="583"/>
      <c r="ASB6" s="583"/>
      <c r="ASC6" s="583"/>
      <c r="ASD6" s="583"/>
      <c r="ASE6" s="583"/>
      <c r="ASF6" s="583"/>
      <c r="ASG6" s="583"/>
      <c r="ASH6" s="583"/>
      <c r="ASI6" s="583"/>
      <c r="ASJ6" s="583"/>
      <c r="ASK6" s="583"/>
      <c r="ASL6" s="583"/>
      <c r="ASM6" s="583"/>
      <c r="ASN6" s="583"/>
      <c r="ASO6" s="583"/>
      <c r="ASP6" s="583"/>
      <c r="ASQ6" s="583"/>
      <c r="ASR6" s="583"/>
      <c r="ASS6" s="583"/>
      <c r="AST6" s="583"/>
      <c r="ASU6" s="583"/>
      <c r="ASV6" s="583"/>
      <c r="ASW6" s="583"/>
      <c r="ASX6" s="583"/>
      <c r="ASY6" s="583"/>
      <c r="ASZ6" s="583"/>
      <c r="ATA6" s="583"/>
      <c r="ATB6" s="583"/>
      <c r="ATC6" s="583"/>
      <c r="ATD6" s="583"/>
      <c r="ATE6" s="583"/>
      <c r="ATF6" s="583"/>
      <c r="ATG6" s="583"/>
      <c r="ATH6" s="583"/>
      <c r="ATI6" s="583"/>
      <c r="ATJ6" s="583"/>
      <c r="ATK6" s="583"/>
      <c r="ATL6" s="583"/>
      <c r="ATM6" s="583"/>
      <c r="ATN6" s="583"/>
      <c r="ATO6" s="583"/>
      <c r="ATP6" s="583"/>
      <c r="ATQ6" s="583"/>
      <c r="ATR6" s="583"/>
      <c r="ATS6" s="583"/>
      <c r="ATT6" s="583"/>
      <c r="ATU6" s="583"/>
      <c r="ATV6" s="583"/>
      <c r="ATW6" s="583"/>
      <c r="ATX6" s="583"/>
      <c r="ATY6" s="583"/>
      <c r="ATZ6" s="583"/>
      <c r="AUA6" s="583"/>
      <c r="AUB6" s="583"/>
      <c r="AUC6" s="583"/>
      <c r="AUD6" s="583"/>
      <c r="AUE6" s="583"/>
      <c r="AUF6" s="583"/>
      <c r="AUG6" s="583"/>
      <c r="AUH6" s="583"/>
      <c r="AUI6" s="583"/>
      <c r="AUJ6" s="583"/>
      <c r="AUK6" s="583"/>
      <c r="AUL6" s="583"/>
      <c r="AUM6" s="583"/>
      <c r="AUN6" s="583"/>
      <c r="AUO6" s="583"/>
      <c r="AUP6" s="583"/>
      <c r="AUQ6" s="583"/>
      <c r="AUR6" s="583"/>
      <c r="AUS6" s="583"/>
      <c r="AUT6" s="583"/>
      <c r="AUU6" s="583"/>
      <c r="AUV6" s="583"/>
      <c r="AUW6" s="583"/>
      <c r="AUX6" s="583"/>
      <c r="AUY6" s="583"/>
      <c r="AUZ6" s="583"/>
      <c r="AVA6" s="583"/>
      <c r="AVB6" s="583"/>
      <c r="AVC6" s="583"/>
      <c r="AVD6" s="583"/>
      <c r="AVE6" s="583"/>
      <c r="AVF6" s="583"/>
      <c r="AVG6" s="583"/>
      <c r="AVH6" s="583"/>
      <c r="AVI6" s="583"/>
      <c r="AVJ6" s="583"/>
      <c r="AVK6" s="583"/>
      <c r="AVL6" s="583"/>
      <c r="AVM6" s="583"/>
      <c r="AVN6" s="583"/>
      <c r="AVO6" s="583"/>
      <c r="AVP6" s="583"/>
      <c r="AVQ6" s="583"/>
      <c r="AVR6" s="583"/>
      <c r="AVS6" s="583"/>
      <c r="AVT6" s="583"/>
      <c r="AVU6" s="583"/>
      <c r="AVV6" s="583"/>
      <c r="AVW6" s="583"/>
      <c r="AVX6" s="583"/>
      <c r="AVY6" s="583"/>
      <c r="AVZ6" s="583"/>
      <c r="AWA6" s="583"/>
      <c r="AWB6" s="583"/>
      <c r="AWC6" s="583"/>
      <c r="AWD6" s="583"/>
      <c r="AWE6" s="583"/>
      <c r="AWF6" s="583"/>
      <c r="AWG6" s="583"/>
      <c r="AWH6" s="583"/>
      <c r="AWI6" s="583"/>
      <c r="AWJ6" s="583"/>
      <c r="AWK6" s="583"/>
      <c r="AWL6" s="583"/>
      <c r="AWM6" s="583"/>
      <c r="AWN6" s="583"/>
      <c r="AWO6" s="583"/>
      <c r="AWP6" s="583"/>
      <c r="AWQ6" s="583"/>
      <c r="AWR6" s="583"/>
      <c r="AWS6" s="583"/>
      <c r="AWT6" s="583"/>
      <c r="AWU6" s="583"/>
      <c r="AWV6" s="583"/>
      <c r="AWW6" s="583"/>
      <c r="AWX6" s="583"/>
      <c r="AWY6" s="583"/>
      <c r="AWZ6" s="583"/>
      <c r="AXA6" s="583"/>
      <c r="AXB6" s="583"/>
      <c r="AXC6" s="583"/>
      <c r="AXD6" s="583"/>
      <c r="AXE6" s="583"/>
      <c r="AXF6" s="583"/>
      <c r="AXG6" s="583"/>
      <c r="AXH6" s="583"/>
      <c r="AXI6" s="583"/>
      <c r="AXJ6" s="583"/>
      <c r="AXK6" s="583"/>
      <c r="AXL6" s="583"/>
      <c r="AXM6" s="583"/>
      <c r="AXN6" s="583"/>
      <c r="AXO6" s="583"/>
      <c r="AXP6" s="583"/>
      <c r="AXQ6" s="583"/>
      <c r="AXR6" s="583"/>
      <c r="AXS6" s="583"/>
      <c r="AXT6" s="583"/>
      <c r="AXU6" s="583"/>
      <c r="AXV6" s="583"/>
      <c r="AXW6" s="583"/>
      <c r="AXX6" s="583"/>
      <c r="AXY6" s="583"/>
      <c r="AXZ6" s="583"/>
      <c r="AYA6" s="583"/>
      <c r="AYB6" s="583"/>
      <c r="AYC6" s="583"/>
      <c r="AYD6" s="583"/>
      <c r="AYE6" s="583"/>
      <c r="AYF6" s="583"/>
      <c r="AYG6" s="583"/>
      <c r="AYH6" s="583"/>
      <c r="AYI6" s="583"/>
      <c r="AYJ6" s="583"/>
      <c r="AYK6" s="583"/>
      <c r="AYL6" s="583"/>
      <c r="AYM6" s="583"/>
      <c r="AYN6" s="583"/>
      <c r="AYO6" s="583"/>
      <c r="AYP6" s="583"/>
      <c r="AYQ6" s="583"/>
      <c r="AYR6" s="583"/>
      <c r="AYS6" s="583"/>
      <c r="AYT6" s="583"/>
      <c r="AYU6" s="583"/>
      <c r="AYV6" s="583"/>
      <c r="AYW6" s="583"/>
      <c r="AYX6" s="583"/>
      <c r="AYY6" s="583"/>
      <c r="AYZ6" s="583"/>
      <c r="AZA6" s="583"/>
      <c r="AZB6" s="583"/>
      <c r="AZC6" s="583"/>
      <c r="AZD6" s="583"/>
      <c r="AZE6" s="583"/>
      <c r="AZF6" s="583"/>
      <c r="AZG6" s="583"/>
      <c r="AZH6" s="583"/>
      <c r="AZI6" s="583"/>
      <c r="AZJ6" s="583"/>
      <c r="AZK6" s="583"/>
      <c r="AZL6" s="583"/>
      <c r="AZM6" s="583"/>
      <c r="AZN6" s="583"/>
      <c r="AZO6" s="583"/>
      <c r="AZP6" s="583"/>
      <c r="AZQ6" s="583"/>
      <c r="AZR6" s="583"/>
      <c r="AZS6" s="583"/>
      <c r="AZT6" s="583"/>
      <c r="AZU6" s="583"/>
      <c r="AZV6" s="583"/>
      <c r="AZW6" s="583"/>
      <c r="AZX6" s="583"/>
      <c r="AZY6" s="583"/>
      <c r="AZZ6" s="583"/>
      <c r="BAA6" s="583"/>
      <c r="BAB6" s="583"/>
      <c r="BAC6" s="583"/>
      <c r="BAD6" s="583"/>
      <c r="BAE6" s="583"/>
      <c r="BAF6" s="583"/>
      <c r="BAG6" s="583"/>
      <c r="BAH6" s="583"/>
      <c r="BAI6" s="583"/>
      <c r="BAJ6" s="583"/>
      <c r="BAK6" s="583"/>
      <c r="BAL6" s="583"/>
      <c r="BAM6" s="583"/>
      <c r="BAN6" s="583"/>
      <c r="BAO6" s="583"/>
      <c r="BAP6" s="583"/>
      <c r="BAQ6" s="583"/>
      <c r="BAR6" s="583"/>
      <c r="BAS6" s="583"/>
      <c r="BAT6" s="583"/>
      <c r="BAU6" s="583"/>
      <c r="BAV6" s="583"/>
      <c r="BAW6" s="583"/>
      <c r="BAX6" s="583"/>
      <c r="BAY6" s="583"/>
      <c r="BAZ6" s="583"/>
      <c r="BBA6" s="583"/>
      <c r="BBB6" s="583"/>
      <c r="BBC6" s="583"/>
      <c r="BBD6" s="583"/>
      <c r="BBE6" s="583"/>
      <c r="BBF6" s="583"/>
      <c r="BBG6" s="583"/>
      <c r="BBH6" s="583"/>
      <c r="BBI6" s="583"/>
      <c r="BBJ6" s="583"/>
      <c r="BBK6" s="583"/>
      <c r="BBL6" s="583"/>
      <c r="BBM6" s="583"/>
      <c r="BBN6" s="583"/>
      <c r="BBO6" s="583"/>
      <c r="BBP6" s="583"/>
      <c r="BBQ6" s="583"/>
      <c r="BBR6" s="583"/>
      <c r="BBS6" s="583"/>
      <c r="BBT6" s="583"/>
      <c r="BBU6" s="583"/>
      <c r="BBV6" s="583"/>
      <c r="BBW6" s="583"/>
      <c r="BBX6" s="583"/>
      <c r="BBY6" s="583"/>
      <c r="BBZ6" s="583"/>
      <c r="BCA6" s="583"/>
      <c r="BCB6" s="583"/>
      <c r="BCC6" s="583"/>
      <c r="BCD6" s="583"/>
      <c r="BCE6" s="583"/>
      <c r="BCF6" s="583"/>
      <c r="BCG6" s="583"/>
      <c r="BCH6" s="583"/>
      <c r="BCI6" s="583"/>
      <c r="BCJ6" s="583"/>
      <c r="BCK6" s="583"/>
      <c r="BCL6" s="583"/>
      <c r="BCM6" s="583"/>
      <c r="BCN6" s="583"/>
      <c r="BCO6" s="583"/>
      <c r="BCP6" s="583"/>
      <c r="BCQ6" s="583"/>
      <c r="BCR6" s="583"/>
      <c r="BCS6" s="583"/>
      <c r="BCT6" s="583"/>
      <c r="BCU6" s="583"/>
      <c r="BCV6" s="583"/>
      <c r="BCW6" s="583"/>
      <c r="BCX6" s="583"/>
      <c r="BCY6" s="583"/>
      <c r="BCZ6" s="583"/>
      <c r="BDA6" s="583"/>
      <c r="BDB6" s="583"/>
      <c r="BDC6" s="583"/>
      <c r="BDD6" s="583"/>
      <c r="BDE6" s="583"/>
      <c r="BDF6" s="583"/>
      <c r="BDG6" s="583"/>
      <c r="BDH6" s="583"/>
      <c r="BDI6" s="583"/>
      <c r="BDJ6" s="583"/>
      <c r="BDK6" s="583"/>
      <c r="BDL6" s="583"/>
      <c r="BDM6" s="583"/>
      <c r="BDN6" s="583"/>
      <c r="BDO6" s="583"/>
      <c r="BDP6" s="583"/>
      <c r="BDQ6" s="583"/>
      <c r="BDR6" s="583"/>
      <c r="BDS6" s="583"/>
      <c r="BDT6" s="583"/>
      <c r="BDU6" s="583"/>
      <c r="BDV6" s="583"/>
      <c r="BDW6" s="583"/>
      <c r="BDX6" s="583"/>
      <c r="BDY6" s="583"/>
      <c r="BDZ6" s="583"/>
      <c r="BEA6" s="583"/>
      <c r="BEB6" s="583"/>
      <c r="BEC6" s="583"/>
      <c r="BED6" s="583"/>
      <c r="BEE6" s="583"/>
      <c r="BEF6" s="583"/>
      <c r="BEG6" s="583"/>
      <c r="BEH6" s="583"/>
      <c r="BEI6" s="583"/>
      <c r="BEJ6" s="583"/>
      <c r="BEK6" s="583"/>
      <c r="BEL6" s="583"/>
      <c r="BEM6" s="583"/>
      <c r="BEN6" s="583"/>
      <c r="BEO6" s="583"/>
      <c r="BEP6" s="583"/>
      <c r="BEQ6" s="583"/>
      <c r="BER6" s="583"/>
      <c r="BES6" s="583"/>
      <c r="BET6" s="583"/>
      <c r="BEU6" s="583"/>
      <c r="BEV6" s="583"/>
      <c r="BEW6" s="583"/>
      <c r="BEX6" s="583"/>
      <c r="BEY6" s="583"/>
      <c r="BEZ6" s="583"/>
      <c r="BFA6" s="583"/>
      <c r="BFB6" s="583"/>
      <c r="BFC6" s="583"/>
      <c r="BFD6" s="583"/>
      <c r="BFE6" s="583"/>
      <c r="BFF6" s="583"/>
      <c r="BFG6" s="583"/>
      <c r="BFH6" s="583"/>
      <c r="BFI6" s="583"/>
      <c r="BFJ6" s="583"/>
      <c r="BFK6" s="583"/>
      <c r="BFL6" s="583"/>
      <c r="BFM6" s="583"/>
      <c r="BFN6" s="583"/>
      <c r="BFO6" s="583"/>
      <c r="BFP6" s="583"/>
      <c r="BFQ6" s="583"/>
      <c r="BFR6" s="583"/>
      <c r="BFS6" s="583"/>
      <c r="BFT6" s="583"/>
      <c r="BFU6" s="583"/>
      <c r="BFV6" s="583"/>
      <c r="BFW6" s="583"/>
      <c r="BFX6" s="583"/>
      <c r="BFY6" s="583"/>
      <c r="BFZ6" s="583"/>
      <c r="BGA6" s="583"/>
      <c r="BGB6" s="583"/>
      <c r="BGC6" s="583"/>
      <c r="BGD6" s="583"/>
      <c r="BGE6" s="583"/>
      <c r="BGF6" s="583"/>
      <c r="BGG6" s="583"/>
      <c r="BGH6" s="583"/>
      <c r="BGI6" s="583"/>
      <c r="BGJ6" s="583"/>
      <c r="BGK6" s="583"/>
      <c r="BGL6" s="583"/>
      <c r="BGM6" s="583"/>
      <c r="BGN6" s="583"/>
      <c r="BGO6" s="583"/>
      <c r="BGP6" s="583"/>
      <c r="BGQ6" s="583"/>
      <c r="BGR6" s="583"/>
      <c r="BGS6" s="583"/>
      <c r="BGT6" s="583"/>
      <c r="BGU6" s="583"/>
      <c r="BGV6" s="583"/>
      <c r="BGW6" s="583"/>
      <c r="BGX6" s="583"/>
      <c r="BGY6" s="583"/>
      <c r="BGZ6" s="583"/>
      <c r="BHA6" s="583"/>
      <c r="BHB6" s="583"/>
      <c r="BHC6" s="583"/>
      <c r="BHD6" s="583"/>
      <c r="BHE6" s="583"/>
      <c r="BHF6" s="583"/>
      <c r="BHG6" s="583"/>
      <c r="BHH6" s="583"/>
      <c r="BHI6" s="583"/>
      <c r="BHJ6" s="583"/>
      <c r="BHK6" s="583"/>
      <c r="BHL6" s="583"/>
      <c r="BHM6" s="583"/>
      <c r="BHN6" s="583"/>
      <c r="BHO6" s="583"/>
      <c r="BHP6" s="583"/>
      <c r="BHQ6" s="583"/>
      <c r="BHR6" s="583"/>
      <c r="BHS6" s="583"/>
      <c r="BHT6" s="583"/>
      <c r="BHU6" s="583"/>
      <c r="BHV6" s="583"/>
      <c r="BHW6" s="583"/>
      <c r="BHX6" s="583"/>
      <c r="BHY6" s="583"/>
      <c r="BHZ6" s="583"/>
      <c r="BIA6" s="583"/>
      <c r="BIB6" s="583"/>
      <c r="BIC6" s="583"/>
      <c r="BID6" s="583"/>
      <c r="BIE6" s="583"/>
      <c r="BIF6" s="583"/>
      <c r="BIG6" s="583"/>
      <c r="BIH6" s="583"/>
      <c r="BII6" s="583"/>
      <c r="BIJ6" s="583"/>
      <c r="BIK6" s="583"/>
      <c r="BIL6" s="583"/>
      <c r="BIM6" s="583"/>
      <c r="BIN6" s="583"/>
      <c r="BIO6" s="583"/>
      <c r="BIP6" s="583"/>
      <c r="BIQ6" s="583"/>
      <c r="BIR6" s="583"/>
      <c r="BIS6" s="583"/>
      <c r="BIT6" s="583"/>
      <c r="BIU6" s="583"/>
      <c r="BIV6" s="583"/>
      <c r="BIW6" s="583"/>
      <c r="BIX6" s="583"/>
      <c r="BIY6" s="583"/>
      <c r="BIZ6" s="583"/>
      <c r="BJA6" s="583"/>
      <c r="BJB6" s="583"/>
      <c r="BJC6" s="583"/>
      <c r="BJD6" s="583"/>
      <c r="BJE6" s="583"/>
      <c r="BJF6" s="583"/>
      <c r="BJG6" s="583"/>
      <c r="BJH6" s="583"/>
      <c r="BJI6" s="583"/>
      <c r="BJJ6" s="583"/>
      <c r="BJK6" s="583"/>
      <c r="BJL6" s="583"/>
      <c r="BJM6" s="583"/>
      <c r="BJN6" s="583"/>
      <c r="BJO6" s="583"/>
      <c r="BJP6" s="583"/>
      <c r="BJQ6" s="583"/>
      <c r="BJR6" s="583"/>
      <c r="BJS6" s="583"/>
      <c r="BJT6" s="583"/>
      <c r="BJU6" s="583"/>
      <c r="BJV6" s="583"/>
      <c r="BJW6" s="583"/>
      <c r="BJX6" s="583"/>
      <c r="BJY6" s="583"/>
      <c r="BJZ6" s="583"/>
      <c r="BKA6" s="583"/>
      <c r="BKB6" s="583"/>
      <c r="BKC6" s="583"/>
      <c r="BKD6" s="583"/>
      <c r="BKE6" s="583"/>
      <c r="BKF6" s="583"/>
      <c r="BKG6" s="583"/>
      <c r="BKH6" s="583"/>
      <c r="BKI6" s="583"/>
      <c r="BKJ6" s="583"/>
      <c r="BKK6" s="583"/>
      <c r="BKL6" s="583"/>
      <c r="BKM6" s="583"/>
      <c r="BKN6" s="583"/>
      <c r="BKO6" s="583"/>
      <c r="BKP6" s="583"/>
      <c r="BKQ6" s="583"/>
      <c r="BKR6" s="583"/>
      <c r="BKS6" s="583"/>
      <c r="BKT6" s="583"/>
      <c r="BKU6" s="583"/>
      <c r="BKV6" s="583"/>
      <c r="BKW6" s="583"/>
      <c r="BKX6" s="583"/>
      <c r="BKY6" s="583"/>
      <c r="BKZ6" s="583"/>
      <c r="BLA6" s="583"/>
      <c r="BLB6" s="583"/>
      <c r="BLC6" s="583"/>
      <c r="BLD6" s="583"/>
      <c r="BLE6" s="583"/>
      <c r="BLF6" s="583"/>
      <c r="BLG6" s="583"/>
      <c r="BLH6" s="583"/>
      <c r="BLI6" s="583"/>
      <c r="BLJ6" s="583"/>
      <c r="BLK6" s="583"/>
      <c r="BLL6" s="583"/>
      <c r="BLM6" s="583"/>
      <c r="BLN6" s="583"/>
      <c r="BLO6" s="583"/>
      <c r="BLP6" s="583"/>
      <c r="BLQ6" s="583"/>
      <c r="BLR6" s="583"/>
      <c r="BLS6" s="583"/>
      <c r="BLT6" s="583"/>
      <c r="BLU6" s="583"/>
      <c r="BLV6" s="583"/>
      <c r="BLW6" s="583"/>
      <c r="BLX6" s="583"/>
      <c r="BLY6" s="583"/>
      <c r="BLZ6" s="583"/>
      <c r="BMA6" s="583"/>
      <c r="BMB6" s="583"/>
      <c r="BMC6" s="583"/>
      <c r="BMD6" s="583"/>
      <c r="BME6" s="583"/>
      <c r="BMF6" s="583"/>
      <c r="BMG6" s="583"/>
      <c r="BMH6" s="583"/>
      <c r="BMI6" s="583"/>
      <c r="BMJ6" s="583"/>
      <c r="BMK6" s="583"/>
      <c r="BML6" s="583"/>
      <c r="BMM6" s="583"/>
      <c r="BMN6" s="583"/>
      <c r="BMO6" s="583"/>
      <c r="BMP6" s="583"/>
      <c r="BMQ6" s="583"/>
      <c r="BMR6" s="583"/>
      <c r="BMS6" s="583"/>
      <c r="BMT6" s="583"/>
      <c r="BMU6" s="583"/>
      <c r="BMV6" s="583"/>
      <c r="BMW6" s="583"/>
      <c r="BMX6" s="583"/>
      <c r="BMY6" s="583"/>
      <c r="BMZ6" s="583"/>
      <c r="BNA6" s="583"/>
      <c r="BNB6" s="583"/>
      <c r="BNC6" s="583"/>
      <c r="BND6" s="583"/>
      <c r="BNE6" s="583"/>
      <c r="BNF6" s="583"/>
      <c r="BNG6" s="583"/>
      <c r="BNH6" s="583"/>
      <c r="BNI6" s="583"/>
      <c r="BNJ6" s="583"/>
      <c r="BNK6" s="583"/>
      <c r="BNL6" s="583"/>
      <c r="BNM6" s="583"/>
      <c r="BNN6" s="583"/>
      <c r="BNO6" s="583"/>
      <c r="BNP6" s="583"/>
      <c r="BNQ6" s="583"/>
      <c r="BNR6" s="583"/>
      <c r="BNS6" s="583"/>
      <c r="BNT6" s="583"/>
      <c r="BNU6" s="583"/>
      <c r="BNV6" s="583"/>
      <c r="BNW6" s="583"/>
      <c r="BNX6" s="583"/>
      <c r="BNY6" s="583"/>
      <c r="BNZ6" s="583"/>
      <c r="BOA6" s="583"/>
      <c r="BOB6" s="583"/>
      <c r="BOC6" s="583"/>
      <c r="BOD6" s="583"/>
      <c r="BOE6" s="583"/>
      <c r="BOF6" s="583"/>
      <c r="BOG6" s="583"/>
      <c r="BOH6" s="583"/>
      <c r="BOI6" s="583"/>
      <c r="BOJ6" s="583"/>
      <c r="BOK6" s="583"/>
      <c r="BOL6" s="583"/>
      <c r="BOM6" s="583"/>
      <c r="BON6" s="583"/>
      <c r="BOO6" s="583"/>
      <c r="BOP6" s="583"/>
      <c r="BOQ6" s="583"/>
      <c r="BOR6" s="583"/>
      <c r="BOS6" s="583"/>
      <c r="BOT6" s="583"/>
      <c r="BOU6" s="583"/>
      <c r="BOV6" s="583"/>
      <c r="BOW6" s="583"/>
      <c r="BOX6" s="583"/>
      <c r="BOY6" s="583"/>
      <c r="BOZ6" s="583"/>
      <c r="BPA6" s="583"/>
      <c r="BPB6" s="583"/>
      <c r="BPC6" s="583"/>
      <c r="BPD6" s="583"/>
      <c r="BPE6" s="583"/>
      <c r="BPF6" s="583"/>
      <c r="BPG6" s="583"/>
      <c r="BPH6" s="583"/>
      <c r="BPI6" s="583"/>
      <c r="BPJ6" s="583"/>
      <c r="BPK6" s="583"/>
      <c r="BPL6" s="583"/>
      <c r="BPM6" s="583"/>
      <c r="BPN6" s="583"/>
      <c r="BPO6" s="583"/>
      <c r="BPP6" s="583"/>
      <c r="BPQ6" s="583"/>
      <c r="BPR6" s="583"/>
      <c r="BPS6" s="583"/>
      <c r="BPT6" s="583"/>
      <c r="BPU6" s="583"/>
      <c r="BPV6" s="583"/>
      <c r="BPW6" s="583"/>
      <c r="BPX6" s="583"/>
      <c r="BPY6" s="583"/>
      <c r="BPZ6" s="583"/>
      <c r="BQA6" s="583"/>
      <c r="BQB6" s="583"/>
      <c r="BQC6" s="583"/>
      <c r="BQD6" s="583"/>
      <c r="BQE6" s="583"/>
      <c r="BQF6" s="583"/>
      <c r="BQG6" s="583"/>
      <c r="BQH6" s="583"/>
      <c r="BQI6" s="583"/>
      <c r="BQJ6" s="583"/>
      <c r="BQK6" s="583"/>
      <c r="BQL6" s="583"/>
      <c r="BQM6" s="583"/>
      <c r="BQN6" s="583"/>
      <c r="BQO6" s="583"/>
      <c r="BQP6" s="583"/>
      <c r="BQQ6" s="583"/>
      <c r="BQR6" s="583"/>
      <c r="BQS6" s="583"/>
      <c r="BQT6" s="583"/>
      <c r="BQU6" s="583"/>
      <c r="BQV6" s="583"/>
      <c r="BQW6" s="583"/>
      <c r="BQX6" s="583"/>
      <c r="BQY6" s="583"/>
      <c r="BQZ6" s="583"/>
      <c r="BRA6" s="583"/>
      <c r="BRB6" s="583"/>
      <c r="BRC6" s="583"/>
      <c r="BRD6" s="583"/>
      <c r="BRE6" s="583"/>
      <c r="BRF6" s="583"/>
      <c r="BRG6" s="583"/>
      <c r="BRH6" s="583"/>
      <c r="BRI6" s="583"/>
      <c r="BRJ6" s="583"/>
      <c r="BRK6" s="583"/>
      <c r="BRL6" s="583"/>
      <c r="BRM6" s="583"/>
      <c r="BRN6" s="583"/>
      <c r="BRO6" s="583"/>
      <c r="BRP6" s="583"/>
      <c r="BRQ6" s="583"/>
      <c r="BRR6" s="583"/>
      <c r="BRS6" s="583"/>
      <c r="BRT6" s="583"/>
      <c r="BRU6" s="583"/>
      <c r="BRV6" s="583"/>
      <c r="BRW6" s="583"/>
      <c r="BRX6" s="583"/>
      <c r="BRY6" s="583"/>
      <c r="BRZ6" s="583"/>
      <c r="BSA6" s="583"/>
      <c r="BSB6" s="583"/>
      <c r="BSC6" s="583"/>
      <c r="BSD6" s="583"/>
      <c r="BSE6" s="583"/>
      <c r="BSF6" s="583"/>
      <c r="BSG6" s="583"/>
      <c r="BSH6" s="583"/>
      <c r="BSI6" s="583"/>
      <c r="BSJ6" s="583"/>
      <c r="BSK6" s="583"/>
      <c r="BSL6" s="583"/>
      <c r="BSM6" s="583"/>
      <c r="BSN6" s="583"/>
      <c r="BSO6" s="583"/>
      <c r="BSP6" s="583"/>
      <c r="BSQ6" s="583"/>
      <c r="BSR6" s="583"/>
      <c r="BSS6" s="583"/>
      <c r="BST6" s="583"/>
      <c r="BSU6" s="583"/>
      <c r="BSV6" s="583"/>
      <c r="BSW6" s="583"/>
      <c r="BSX6" s="583"/>
      <c r="BSY6" s="583"/>
      <c r="BSZ6" s="583"/>
      <c r="BTA6" s="583"/>
      <c r="BTB6" s="583"/>
      <c r="BTC6" s="583"/>
      <c r="BTD6" s="583"/>
      <c r="BTE6" s="583"/>
      <c r="BTF6" s="583"/>
      <c r="BTG6" s="583"/>
      <c r="BTH6" s="583"/>
      <c r="BTI6" s="583"/>
      <c r="BTJ6" s="583"/>
      <c r="BTK6" s="583"/>
      <c r="BTL6" s="583"/>
      <c r="BTM6" s="583"/>
      <c r="BTN6" s="583"/>
      <c r="BTO6" s="583"/>
      <c r="BTP6" s="583"/>
      <c r="BTQ6" s="583"/>
      <c r="BTR6" s="583"/>
      <c r="BTS6" s="583"/>
      <c r="BTT6" s="583"/>
      <c r="BTU6" s="583"/>
      <c r="BTV6" s="583"/>
      <c r="BTW6" s="583"/>
      <c r="BTX6" s="583"/>
      <c r="BTY6" s="583"/>
      <c r="BTZ6" s="583"/>
      <c r="BUA6" s="583"/>
      <c r="BUB6" s="583"/>
      <c r="BUC6" s="583"/>
      <c r="BUD6" s="583"/>
      <c r="BUE6" s="583"/>
      <c r="BUF6" s="583"/>
      <c r="BUG6" s="583"/>
      <c r="BUH6" s="583"/>
      <c r="BUI6" s="583"/>
      <c r="BUJ6" s="583"/>
      <c r="BUK6" s="583"/>
      <c r="BUL6" s="583"/>
      <c r="BUM6" s="583"/>
      <c r="BUN6" s="583"/>
      <c r="BUO6" s="583"/>
      <c r="BUP6" s="583"/>
      <c r="BUQ6" s="583"/>
      <c r="BUR6" s="583"/>
      <c r="BUS6" s="583"/>
      <c r="BUT6" s="583"/>
      <c r="BUU6" s="583"/>
      <c r="BUV6" s="583"/>
      <c r="BUW6" s="583"/>
      <c r="BUX6" s="583"/>
      <c r="BUY6" s="583"/>
      <c r="BUZ6" s="583"/>
      <c r="BVA6" s="583"/>
      <c r="BVB6" s="583"/>
      <c r="BVC6" s="583"/>
      <c r="BVD6" s="583"/>
      <c r="BVE6" s="583"/>
      <c r="BVF6" s="583"/>
      <c r="BVG6" s="583"/>
      <c r="BVH6" s="583"/>
      <c r="BVI6" s="583"/>
      <c r="BVJ6" s="583"/>
      <c r="BVK6" s="583"/>
      <c r="BVL6" s="583"/>
      <c r="BVM6" s="583"/>
      <c r="BVN6" s="583"/>
      <c r="BVO6" s="583"/>
      <c r="BVP6" s="583"/>
      <c r="BVQ6" s="583"/>
      <c r="BVR6" s="583"/>
      <c r="BVS6" s="583"/>
      <c r="BVT6" s="583"/>
      <c r="BVU6" s="583"/>
      <c r="BVV6" s="583"/>
      <c r="BVW6" s="583"/>
      <c r="BVX6" s="583"/>
      <c r="BVY6" s="583"/>
      <c r="BVZ6" s="583"/>
      <c r="BWA6" s="583"/>
      <c r="BWB6" s="583"/>
      <c r="BWC6" s="583"/>
      <c r="BWD6" s="583"/>
      <c r="BWE6" s="583"/>
      <c r="BWF6" s="583"/>
      <c r="BWG6" s="583"/>
      <c r="BWH6" s="583"/>
      <c r="BWI6" s="583"/>
      <c r="BWJ6" s="583"/>
      <c r="BWK6" s="583"/>
      <c r="BWL6" s="583"/>
      <c r="BWM6" s="583"/>
      <c r="BWN6" s="583"/>
      <c r="BWO6" s="583"/>
      <c r="BWP6" s="583"/>
      <c r="BWQ6" s="583"/>
      <c r="BWR6" s="583"/>
      <c r="BWS6" s="583"/>
      <c r="BWT6" s="583"/>
      <c r="BWU6" s="583"/>
      <c r="BWV6" s="583"/>
      <c r="BWW6" s="583"/>
      <c r="BWX6" s="583"/>
      <c r="BWY6" s="583"/>
      <c r="BWZ6" s="583"/>
      <c r="BXA6" s="583"/>
      <c r="BXB6" s="583"/>
      <c r="BXC6" s="583"/>
      <c r="BXD6" s="583"/>
      <c r="BXE6" s="583"/>
      <c r="BXF6" s="583"/>
      <c r="BXG6" s="583"/>
      <c r="BXH6" s="583"/>
      <c r="BXI6" s="583"/>
      <c r="BXJ6" s="583"/>
      <c r="BXK6" s="583"/>
      <c r="BXL6" s="583"/>
      <c r="BXM6" s="583"/>
      <c r="BXN6" s="583"/>
      <c r="BXO6" s="583"/>
      <c r="BXP6" s="583"/>
      <c r="BXQ6" s="583"/>
      <c r="BXR6" s="583"/>
      <c r="BXS6" s="583"/>
      <c r="BXT6" s="583"/>
      <c r="BXU6" s="583"/>
      <c r="BXV6" s="583"/>
      <c r="BXW6" s="583"/>
      <c r="BXX6" s="583"/>
      <c r="BXY6" s="583"/>
      <c r="BXZ6" s="583"/>
      <c r="BYA6" s="583"/>
      <c r="BYB6" s="583"/>
      <c r="BYC6" s="583"/>
      <c r="BYD6" s="583"/>
      <c r="BYE6" s="583"/>
      <c r="BYF6" s="583"/>
      <c r="BYG6" s="583"/>
      <c r="BYH6" s="583"/>
      <c r="BYI6" s="583"/>
      <c r="BYJ6" s="583"/>
      <c r="BYK6" s="583"/>
      <c r="BYL6" s="583"/>
      <c r="BYM6" s="583"/>
      <c r="BYN6" s="583"/>
      <c r="BYO6" s="583"/>
      <c r="BYP6" s="583"/>
      <c r="BYQ6" s="583"/>
      <c r="BYR6" s="583"/>
      <c r="BYS6" s="583"/>
      <c r="BYT6" s="583"/>
      <c r="BYU6" s="583"/>
      <c r="BYV6" s="583"/>
      <c r="BYW6" s="583"/>
      <c r="BYX6" s="583"/>
      <c r="BYY6" s="583"/>
      <c r="BYZ6" s="583"/>
      <c r="BZA6" s="583"/>
      <c r="BZB6" s="583"/>
      <c r="BZC6" s="583"/>
      <c r="BZD6" s="583"/>
      <c r="BZE6" s="583"/>
      <c r="BZF6" s="583"/>
      <c r="BZG6" s="583"/>
      <c r="BZH6" s="583"/>
      <c r="BZI6" s="583"/>
      <c r="BZJ6" s="583"/>
      <c r="BZK6" s="583"/>
      <c r="BZL6" s="583"/>
      <c r="BZM6" s="583"/>
      <c r="BZN6" s="583"/>
      <c r="BZO6" s="583"/>
      <c r="BZP6" s="583"/>
      <c r="BZQ6" s="583"/>
      <c r="BZR6" s="583"/>
      <c r="BZS6" s="583"/>
      <c r="BZT6" s="583"/>
      <c r="BZU6" s="583"/>
      <c r="BZV6" s="583"/>
      <c r="BZW6" s="583"/>
      <c r="BZX6" s="583"/>
      <c r="BZY6" s="583"/>
      <c r="BZZ6" s="583"/>
      <c r="CAA6" s="583"/>
      <c r="CAB6" s="583"/>
      <c r="CAC6" s="583"/>
      <c r="CAD6" s="583"/>
      <c r="CAE6" s="583"/>
      <c r="CAF6" s="583"/>
      <c r="CAG6" s="583"/>
      <c r="CAH6" s="583"/>
      <c r="CAI6" s="583"/>
      <c r="CAJ6" s="583"/>
      <c r="CAK6" s="583"/>
      <c r="CAL6" s="583"/>
      <c r="CAM6" s="583"/>
      <c r="CAN6" s="583"/>
      <c r="CAO6" s="583"/>
      <c r="CAP6" s="583"/>
      <c r="CAQ6" s="583"/>
      <c r="CAR6" s="583"/>
      <c r="CAS6" s="583"/>
      <c r="CAT6" s="583"/>
      <c r="CAU6" s="583"/>
      <c r="CAV6" s="583"/>
      <c r="CAW6" s="583"/>
      <c r="CAX6" s="583"/>
      <c r="CAY6" s="583"/>
      <c r="CAZ6" s="583"/>
      <c r="CBA6" s="583"/>
      <c r="CBB6" s="583"/>
      <c r="CBC6" s="583"/>
      <c r="CBD6" s="583"/>
      <c r="CBE6" s="583"/>
      <c r="CBF6" s="583"/>
      <c r="CBG6" s="583"/>
      <c r="CBH6" s="583"/>
      <c r="CBI6" s="583"/>
      <c r="CBJ6" s="583"/>
      <c r="CBK6" s="583"/>
      <c r="CBL6" s="583"/>
      <c r="CBM6" s="583"/>
      <c r="CBN6" s="583"/>
      <c r="CBO6" s="583"/>
      <c r="CBP6" s="583"/>
      <c r="CBQ6" s="583"/>
      <c r="CBR6" s="583"/>
      <c r="CBS6" s="583"/>
      <c r="CBT6" s="583"/>
      <c r="CBU6" s="583"/>
      <c r="CBV6" s="583"/>
      <c r="CBW6" s="583"/>
      <c r="CBX6" s="583"/>
      <c r="CBY6" s="583"/>
      <c r="CBZ6" s="583"/>
    </row>
    <row r="7" spans="1:2106">
      <c r="A7" s="611" t="s">
        <v>151</v>
      </c>
      <c r="B7" s="612">
        <v>5</v>
      </c>
      <c r="C7" s="613">
        <f t="shared" si="0"/>
        <v>4.3939999999999992</v>
      </c>
      <c r="D7" s="613">
        <f>IF(B7&gt;0,VLOOKUP(A7,'Lista Suspensa'!$A$1:$F$92,3,),0)</f>
        <v>87.88</v>
      </c>
      <c r="E7" s="613">
        <f>IF(OR(B7&gt;0,C7&gt;0),VLOOKUP(A7,'Lista Suspensa'!$A$1:$F$90,4,),0)</f>
        <v>8.9600000000000009</v>
      </c>
      <c r="F7" s="613">
        <f>IF(OR(B7&gt;0,C7&gt;0),VLOOKUP(A7,'Lista Suspensa'!$A$1:$F$90,5,),0)</f>
        <v>86.92</v>
      </c>
      <c r="G7" s="402">
        <f>IF(OR(B7&gt;0,C7&gt;0),VLOOKUP(A7,'Lista Suspensa'!$A$1:$F$90,6,),0)</f>
        <v>1.3873200000000001</v>
      </c>
      <c r="H7" s="612">
        <v>5</v>
      </c>
      <c r="I7" s="613">
        <f t="shared" si="12"/>
        <v>4.3939999999999992</v>
      </c>
      <c r="J7" s="613">
        <f>IF(H7&gt;0,VLOOKUP(A7,'Lista Suspensa'!$A$1:$F$92,3,),0)</f>
        <v>87.88</v>
      </c>
      <c r="K7" s="613">
        <f>IF(OR(H7&gt;0,I7&gt;0),VLOOKUP(A7,'Lista Suspensa'!$A$1:$F$90,4,),0)</f>
        <v>8.9600000000000009</v>
      </c>
      <c r="L7" s="613">
        <f>IF(OR(H7&gt;0,I7&gt;0),VLOOKUP(A7,'Lista Suspensa'!$A$1:$F$90,5,),0)</f>
        <v>86.92</v>
      </c>
      <c r="M7" s="402">
        <f>IF(OR(H7&gt;0,I7&gt;0),VLOOKUP(A7,'Lista Suspensa'!$A$1:$F$90,6,),0)</f>
        <v>1.3873200000000001</v>
      </c>
      <c r="N7" s="612">
        <v>5</v>
      </c>
      <c r="O7" s="613">
        <f t="shared" si="1"/>
        <v>4.3939999999999992</v>
      </c>
      <c r="P7" s="613">
        <f>IF(N7&gt;0,VLOOKUP(A7,'Lista Suspensa'!$A$1:$F$92,3,),0)</f>
        <v>87.88</v>
      </c>
      <c r="Q7" s="613">
        <f>IF(OR(N7&gt;0,O7&gt;0),VLOOKUP(A7,'Lista Suspensa'!$A$1:$F$90,4,),0)</f>
        <v>8.9600000000000009</v>
      </c>
      <c r="R7" s="613">
        <f>IF(OR(N7&gt;0,O7&gt;0),VLOOKUP(A7,'Lista Suspensa'!$A$1:$F$90,5,),0)</f>
        <v>86.92</v>
      </c>
      <c r="S7" s="402">
        <f>IF(OR(N7&gt;0,O7&gt;0),VLOOKUP(A7,'Lista Suspensa'!$A$1:$F$90,6,),0)</f>
        <v>1.3873200000000001</v>
      </c>
      <c r="T7" s="612">
        <v>10</v>
      </c>
      <c r="U7" s="613">
        <f t="shared" si="2"/>
        <v>8.7879999999999985</v>
      </c>
      <c r="V7" s="613">
        <f>IF(T7&gt;0,VLOOKUP(A7,'Lista Suspensa'!$A$1:$F$92,3,),0)</f>
        <v>87.88</v>
      </c>
      <c r="W7" s="613">
        <f>IF(OR(T7&gt;0,U7&gt;0),VLOOKUP(A7,'Lista Suspensa'!$A$1:$F$90,4,),0)</f>
        <v>8.9600000000000009</v>
      </c>
      <c r="X7" s="613">
        <f>IF(OR(T7&gt;0,U7&gt;0),VLOOKUP(A7,'Lista Suspensa'!$A$1:$F$90,5,),0)</f>
        <v>86.92</v>
      </c>
      <c r="Y7" s="402">
        <f>IF(OR(T7&gt;0,U7&gt;0),VLOOKUP(A7,'Lista Suspensa'!$A$1:$F$90,6,),0)</f>
        <v>1.3873200000000001</v>
      </c>
      <c r="Z7" s="612">
        <v>10</v>
      </c>
      <c r="AA7" s="613">
        <f t="shared" si="3"/>
        <v>8.7879999999999985</v>
      </c>
      <c r="AB7" s="613">
        <f>IF(Z7&gt;0,VLOOKUP(A7,'Lista Suspensa'!$A$1:$F$92,3,),0)</f>
        <v>87.88</v>
      </c>
      <c r="AC7" s="613">
        <f>IF(OR(Z7&gt;0,AA7&gt;0),VLOOKUP(A7,'Lista Suspensa'!$A$1:$F$90,4,),0)</f>
        <v>8.9600000000000009</v>
      </c>
      <c r="AD7" s="613">
        <f>IF(OR(Z7&gt;0,AA7&gt;0),VLOOKUP(A7,'Lista Suspensa'!$A$1:$F$90,5,),0)</f>
        <v>86.92</v>
      </c>
      <c r="AE7" s="402">
        <f>IF(OR(Z7&gt;0,AA7&gt;0),VLOOKUP(A7,'Lista Suspensa'!$A$1:$F$90,6,),0)</f>
        <v>1.3873200000000001</v>
      </c>
      <c r="AF7" s="612">
        <v>10</v>
      </c>
      <c r="AG7" s="613">
        <f t="shared" si="13"/>
        <v>8.7879999999999985</v>
      </c>
      <c r="AH7" s="613">
        <f>IF(AF7&gt;0,VLOOKUP(A7,'Lista Suspensa'!$A$1:$F$92,3,),0)</f>
        <v>87.88</v>
      </c>
      <c r="AI7" s="613">
        <f>IF(OR(AF7&gt;0,AG7&gt;0),VLOOKUP(A7,'Lista Suspensa'!$A$1:$F$90,4,),0)</f>
        <v>8.9600000000000009</v>
      </c>
      <c r="AJ7" s="613">
        <f>IF(OR(AF7&gt;0,AG7&gt;0),VLOOKUP(A7,'Lista Suspensa'!$A$1:$F$90,5,),0)</f>
        <v>86.92</v>
      </c>
      <c r="AK7" s="402">
        <f>IF(OR(AF7&gt;0,AG7&gt;0),VLOOKUP(A7,'Lista Suspensa'!$A$1:$F$90,6,),0)</f>
        <v>1.3873200000000001</v>
      </c>
      <c r="AL7" s="612">
        <v>10</v>
      </c>
      <c r="AM7" s="613">
        <f t="shared" si="4"/>
        <v>8.7879999999999985</v>
      </c>
      <c r="AN7" s="613">
        <f>IF(AL7&gt;0,VLOOKUP(A7,'Lista Suspensa'!$A$1:$F$92,3,),0)</f>
        <v>87.88</v>
      </c>
      <c r="AO7" s="613">
        <f>IF(OR(AL7&gt;0,AM7&gt;0),VLOOKUP(A7,'Lista Suspensa'!$A$1:$F$90,4,),0)</f>
        <v>8.9600000000000009</v>
      </c>
      <c r="AP7" s="613">
        <f>IF(OR(AL7&gt;0,AM7&gt;0),VLOOKUP(A7,'Lista Suspensa'!$A$1:$F$90,5,),0)</f>
        <v>86.92</v>
      </c>
      <c r="AQ7" s="402">
        <f>IF(OR(AL7&gt;0,AM7&gt;0),VLOOKUP(A7,'Lista Suspensa'!$A$1:$F$90,6,),0)</f>
        <v>1.3873200000000001</v>
      </c>
      <c r="AR7" s="612">
        <v>10</v>
      </c>
      <c r="AS7" s="613">
        <f t="shared" si="14"/>
        <v>8.7879999999999985</v>
      </c>
      <c r="AT7" s="613">
        <f>IF(AR7&gt;0,VLOOKUP(A7,'Lista Suspensa'!$A$1:$F$92,3,),0)</f>
        <v>87.88</v>
      </c>
      <c r="AU7" s="613">
        <f>IF(OR(AR7&gt;0,AS7&gt;0),VLOOKUP(A7,'Lista Suspensa'!$A$1:$F$90,4,),0)</f>
        <v>8.9600000000000009</v>
      </c>
      <c r="AV7" s="613">
        <f>IF(OR(AR7&gt;0,AS7&gt;0),VLOOKUP(A7,'Lista Suspensa'!$A$1:$F$90,5,),0)</f>
        <v>86.92</v>
      </c>
      <c r="AW7" s="37">
        <f>IF(OR(AR7&gt;0,AS7&gt;0),VLOOKUP(A7,'Lista Suspensa'!$A$1:$F$90,6,),0)</f>
        <v>1.3873200000000001</v>
      </c>
      <c r="AX7" s="612">
        <v>10</v>
      </c>
      <c r="AY7" s="613">
        <f t="shared" si="5"/>
        <v>8.7879999999999985</v>
      </c>
      <c r="AZ7" s="613">
        <f>IF(AX7&gt;0,VLOOKUP(A7,'Lista Suspensa'!$A$1:$F$92,3,),0)</f>
        <v>87.88</v>
      </c>
      <c r="BA7" s="613">
        <f>IF(OR(AX7&gt;0,AY7&gt;0),VLOOKUP(A7,'Lista Suspensa'!$A$1:$F$90,4,),0)</f>
        <v>8.9600000000000009</v>
      </c>
      <c r="BB7" s="613">
        <f>IF(OR(AX7&gt;0,AY7&gt;0),VLOOKUP(A7,'Lista Suspensa'!$A$1:$F$90,5,),0)</f>
        <v>86.92</v>
      </c>
      <c r="BC7" s="37">
        <f>IF(OR(AX7&gt;0,AY7&gt;0),VLOOKUP(A7,'Lista Suspensa'!$A$1:$F$90,6,),0)</f>
        <v>1.3873200000000001</v>
      </c>
      <c r="BD7" s="612">
        <v>10</v>
      </c>
      <c r="BE7" s="613">
        <f t="shared" si="6"/>
        <v>8.7879999999999985</v>
      </c>
      <c r="BF7" s="613">
        <f>IF(BD7&gt;0,VLOOKUP(A7,'Lista Suspensa'!$A$1:$F$92,3,),0)</f>
        <v>87.88</v>
      </c>
      <c r="BG7" s="613">
        <f>IF(OR(BD7&gt;0,BE7&gt;0),VLOOKUP(A7,'Lista Suspensa'!$A$1:$F$90,4,),0)</f>
        <v>8.9600000000000009</v>
      </c>
      <c r="BH7" s="613">
        <f>IF(OR(BD7&gt;0,BE7&gt;0),VLOOKUP(A7,'Lista Suspensa'!$A$1:$F$90,5,),0)</f>
        <v>86.92</v>
      </c>
      <c r="BI7" s="37">
        <f>IF(OR(BD7&gt;0,BE7&gt;0),VLOOKUP(A7,'Lista Suspensa'!$A$1:$F$90,6,),0)</f>
        <v>1.3873200000000001</v>
      </c>
      <c r="BJ7" s="612">
        <v>10</v>
      </c>
      <c r="BK7" s="613">
        <f t="shared" si="7"/>
        <v>8.7879999999999985</v>
      </c>
      <c r="BL7" s="613">
        <f>IF(BJ7&gt;0,VLOOKUP(A7,'Lista Suspensa'!$A$1:$F$92,3,),0)</f>
        <v>87.88</v>
      </c>
      <c r="BM7" s="613">
        <f>IF(OR(BJ7&gt;0,BK7&gt;0),VLOOKUP(A7,'Lista Suspensa'!$A$1:$F$90,4,),0)</f>
        <v>8.9600000000000009</v>
      </c>
      <c r="BN7" s="613">
        <f>IF(OR(BJ7&gt;0,BK7&gt;0),VLOOKUP(A7,'Lista Suspensa'!$A$1:$F$90,5,),0)</f>
        <v>86.92</v>
      </c>
      <c r="BO7" s="37">
        <f>IF(OR(BJ7&gt;0,BK7&gt;0),VLOOKUP(A7,'Lista Suspensa'!$A$1:$F$90,6,),0)</f>
        <v>1.3873200000000001</v>
      </c>
      <c r="BP7" s="612">
        <v>10</v>
      </c>
      <c r="BQ7" s="613">
        <f t="shared" si="8"/>
        <v>8.7879999999999985</v>
      </c>
      <c r="BR7" s="613">
        <f>IF(BP7&gt;0,VLOOKUP(A7,'Lista Suspensa'!$A$1:$F$92,3,),0)</f>
        <v>87.88</v>
      </c>
      <c r="BS7" s="613">
        <f>IF(OR(BP7&gt;0,BQ7&gt;0),VLOOKUP(A7,'Lista Suspensa'!$A$1:$F$90,4,),0)</f>
        <v>8.9600000000000009</v>
      </c>
      <c r="BT7" s="613">
        <f>IF(OR(BP7&gt;0,BQ7&gt;0),VLOOKUP(A7,'Lista Suspensa'!$A$1:$F$90,5,),0)</f>
        <v>86.92</v>
      </c>
      <c r="BU7" s="37">
        <f>IF(OR(BP7&gt;0,BQ7&gt;0),VLOOKUP(A7,'Lista Suspensa'!$A$1:$F$90,6,),0)</f>
        <v>1.3873200000000001</v>
      </c>
      <c r="BV7" s="612">
        <v>10</v>
      </c>
      <c r="BW7" s="613">
        <f t="shared" si="9"/>
        <v>8.7879999999999985</v>
      </c>
      <c r="BX7" s="613">
        <f>IF(BV7&gt;0,VLOOKUP(A7,'Lista Suspensa'!$A$1:$F$92,3,),0)</f>
        <v>87.88</v>
      </c>
      <c r="BY7" s="613">
        <f>IF(OR(BV7&gt;0,BW7&gt;0),VLOOKUP(A7,'Lista Suspensa'!$A$1:$F$90,4,),0)</f>
        <v>8.9600000000000009</v>
      </c>
      <c r="BZ7" s="613">
        <f>IF(OR(BV7&gt;0,BW7&gt;0),VLOOKUP(A7,'Lista Suspensa'!$A$1:$F$90,5,),0)</f>
        <v>86.92</v>
      </c>
      <c r="CA7" s="37">
        <f>IF(OR(BV7&gt;0,BW7&gt;0),VLOOKUP(A7,'Lista Suspensa'!$A$1:$F$90,6,),0)</f>
        <v>1.3873200000000001</v>
      </c>
      <c r="CB7" s="612">
        <v>10</v>
      </c>
      <c r="CC7" s="613">
        <f t="shared" si="10"/>
        <v>8.7879999999999985</v>
      </c>
      <c r="CD7" s="613">
        <f>IF(CB7&gt;0,VLOOKUP(A7,'Lista Suspensa'!$A$1:$F$92,3,),0)</f>
        <v>87.88</v>
      </c>
      <c r="CE7" s="613">
        <f>IF(OR(CB7&gt;0,CC7&gt;0),VLOOKUP(A7,'Lista Suspensa'!$A$1:$F$90,4,),0)</f>
        <v>8.9600000000000009</v>
      </c>
      <c r="CF7" s="613">
        <f>IF(OR(CB7&gt;0,CC7&gt;0),VLOOKUP(A7,'Lista Suspensa'!$A$1:$F$90,5,),0)</f>
        <v>86.92</v>
      </c>
      <c r="CG7" s="37">
        <f>IF(OR(CB7&gt;0,CC7&gt;0),VLOOKUP(A7,'Lista Suspensa'!$A$1:$F$90,6,),0)</f>
        <v>1.3873200000000001</v>
      </c>
      <c r="CH7" s="612">
        <v>5</v>
      </c>
      <c r="CI7" s="613">
        <f t="shared" si="11"/>
        <v>4.3939999999999992</v>
      </c>
      <c r="CJ7" s="613">
        <f>IF(CH7&gt;0,VLOOKUP(A7,'Lista Suspensa'!$A$1:$F$92,3,),0)</f>
        <v>87.88</v>
      </c>
      <c r="CK7" s="613">
        <f>IF(OR(CH7&gt;0,CI7&gt;0),VLOOKUP(A7,'Lista Suspensa'!$A$1:$F$90,4,),0)</f>
        <v>8.9600000000000009</v>
      </c>
      <c r="CL7" s="613">
        <f>IF(OR(CH7&gt;0,CI7&gt;0),VLOOKUP(A7,'Lista Suspensa'!$A$1:$F$90,5,),0)</f>
        <v>86.92</v>
      </c>
      <c r="CM7" s="636">
        <f>IF(OR(CH7&gt;0,CI7&gt;0),VLOOKUP(A7,'Lista Suspensa'!$A$1:$F$90,6,),0)</f>
        <v>1.3873200000000001</v>
      </c>
      <c r="CN7" s="640"/>
      <c r="CO7" s="403">
        <f t="shared" si="15"/>
        <v>0</v>
      </c>
      <c r="CP7" s="756">
        <f>IF(CN7&gt;0,VLOOKUP(A7,'Lista Suspensa'!$A$1:$F$92,3,),0)</f>
        <v>0</v>
      </c>
      <c r="CQ7" s="641">
        <f>IF(OR(CN7&gt;0,CO7&gt;0),VLOOKUP(A7,'Lista Suspensa'!$A$1:$F$90,6,),0)</f>
        <v>0</v>
      </c>
      <c r="CR7" s="628"/>
      <c r="CS7" s="633"/>
      <c r="CT7" s="633"/>
      <c r="CU7" s="628"/>
      <c r="CV7" s="628"/>
      <c r="CW7" s="628"/>
      <c r="CX7" s="628"/>
      <c r="CY7" s="628"/>
      <c r="CZ7" s="628"/>
      <c r="DA7" s="628"/>
      <c r="DB7" s="628"/>
      <c r="DC7" s="628"/>
      <c r="DD7" s="628"/>
      <c r="DE7" s="628"/>
      <c r="DF7" s="628"/>
      <c r="DG7" s="628"/>
      <c r="DH7" s="628"/>
    </row>
    <row r="8" spans="1:2106" s="588" customFormat="1">
      <c r="A8" s="614"/>
      <c r="B8" s="615"/>
      <c r="C8" s="616">
        <f t="shared" si="0"/>
        <v>0</v>
      </c>
      <c r="D8" s="616">
        <f>IF(B8&gt;0,VLOOKUP(A8,'Lista Suspensa'!$A$1:$F$92,3,),0)</f>
        <v>0</v>
      </c>
      <c r="E8" s="616">
        <f>IF(OR(B8&gt;0,C8&gt;0),VLOOKUP(A8,'Lista Suspensa'!$A$1:$F$90,4,),0)</f>
        <v>0</v>
      </c>
      <c r="F8" s="616">
        <f>IF(OR(B8&gt;0,C8&gt;0),VLOOKUP(A8,'Lista Suspensa'!$A$1:$F$90,5,),0)</f>
        <v>0</v>
      </c>
      <c r="G8" s="587">
        <f>IF(OR(B8&gt;0,C8&gt;0),VLOOKUP(A8,'Lista Suspensa'!$A$1:$F$90,6,),0)</f>
        <v>0</v>
      </c>
      <c r="H8" s="615"/>
      <c r="I8" s="623">
        <f t="shared" si="12"/>
        <v>0</v>
      </c>
      <c r="J8" s="616">
        <f>IF(H8&gt;0,VLOOKUP(A8,'Lista Suspensa'!$A$1:$F$92,3,),0)</f>
        <v>0</v>
      </c>
      <c r="K8" s="616">
        <f>IF(OR(H8&gt;0,I8&gt;0),VLOOKUP(A8,'Lista Suspensa'!$A$1:$F$90,4,),0)</f>
        <v>0</v>
      </c>
      <c r="L8" s="616">
        <f>IF(OR(H8&gt;0,I8&gt;0),VLOOKUP(A8,'Lista Suspensa'!$A$1:$F$90,5,),0)</f>
        <v>0</v>
      </c>
      <c r="M8" s="587">
        <f>IF(OR(H8&gt;0,I8&gt;0),VLOOKUP(A8,'Lista Suspensa'!$A$1:$F$90,6,),0)</f>
        <v>0</v>
      </c>
      <c r="N8" s="615"/>
      <c r="O8" s="623">
        <f t="shared" si="1"/>
        <v>0</v>
      </c>
      <c r="P8" s="616">
        <f>IF(N8&gt;0,VLOOKUP(A8,'Lista Suspensa'!$A$1:$F$92,3,),0)</f>
        <v>0</v>
      </c>
      <c r="Q8" s="616">
        <f>IF(OR(N8&gt;0,O8&gt;0),VLOOKUP(A8,'Lista Suspensa'!$A$1:$F$90,4,),0)</f>
        <v>0</v>
      </c>
      <c r="R8" s="616">
        <f>IF(OR(N8&gt;0,O8&gt;0),VLOOKUP(A8,'Lista Suspensa'!$A$1:$F$90,5,),0)</f>
        <v>0</v>
      </c>
      <c r="S8" s="587">
        <f>IF(OR(N8&gt;0,O8&gt;0),VLOOKUP(A8,'Lista Suspensa'!$A$1:$F$90,6,),0)</f>
        <v>0</v>
      </c>
      <c r="T8" s="615"/>
      <c r="U8" s="623">
        <f t="shared" si="2"/>
        <v>0</v>
      </c>
      <c r="V8" s="616">
        <f>IF(T8&gt;0,VLOOKUP(A8,'Lista Suspensa'!$A$1:$F$92,3,),0)</f>
        <v>0</v>
      </c>
      <c r="W8" s="616">
        <f>IF(OR(T8&gt;0,U8&gt;0),VLOOKUP(A8,'Lista Suspensa'!$A$1:$F$90,4,),0)</f>
        <v>0</v>
      </c>
      <c r="X8" s="616">
        <f>IF(OR(T8&gt;0,U8&gt;0),VLOOKUP(A8,'Lista Suspensa'!$A$1:$F$90,5,),0)</f>
        <v>0</v>
      </c>
      <c r="Y8" s="587">
        <f>IF(OR(T8&gt;0,U8&gt;0),VLOOKUP(A8,'Lista Suspensa'!$A$1:$F$90,6,),0)</f>
        <v>0</v>
      </c>
      <c r="Z8" s="615"/>
      <c r="AA8" s="623">
        <f t="shared" si="3"/>
        <v>0</v>
      </c>
      <c r="AB8" s="616">
        <f>IF(Z8&gt;0,VLOOKUP(A8,'Lista Suspensa'!$A$1:$F$92,3,),0)</f>
        <v>0</v>
      </c>
      <c r="AC8" s="616">
        <f>IF(OR(Z8&gt;0,AA8&gt;0),VLOOKUP(A8,'Lista Suspensa'!$A$1:$F$90,4,),0)</f>
        <v>0</v>
      </c>
      <c r="AD8" s="616">
        <f>IF(OR(Z8&gt;0,AA8&gt;0),VLOOKUP(A8,'Lista Suspensa'!$A$1:$F$90,5,),0)</f>
        <v>0</v>
      </c>
      <c r="AE8" s="587">
        <f>IF(OR(Z8&gt;0,AA8&gt;0),VLOOKUP(A8,'Lista Suspensa'!$A$1:$F$90,6,),0)</f>
        <v>0</v>
      </c>
      <c r="AF8" s="615"/>
      <c r="AG8" s="623">
        <f t="shared" si="13"/>
        <v>0</v>
      </c>
      <c r="AH8" s="616">
        <f>IF(AF8&gt;0,VLOOKUP(A8,'Lista Suspensa'!$A$1:$F$92,3,),0)</f>
        <v>0</v>
      </c>
      <c r="AI8" s="616">
        <f>IF(OR(AF8&gt;0,AG8&gt;0),VLOOKUP(A8,'Lista Suspensa'!$A$1:$F$90,4,),0)</f>
        <v>0</v>
      </c>
      <c r="AJ8" s="616">
        <f>IF(OR(AF8&gt;0,AG8&gt;0),VLOOKUP(A8,'Lista Suspensa'!$A$1:$F$90,5,),0)</f>
        <v>0</v>
      </c>
      <c r="AK8" s="587">
        <f>IF(OR(AF8&gt;0,AG8&gt;0),VLOOKUP(A8,'Lista Suspensa'!$A$1:$F$90,6,),0)</f>
        <v>0</v>
      </c>
      <c r="AL8" s="615"/>
      <c r="AM8" s="623">
        <f t="shared" si="4"/>
        <v>0</v>
      </c>
      <c r="AN8" s="616">
        <f>IF(AL8&gt;0,VLOOKUP(A8,'Lista Suspensa'!$A$1:$F$92,3,),0)</f>
        <v>0</v>
      </c>
      <c r="AO8" s="616">
        <f>IF(OR(AL8&gt;0,AM8&gt;0),VLOOKUP(A8,'Lista Suspensa'!$A$1:$F$90,4,),0)</f>
        <v>0</v>
      </c>
      <c r="AP8" s="616">
        <f>IF(OR(AL8&gt;0,AM8&gt;0),VLOOKUP(A8,'Lista Suspensa'!$A$1:$F$90,5,),0)</f>
        <v>0</v>
      </c>
      <c r="AQ8" s="587">
        <f>IF(OR(AL8&gt;0,AM8&gt;0),VLOOKUP(A8,'Lista Suspensa'!$A$1:$F$90,6,),0)</f>
        <v>0</v>
      </c>
      <c r="AR8" s="615"/>
      <c r="AS8" s="623">
        <f t="shared" si="14"/>
        <v>0</v>
      </c>
      <c r="AT8" s="616">
        <f>IF(AR8&gt;0,VLOOKUP(A8,'Lista Suspensa'!$A$1:$F$92,3,),0)</f>
        <v>0</v>
      </c>
      <c r="AU8" s="616">
        <f>IF(OR(AR8&gt;0,AS8&gt;0),VLOOKUP(A8,'Lista Suspensa'!$A$1:$F$90,4,),0)</f>
        <v>0</v>
      </c>
      <c r="AV8" s="616">
        <f>IF(OR(AR8&gt;0,AS8&gt;0),VLOOKUP(A8,'Lista Suspensa'!$A$1:$F$90,5,),0)</f>
        <v>0</v>
      </c>
      <c r="AW8" s="586">
        <f>IF(OR(AR8&gt;0,AS8&gt;0),VLOOKUP(A8,'Lista Suspensa'!$A$1:$F$90,6,),0)</f>
        <v>0</v>
      </c>
      <c r="AX8" s="615"/>
      <c r="AY8" s="623">
        <f t="shared" si="5"/>
        <v>0</v>
      </c>
      <c r="AZ8" s="616">
        <f>IF(AX8&gt;0,VLOOKUP(A8,'Lista Suspensa'!$A$1:$F$92,3,),0)</f>
        <v>0</v>
      </c>
      <c r="BA8" s="616">
        <f>IF(OR(AX8&gt;0,AY8&gt;0),VLOOKUP(A8,'Lista Suspensa'!$A$1:$F$90,4,),0)</f>
        <v>0</v>
      </c>
      <c r="BB8" s="616">
        <f>IF(OR(AX8&gt;0,AY8&gt;0),VLOOKUP(A8,'Lista Suspensa'!$A$1:$F$90,5,),0)</f>
        <v>0</v>
      </c>
      <c r="BC8" s="586">
        <f>IF(OR(AX8&gt;0,AY8&gt;0),VLOOKUP(A8,'Lista Suspensa'!$A$1:$F$90,6,),0)</f>
        <v>0</v>
      </c>
      <c r="BD8" s="615"/>
      <c r="BE8" s="623">
        <f t="shared" si="6"/>
        <v>0</v>
      </c>
      <c r="BF8" s="616">
        <f>IF(BD8&gt;0,VLOOKUP(A8,'Lista Suspensa'!$A$1:$F$92,3,),0)</f>
        <v>0</v>
      </c>
      <c r="BG8" s="616">
        <f>IF(OR(BD8&gt;0,BE8&gt;0),VLOOKUP(A8,'Lista Suspensa'!$A$1:$F$90,4,),0)</f>
        <v>0</v>
      </c>
      <c r="BH8" s="616">
        <f>IF(OR(BD8&gt;0,BE8&gt;0),VLOOKUP(A8,'Lista Suspensa'!$A$1:$F$90,5,),0)</f>
        <v>0</v>
      </c>
      <c r="BI8" s="586">
        <f>IF(OR(BD8&gt;0,BE8&gt;0),VLOOKUP(A8,'Lista Suspensa'!$A$1:$F$90,6,),0)</f>
        <v>0</v>
      </c>
      <c r="BJ8" s="615"/>
      <c r="BK8" s="623">
        <f t="shared" si="7"/>
        <v>0</v>
      </c>
      <c r="BL8" s="616">
        <f>IF(BJ8&gt;0,VLOOKUP(A8,'Lista Suspensa'!$A$1:$F$92,3,),0)</f>
        <v>0</v>
      </c>
      <c r="BM8" s="616">
        <f>IF(OR(BJ8&gt;0,BK8&gt;0),VLOOKUP(A8,'Lista Suspensa'!$A$1:$F$90,4,),0)</f>
        <v>0</v>
      </c>
      <c r="BN8" s="616">
        <f>IF(OR(BJ8&gt;0,BK8&gt;0),VLOOKUP(A8,'Lista Suspensa'!$A$1:$F$90,5,),0)</f>
        <v>0</v>
      </c>
      <c r="BO8" s="586">
        <f>IF(OR(BJ8&gt;0,BK8&gt;0),VLOOKUP(A8,'Lista Suspensa'!$A$1:$F$90,6,),0)</f>
        <v>0</v>
      </c>
      <c r="BP8" s="615"/>
      <c r="BQ8" s="623">
        <f t="shared" si="8"/>
        <v>0</v>
      </c>
      <c r="BR8" s="616">
        <f>IF(BP8&gt;0,VLOOKUP(A8,'Lista Suspensa'!$A$1:$F$92,3,),0)</f>
        <v>0</v>
      </c>
      <c r="BS8" s="616">
        <f>IF(OR(BP8&gt;0,BQ8&gt;0),VLOOKUP(A8,'Lista Suspensa'!$A$1:$F$90,4,),0)</f>
        <v>0</v>
      </c>
      <c r="BT8" s="616">
        <f>IF(OR(BP8&gt;0,BQ8&gt;0),VLOOKUP(A8,'Lista Suspensa'!$A$1:$F$90,5,),0)</f>
        <v>0</v>
      </c>
      <c r="BU8" s="586">
        <f>IF(OR(BP8&gt;0,BQ8&gt;0),VLOOKUP(A8,'Lista Suspensa'!$A$1:$F$90,6,),0)</f>
        <v>0</v>
      </c>
      <c r="BV8" s="615"/>
      <c r="BW8" s="623">
        <f t="shared" si="9"/>
        <v>0</v>
      </c>
      <c r="BX8" s="616">
        <f>IF(BV8&gt;0,VLOOKUP(A8,'Lista Suspensa'!$A$1:$F$92,3,),0)</f>
        <v>0</v>
      </c>
      <c r="BY8" s="616">
        <f>IF(OR(BV8&gt;0,BW8&gt;0),VLOOKUP(A8,'Lista Suspensa'!$A$1:$F$90,4,),0)</f>
        <v>0</v>
      </c>
      <c r="BZ8" s="616">
        <f>IF(OR(BV8&gt;0,BW8&gt;0),VLOOKUP(A8,'Lista Suspensa'!$A$1:$F$90,5,),0)</f>
        <v>0</v>
      </c>
      <c r="CA8" s="586">
        <f>IF(OR(BV8&gt;0,BW8&gt;0),VLOOKUP(A8,'Lista Suspensa'!$A$1:$F$90,6,),0)</f>
        <v>0</v>
      </c>
      <c r="CB8" s="615"/>
      <c r="CC8" s="623">
        <f t="shared" si="10"/>
        <v>0</v>
      </c>
      <c r="CD8" s="616">
        <f>IF(CB8&gt;0,VLOOKUP(A8,'Lista Suspensa'!$A$1:$F$92,3,),0)</f>
        <v>0</v>
      </c>
      <c r="CE8" s="616">
        <f>IF(OR(CB8&gt;0,CC8&gt;0),VLOOKUP(A8,'Lista Suspensa'!$A$1:$F$90,4,),0)</f>
        <v>0</v>
      </c>
      <c r="CF8" s="616">
        <f>IF(OR(CB8&gt;0,CC8&gt;0),VLOOKUP(A8,'Lista Suspensa'!$A$1:$F$90,5,),0)</f>
        <v>0</v>
      </c>
      <c r="CG8" s="586">
        <f>IF(OR(CB8&gt;0,CC8&gt;0),VLOOKUP(A8,'Lista Suspensa'!$A$1:$F$90,6,),0)</f>
        <v>0</v>
      </c>
      <c r="CH8" s="615"/>
      <c r="CI8" s="623">
        <f t="shared" si="11"/>
        <v>0</v>
      </c>
      <c r="CJ8" s="616">
        <f>IF(CH8&gt;0,VLOOKUP(A8,'Lista Suspensa'!$A$1:$F$92,3,),0)</f>
        <v>0</v>
      </c>
      <c r="CK8" s="616">
        <f>IF(OR(CH8&gt;0,CI8&gt;0),VLOOKUP(A8,'Lista Suspensa'!$A$1:$F$90,4,),0)</f>
        <v>0</v>
      </c>
      <c r="CL8" s="616">
        <f>IF(OR(CH8&gt;0,CI8&gt;0),VLOOKUP(A8,'Lista Suspensa'!$A$1:$F$90,5,),0)</f>
        <v>0</v>
      </c>
      <c r="CM8" s="637">
        <f>IF(OR(CH8&gt;0,CI8&gt;0),VLOOKUP(A8,'Lista Suspensa'!$A$1:$F$90,6,),0)</f>
        <v>0</v>
      </c>
      <c r="CN8" s="642"/>
      <c r="CO8" s="403">
        <f t="shared" si="15"/>
        <v>0</v>
      </c>
      <c r="CP8" s="756">
        <f>IF(CN8&gt;0,VLOOKUP(A8,'Lista Suspensa'!$A$1:$F$92,3,),0)</f>
        <v>0</v>
      </c>
      <c r="CQ8" s="643">
        <f>IF(OR(CN8&gt;0,CO8&gt;0),VLOOKUP(A8,'Lista Suspensa'!$A$1:$F$90,6,),0)</f>
        <v>0</v>
      </c>
      <c r="CR8" s="628"/>
      <c r="CS8" s="633"/>
      <c r="CT8" s="633"/>
      <c r="CU8" s="628"/>
      <c r="CV8" s="628"/>
      <c r="CW8" s="628"/>
      <c r="CX8" s="628"/>
      <c r="CY8" s="628"/>
      <c r="CZ8" s="628"/>
      <c r="DA8" s="628"/>
      <c r="DB8" s="628"/>
      <c r="DC8" s="628"/>
      <c r="DD8" s="628"/>
      <c r="DE8" s="628"/>
      <c r="DF8" s="628"/>
      <c r="DG8" s="628"/>
      <c r="DH8" s="628"/>
      <c r="DI8" s="583"/>
      <c r="DJ8" s="583"/>
      <c r="DK8" s="583"/>
      <c r="DL8" s="583"/>
      <c r="DM8" s="583"/>
      <c r="DN8" s="583"/>
      <c r="DO8" s="583"/>
      <c r="DP8" s="583"/>
      <c r="DQ8" s="583"/>
      <c r="DR8" s="583"/>
      <c r="DS8" s="583"/>
      <c r="DT8" s="583"/>
      <c r="DU8" s="583"/>
      <c r="DV8" s="583"/>
      <c r="DW8" s="583"/>
      <c r="DX8" s="583"/>
      <c r="DY8" s="583"/>
      <c r="DZ8" s="583"/>
      <c r="EA8" s="583"/>
      <c r="EB8" s="583"/>
      <c r="EC8" s="583"/>
      <c r="ED8" s="583"/>
      <c r="EE8" s="583"/>
      <c r="EF8" s="583"/>
      <c r="EG8" s="583"/>
      <c r="EH8" s="583"/>
      <c r="EI8" s="583"/>
      <c r="EJ8" s="583"/>
      <c r="EK8" s="583"/>
      <c r="EL8" s="583"/>
      <c r="EM8" s="583"/>
      <c r="EN8" s="583"/>
      <c r="EO8" s="583"/>
      <c r="EP8" s="583"/>
      <c r="EQ8" s="583"/>
      <c r="ER8" s="583"/>
      <c r="ES8" s="583"/>
      <c r="ET8" s="583"/>
      <c r="EU8" s="583"/>
      <c r="EV8" s="583"/>
      <c r="EW8" s="583"/>
      <c r="EX8" s="583"/>
      <c r="EY8" s="583"/>
      <c r="EZ8" s="583"/>
      <c r="FA8" s="583"/>
      <c r="FB8" s="583"/>
      <c r="FC8" s="583"/>
      <c r="FD8" s="583"/>
      <c r="FE8" s="583"/>
      <c r="FF8" s="583"/>
      <c r="FG8" s="583"/>
      <c r="FH8" s="583"/>
      <c r="FI8" s="583"/>
      <c r="FJ8" s="583"/>
      <c r="FK8" s="583"/>
      <c r="FL8" s="583"/>
      <c r="FM8" s="583"/>
      <c r="FN8" s="583"/>
      <c r="FO8" s="583"/>
      <c r="FP8" s="583"/>
      <c r="FQ8" s="583"/>
      <c r="FR8" s="583"/>
      <c r="FS8" s="583"/>
      <c r="FT8" s="583"/>
      <c r="FU8" s="583"/>
      <c r="FV8" s="583"/>
      <c r="FW8" s="583"/>
      <c r="FX8" s="583"/>
      <c r="FY8" s="583"/>
      <c r="FZ8" s="583"/>
      <c r="GA8" s="583"/>
      <c r="GB8" s="583"/>
      <c r="GC8" s="583"/>
      <c r="GD8" s="583"/>
      <c r="GE8" s="583"/>
      <c r="GF8" s="583"/>
      <c r="GG8" s="583"/>
      <c r="GH8" s="583"/>
      <c r="GI8" s="583"/>
      <c r="GJ8" s="583"/>
      <c r="GK8" s="583"/>
      <c r="GL8" s="583"/>
      <c r="GM8" s="583"/>
      <c r="GN8" s="583"/>
      <c r="GO8" s="583"/>
      <c r="GP8" s="583"/>
      <c r="GQ8" s="583"/>
      <c r="GR8" s="583"/>
      <c r="GS8" s="583"/>
      <c r="GT8" s="583"/>
      <c r="GU8" s="583"/>
      <c r="GV8" s="583"/>
      <c r="GW8" s="583"/>
      <c r="GX8" s="583"/>
      <c r="GY8" s="583"/>
      <c r="GZ8" s="583"/>
      <c r="HA8" s="583"/>
      <c r="HB8" s="583"/>
      <c r="HC8" s="583"/>
      <c r="HD8" s="583"/>
      <c r="HE8" s="583"/>
      <c r="HF8" s="583"/>
      <c r="HG8" s="583"/>
      <c r="HH8" s="583"/>
      <c r="HI8" s="583"/>
      <c r="HJ8" s="583"/>
      <c r="HK8" s="583"/>
      <c r="HL8" s="583"/>
      <c r="HM8" s="583"/>
      <c r="HN8" s="583"/>
      <c r="HO8" s="583"/>
      <c r="HP8" s="583"/>
      <c r="HQ8" s="583"/>
      <c r="HR8" s="583"/>
      <c r="HS8" s="583"/>
      <c r="HT8" s="583"/>
      <c r="HU8" s="583"/>
      <c r="HV8" s="583"/>
      <c r="HW8" s="583"/>
      <c r="HX8" s="583"/>
      <c r="HY8" s="583"/>
      <c r="HZ8" s="583"/>
      <c r="IA8" s="583"/>
      <c r="IB8" s="583"/>
      <c r="IC8" s="583"/>
      <c r="ID8" s="583"/>
      <c r="IE8" s="583"/>
      <c r="IF8" s="583"/>
      <c r="IG8" s="583"/>
      <c r="IH8" s="583"/>
      <c r="II8" s="583"/>
      <c r="IJ8" s="583"/>
      <c r="IK8" s="583"/>
      <c r="IL8" s="583"/>
      <c r="IM8" s="583"/>
      <c r="IN8" s="583"/>
      <c r="IO8" s="583"/>
      <c r="IP8" s="583"/>
      <c r="IQ8" s="583"/>
      <c r="IR8" s="583"/>
      <c r="IS8" s="583"/>
      <c r="IT8" s="583"/>
      <c r="IU8" s="583"/>
      <c r="IV8" s="583"/>
      <c r="IW8" s="583"/>
      <c r="IX8" s="583"/>
      <c r="IY8" s="583"/>
      <c r="IZ8" s="583"/>
      <c r="JA8" s="583"/>
      <c r="JB8" s="583"/>
      <c r="JC8" s="583"/>
      <c r="JD8" s="583"/>
      <c r="JE8" s="583"/>
      <c r="JF8" s="583"/>
      <c r="JG8" s="583"/>
      <c r="JH8" s="583"/>
      <c r="JI8" s="583"/>
      <c r="JJ8" s="583"/>
      <c r="JK8" s="583"/>
      <c r="JL8" s="583"/>
      <c r="JM8" s="583"/>
      <c r="JN8" s="583"/>
      <c r="JO8" s="583"/>
      <c r="JP8" s="583"/>
      <c r="JQ8" s="583"/>
      <c r="JR8" s="583"/>
      <c r="JS8" s="583"/>
      <c r="JT8" s="583"/>
      <c r="JU8" s="583"/>
      <c r="JV8" s="583"/>
      <c r="JW8" s="583"/>
      <c r="JX8" s="583"/>
      <c r="JY8" s="583"/>
      <c r="JZ8" s="583"/>
      <c r="KA8" s="583"/>
      <c r="KB8" s="583"/>
      <c r="KC8" s="583"/>
      <c r="KD8" s="583"/>
      <c r="KE8" s="583"/>
      <c r="KF8" s="583"/>
      <c r="KG8" s="583"/>
      <c r="KH8" s="583"/>
      <c r="KI8" s="583"/>
      <c r="KJ8" s="583"/>
      <c r="KK8" s="583"/>
      <c r="KL8" s="583"/>
      <c r="KM8" s="583"/>
      <c r="KN8" s="583"/>
      <c r="KO8" s="583"/>
      <c r="KP8" s="583"/>
      <c r="KQ8" s="583"/>
      <c r="KR8" s="583"/>
      <c r="KS8" s="583"/>
      <c r="KT8" s="583"/>
      <c r="KU8" s="583"/>
      <c r="KV8" s="583"/>
      <c r="KW8" s="583"/>
      <c r="KX8" s="583"/>
      <c r="KY8" s="583"/>
      <c r="KZ8" s="583"/>
      <c r="LA8" s="583"/>
      <c r="LB8" s="583"/>
      <c r="LC8" s="583"/>
      <c r="LD8" s="583"/>
      <c r="LE8" s="583"/>
      <c r="LF8" s="583"/>
      <c r="LG8" s="583"/>
      <c r="LH8" s="583"/>
      <c r="LI8" s="583"/>
      <c r="LJ8" s="583"/>
      <c r="LK8" s="583"/>
      <c r="LL8" s="583"/>
      <c r="LM8" s="583"/>
      <c r="LN8" s="583"/>
      <c r="LO8" s="583"/>
      <c r="LP8" s="583"/>
      <c r="LQ8" s="583"/>
      <c r="LR8" s="583"/>
      <c r="LS8" s="583"/>
      <c r="LT8" s="583"/>
      <c r="LU8" s="583"/>
      <c r="LV8" s="583"/>
      <c r="LW8" s="583"/>
      <c r="LX8" s="583"/>
      <c r="LY8" s="583"/>
      <c r="LZ8" s="583"/>
      <c r="MA8" s="583"/>
      <c r="MB8" s="583"/>
      <c r="MC8" s="583"/>
      <c r="MD8" s="583"/>
      <c r="ME8" s="583"/>
      <c r="MF8" s="583"/>
      <c r="MG8" s="583"/>
      <c r="MH8" s="583"/>
      <c r="MI8" s="583"/>
      <c r="MJ8" s="583"/>
      <c r="MK8" s="583"/>
      <c r="ML8" s="583"/>
      <c r="MM8" s="583"/>
      <c r="MN8" s="583"/>
      <c r="MO8" s="583"/>
      <c r="MP8" s="583"/>
      <c r="MQ8" s="583"/>
      <c r="MR8" s="583"/>
      <c r="MS8" s="583"/>
      <c r="MT8" s="583"/>
      <c r="MU8" s="583"/>
      <c r="MV8" s="583"/>
      <c r="MW8" s="583"/>
      <c r="MX8" s="583"/>
      <c r="MY8" s="583"/>
      <c r="MZ8" s="583"/>
      <c r="NA8" s="583"/>
      <c r="NB8" s="583"/>
      <c r="NC8" s="583"/>
      <c r="ND8" s="583"/>
      <c r="NE8" s="583"/>
      <c r="NF8" s="583"/>
      <c r="NG8" s="583"/>
      <c r="NH8" s="583"/>
      <c r="NI8" s="583"/>
      <c r="NJ8" s="583"/>
      <c r="NK8" s="583"/>
      <c r="NL8" s="583"/>
      <c r="NM8" s="583"/>
      <c r="NN8" s="583"/>
      <c r="NO8" s="583"/>
      <c r="NP8" s="583"/>
      <c r="NQ8" s="583"/>
      <c r="NR8" s="583"/>
      <c r="NS8" s="583"/>
      <c r="NT8" s="583"/>
      <c r="NU8" s="583"/>
      <c r="NV8" s="583"/>
      <c r="NW8" s="583"/>
      <c r="NX8" s="583"/>
      <c r="NY8" s="583"/>
      <c r="NZ8" s="583"/>
      <c r="OA8" s="583"/>
      <c r="OB8" s="583"/>
      <c r="OC8" s="583"/>
      <c r="OD8" s="583"/>
      <c r="OE8" s="583"/>
      <c r="OF8" s="583"/>
      <c r="OG8" s="583"/>
      <c r="OH8" s="583"/>
      <c r="OI8" s="583"/>
      <c r="OJ8" s="583"/>
      <c r="OK8" s="583"/>
      <c r="OL8" s="583"/>
      <c r="OM8" s="583"/>
      <c r="ON8" s="583"/>
      <c r="OO8" s="583"/>
      <c r="OP8" s="583"/>
      <c r="OQ8" s="583"/>
      <c r="OR8" s="583"/>
      <c r="OS8" s="583"/>
      <c r="OT8" s="583"/>
      <c r="OU8" s="583"/>
      <c r="OV8" s="583"/>
      <c r="OW8" s="583"/>
      <c r="OX8" s="583"/>
      <c r="OY8" s="583"/>
      <c r="OZ8" s="583"/>
      <c r="PA8" s="583"/>
      <c r="PB8" s="583"/>
      <c r="PC8" s="583"/>
      <c r="PD8" s="583"/>
      <c r="PE8" s="583"/>
      <c r="PF8" s="583"/>
      <c r="PG8" s="583"/>
      <c r="PH8" s="583"/>
      <c r="PI8" s="583"/>
      <c r="PJ8" s="583"/>
      <c r="PK8" s="583"/>
      <c r="PL8" s="583"/>
      <c r="PM8" s="583"/>
      <c r="PN8" s="583"/>
      <c r="PO8" s="583"/>
      <c r="PP8" s="583"/>
      <c r="PQ8" s="583"/>
      <c r="PR8" s="583"/>
      <c r="PS8" s="583"/>
      <c r="PT8" s="583"/>
      <c r="PU8" s="583"/>
      <c r="PV8" s="583"/>
      <c r="PW8" s="583"/>
      <c r="PX8" s="583"/>
      <c r="PY8" s="583"/>
      <c r="PZ8" s="583"/>
      <c r="QA8" s="583"/>
      <c r="QB8" s="583"/>
      <c r="QC8" s="583"/>
      <c r="QD8" s="583"/>
      <c r="QE8" s="583"/>
      <c r="QF8" s="583"/>
      <c r="QG8" s="583"/>
      <c r="QH8" s="583"/>
      <c r="QI8" s="583"/>
      <c r="QJ8" s="583"/>
      <c r="QK8" s="583"/>
      <c r="QL8" s="583"/>
      <c r="QM8" s="583"/>
      <c r="QN8" s="583"/>
      <c r="QO8" s="583"/>
      <c r="QP8" s="583"/>
      <c r="QQ8" s="583"/>
      <c r="QR8" s="583"/>
      <c r="QS8" s="583"/>
      <c r="QT8" s="583"/>
      <c r="QU8" s="583"/>
      <c r="QV8" s="583"/>
      <c r="QW8" s="583"/>
      <c r="QX8" s="583"/>
      <c r="QY8" s="583"/>
      <c r="QZ8" s="583"/>
      <c r="RA8" s="583"/>
      <c r="RB8" s="583"/>
      <c r="RC8" s="583"/>
      <c r="RD8" s="583"/>
      <c r="RE8" s="583"/>
      <c r="RF8" s="583"/>
      <c r="RG8" s="583"/>
      <c r="RH8" s="583"/>
      <c r="RI8" s="583"/>
      <c r="RJ8" s="583"/>
      <c r="RK8" s="583"/>
      <c r="RL8" s="583"/>
      <c r="RM8" s="583"/>
      <c r="RN8" s="583"/>
      <c r="RO8" s="583"/>
      <c r="RP8" s="583"/>
      <c r="RQ8" s="583"/>
      <c r="RR8" s="583"/>
      <c r="RS8" s="583"/>
      <c r="RT8" s="583"/>
      <c r="RU8" s="583"/>
      <c r="RV8" s="583"/>
      <c r="RW8" s="583"/>
      <c r="RX8" s="583"/>
      <c r="RY8" s="583"/>
      <c r="RZ8" s="583"/>
      <c r="SA8" s="583"/>
      <c r="SB8" s="583"/>
      <c r="SC8" s="583"/>
      <c r="SD8" s="583"/>
      <c r="SE8" s="583"/>
      <c r="SF8" s="583"/>
      <c r="SG8" s="583"/>
      <c r="SH8" s="583"/>
      <c r="SI8" s="583"/>
      <c r="SJ8" s="583"/>
      <c r="SK8" s="583"/>
      <c r="SL8" s="583"/>
      <c r="SM8" s="583"/>
      <c r="SN8" s="583"/>
      <c r="SO8" s="583"/>
      <c r="SP8" s="583"/>
      <c r="SQ8" s="583"/>
      <c r="SR8" s="583"/>
      <c r="SS8" s="583"/>
      <c r="ST8" s="583"/>
      <c r="SU8" s="583"/>
      <c r="SV8" s="583"/>
      <c r="SW8" s="583"/>
      <c r="SX8" s="583"/>
      <c r="SY8" s="583"/>
      <c r="SZ8" s="583"/>
      <c r="TA8" s="583"/>
      <c r="TB8" s="583"/>
      <c r="TC8" s="583"/>
      <c r="TD8" s="583"/>
      <c r="TE8" s="583"/>
      <c r="TF8" s="583"/>
      <c r="TG8" s="583"/>
      <c r="TH8" s="583"/>
      <c r="TI8" s="583"/>
      <c r="TJ8" s="583"/>
      <c r="TK8" s="583"/>
      <c r="TL8" s="583"/>
      <c r="TM8" s="583"/>
      <c r="TN8" s="583"/>
      <c r="TO8" s="583"/>
      <c r="TP8" s="583"/>
      <c r="TQ8" s="583"/>
      <c r="TR8" s="583"/>
      <c r="TS8" s="583"/>
      <c r="TT8" s="583"/>
      <c r="TU8" s="583"/>
      <c r="TV8" s="583"/>
      <c r="TW8" s="583"/>
      <c r="TX8" s="583"/>
      <c r="TY8" s="583"/>
      <c r="TZ8" s="583"/>
      <c r="UA8" s="583"/>
      <c r="UB8" s="583"/>
      <c r="UC8" s="583"/>
      <c r="UD8" s="583"/>
      <c r="UE8" s="583"/>
      <c r="UF8" s="583"/>
      <c r="UG8" s="583"/>
      <c r="UH8" s="583"/>
      <c r="UI8" s="583"/>
      <c r="UJ8" s="583"/>
      <c r="UK8" s="583"/>
      <c r="UL8" s="583"/>
      <c r="UM8" s="583"/>
      <c r="UN8" s="583"/>
      <c r="UO8" s="583"/>
      <c r="UP8" s="583"/>
      <c r="UQ8" s="583"/>
      <c r="UR8" s="583"/>
      <c r="US8" s="583"/>
      <c r="UT8" s="583"/>
      <c r="UU8" s="583"/>
      <c r="UV8" s="583"/>
      <c r="UW8" s="583"/>
      <c r="UX8" s="583"/>
      <c r="UY8" s="583"/>
      <c r="UZ8" s="583"/>
      <c r="VA8" s="583"/>
      <c r="VB8" s="583"/>
      <c r="VC8" s="583"/>
      <c r="VD8" s="583"/>
      <c r="VE8" s="583"/>
      <c r="VF8" s="583"/>
      <c r="VG8" s="583"/>
      <c r="VH8" s="583"/>
      <c r="VI8" s="583"/>
      <c r="VJ8" s="583"/>
      <c r="VK8" s="583"/>
      <c r="VL8" s="583"/>
      <c r="VM8" s="583"/>
      <c r="VN8" s="583"/>
      <c r="VO8" s="583"/>
      <c r="VP8" s="583"/>
      <c r="VQ8" s="583"/>
      <c r="VR8" s="583"/>
      <c r="VS8" s="583"/>
      <c r="VT8" s="583"/>
      <c r="VU8" s="583"/>
      <c r="VV8" s="583"/>
      <c r="VW8" s="583"/>
      <c r="VX8" s="583"/>
      <c r="VY8" s="583"/>
      <c r="VZ8" s="583"/>
      <c r="WA8" s="583"/>
      <c r="WB8" s="583"/>
      <c r="WC8" s="583"/>
      <c r="WD8" s="583"/>
      <c r="WE8" s="583"/>
      <c r="WF8" s="583"/>
      <c r="WG8" s="583"/>
      <c r="WH8" s="583"/>
      <c r="WI8" s="583"/>
      <c r="WJ8" s="583"/>
      <c r="WK8" s="583"/>
      <c r="WL8" s="583"/>
      <c r="WM8" s="583"/>
      <c r="WN8" s="583"/>
      <c r="WO8" s="583"/>
      <c r="WP8" s="583"/>
      <c r="WQ8" s="583"/>
      <c r="WR8" s="583"/>
      <c r="WS8" s="583"/>
      <c r="WT8" s="583"/>
      <c r="WU8" s="583"/>
      <c r="WV8" s="583"/>
      <c r="WW8" s="583"/>
      <c r="WX8" s="583"/>
      <c r="WY8" s="583"/>
      <c r="WZ8" s="583"/>
      <c r="XA8" s="583"/>
      <c r="XB8" s="583"/>
      <c r="XC8" s="583"/>
      <c r="XD8" s="583"/>
      <c r="XE8" s="583"/>
      <c r="XF8" s="583"/>
      <c r="XG8" s="583"/>
      <c r="XH8" s="583"/>
      <c r="XI8" s="583"/>
      <c r="XJ8" s="583"/>
      <c r="XK8" s="583"/>
      <c r="XL8" s="583"/>
      <c r="XM8" s="583"/>
      <c r="XN8" s="583"/>
      <c r="XO8" s="583"/>
      <c r="XP8" s="583"/>
      <c r="XQ8" s="583"/>
      <c r="XR8" s="583"/>
      <c r="XS8" s="583"/>
      <c r="XT8" s="583"/>
      <c r="XU8" s="583"/>
      <c r="XV8" s="583"/>
      <c r="XW8" s="583"/>
      <c r="XX8" s="583"/>
      <c r="XY8" s="583"/>
      <c r="XZ8" s="583"/>
      <c r="YA8" s="583"/>
      <c r="YB8" s="583"/>
      <c r="YC8" s="583"/>
      <c r="YD8" s="583"/>
      <c r="YE8" s="583"/>
      <c r="YF8" s="583"/>
      <c r="YG8" s="583"/>
      <c r="YH8" s="583"/>
      <c r="YI8" s="583"/>
      <c r="YJ8" s="583"/>
      <c r="YK8" s="583"/>
      <c r="YL8" s="583"/>
      <c r="YM8" s="583"/>
      <c r="YN8" s="583"/>
      <c r="YO8" s="583"/>
      <c r="YP8" s="583"/>
      <c r="YQ8" s="583"/>
      <c r="YR8" s="583"/>
      <c r="YS8" s="583"/>
      <c r="YT8" s="583"/>
      <c r="YU8" s="583"/>
      <c r="YV8" s="583"/>
      <c r="YW8" s="583"/>
      <c r="YX8" s="583"/>
      <c r="YY8" s="583"/>
      <c r="YZ8" s="583"/>
      <c r="ZA8" s="583"/>
      <c r="ZB8" s="583"/>
      <c r="ZC8" s="583"/>
      <c r="ZD8" s="583"/>
      <c r="ZE8" s="583"/>
      <c r="ZF8" s="583"/>
      <c r="ZG8" s="583"/>
      <c r="ZH8" s="583"/>
      <c r="ZI8" s="583"/>
      <c r="ZJ8" s="583"/>
      <c r="ZK8" s="583"/>
      <c r="ZL8" s="583"/>
      <c r="ZM8" s="583"/>
      <c r="ZN8" s="583"/>
      <c r="ZO8" s="583"/>
      <c r="ZP8" s="583"/>
      <c r="ZQ8" s="583"/>
      <c r="ZR8" s="583"/>
      <c r="ZS8" s="583"/>
      <c r="ZT8" s="583"/>
      <c r="ZU8" s="583"/>
      <c r="ZV8" s="583"/>
      <c r="ZW8" s="583"/>
      <c r="ZX8" s="583"/>
      <c r="ZY8" s="583"/>
      <c r="ZZ8" s="583"/>
      <c r="AAA8" s="583"/>
      <c r="AAB8" s="583"/>
      <c r="AAC8" s="583"/>
      <c r="AAD8" s="583"/>
      <c r="AAE8" s="583"/>
      <c r="AAF8" s="583"/>
      <c r="AAG8" s="583"/>
      <c r="AAH8" s="583"/>
      <c r="AAI8" s="583"/>
      <c r="AAJ8" s="583"/>
      <c r="AAK8" s="583"/>
      <c r="AAL8" s="583"/>
      <c r="AAM8" s="583"/>
      <c r="AAN8" s="583"/>
      <c r="AAO8" s="583"/>
      <c r="AAP8" s="583"/>
      <c r="AAQ8" s="583"/>
      <c r="AAR8" s="583"/>
      <c r="AAS8" s="583"/>
      <c r="AAT8" s="583"/>
      <c r="AAU8" s="583"/>
      <c r="AAV8" s="583"/>
      <c r="AAW8" s="583"/>
      <c r="AAX8" s="583"/>
      <c r="AAY8" s="583"/>
      <c r="AAZ8" s="583"/>
      <c r="ABA8" s="583"/>
      <c r="ABB8" s="583"/>
      <c r="ABC8" s="583"/>
      <c r="ABD8" s="583"/>
      <c r="ABE8" s="583"/>
      <c r="ABF8" s="583"/>
      <c r="ABG8" s="583"/>
      <c r="ABH8" s="583"/>
      <c r="ABI8" s="583"/>
      <c r="ABJ8" s="583"/>
      <c r="ABK8" s="583"/>
      <c r="ABL8" s="583"/>
      <c r="ABM8" s="583"/>
      <c r="ABN8" s="583"/>
      <c r="ABO8" s="583"/>
      <c r="ABP8" s="583"/>
      <c r="ABQ8" s="583"/>
      <c r="ABR8" s="583"/>
      <c r="ABS8" s="583"/>
      <c r="ABT8" s="583"/>
      <c r="ABU8" s="583"/>
      <c r="ABV8" s="583"/>
      <c r="ABW8" s="583"/>
      <c r="ABX8" s="583"/>
      <c r="ABY8" s="583"/>
      <c r="ABZ8" s="583"/>
      <c r="ACA8" s="583"/>
      <c r="ACB8" s="583"/>
      <c r="ACC8" s="583"/>
      <c r="ACD8" s="583"/>
      <c r="ACE8" s="583"/>
      <c r="ACF8" s="583"/>
      <c r="ACG8" s="583"/>
      <c r="ACH8" s="583"/>
      <c r="ACI8" s="583"/>
      <c r="ACJ8" s="583"/>
      <c r="ACK8" s="583"/>
      <c r="ACL8" s="583"/>
      <c r="ACM8" s="583"/>
      <c r="ACN8" s="583"/>
      <c r="ACO8" s="583"/>
      <c r="ACP8" s="583"/>
      <c r="ACQ8" s="583"/>
      <c r="ACR8" s="583"/>
      <c r="ACS8" s="583"/>
      <c r="ACT8" s="583"/>
      <c r="ACU8" s="583"/>
      <c r="ACV8" s="583"/>
      <c r="ACW8" s="583"/>
      <c r="ACX8" s="583"/>
      <c r="ACY8" s="583"/>
      <c r="ACZ8" s="583"/>
      <c r="ADA8" s="583"/>
      <c r="ADB8" s="583"/>
      <c r="ADC8" s="583"/>
      <c r="ADD8" s="583"/>
      <c r="ADE8" s="583"/>
      <c r="ADF8" s="583"/>
      <c r="ADG8" s="583"/>
      <c r="ADH8" s="583"/>
      <c r="ADI8" s="583"/>
      <c r="ADJ8" s="583"/>
      <c r="ADK8" s="583"/>
      <c r="ADL8" s="583"/>
      <c r="ADM8" s="583"/>
      <c r="ADN8" s="583"/>
      <c r="ADO8" s="583"/>
      <c r="ADP8" s="583"/>
      <c r="ADQ8" s="583"/>
      <c r="ADR8" s="583"/>
      <c r="ADS8" s="583"/>
      <c r="ADT8" s="583"/>
      <c r="ADU8" s="583"/>
      <c r="ADV8" s="583"/>
      <c r="ADW8" s="583"/>
      <c r="ADX8" s="583"/>
      <c r="ADY8" s="583"/>
      <c r="ADZ8" s="583"/>
      <c r="AEA8" s="583"/>
      <c r="AEB8" s="583"/>
      <c r="AEC8" s="583"/>
      <c r="AED8" s="583"/>
      <c r="AEE8" s="583"/>
      <c r="AEF8" s="583"/>
      <c r="AEG8" s="583"/>
      <c r="AEH8" s="583"/>
      <c r="AEI8" s="583"/>
      <c r="AEJ8" s="583"/>
      <c r="AEK8" s="583"/>
      <c r="AEL8" s="583"/>
      <c r="AEM8" s="583"/>
      <c r="AEN8" s="583"/>
      <c r="AEO8" s="583"/>
      <c r="AEP8" s="583"/>
      <c r="AEQ8" s="583"/>
      <c r="AER8" s="583"/>
      <c r="AES8" s="583"/>
      <c r="AET8" s="583"/>
      <c r="AEU8" s="583"/>
      <c r="AEV8" s="583"/>
      <c r="AEW8" s="583"/>
      <c r="AEX8" s="583"/>
      <c r="AEY8" s="583"/>
      <c r="AEZ8" s="583"/>
      <c r="AFA8" s="583"/>
      <c r="AFB8" s="583"/>
      <c r="AFC8" s="583"/>
      <c r="AFD8" s="583"/>
      <c r="AFE8" s="583"/>
      <c r="AFF8" s="583"/>
      <c r="AFG8" s="583"/>
      <c r="AFH8" s="583"/>
      <c r="AFI8" s="583"/>
      <c r="AFJ8" s="583"/>
      <c r="AFK8" s="583"/>
      <c r="AFL8" s="583"/>
      <c r="AFM8" s="583"/>
      <c r="AFN8" s="583"/>
      <c r="AFO8" s="583"/>
      <c r="AFP8" s="583"/>
      <c r="AFQ8" s="583"/>
      <c r="AFR8" s="583"/>
      <c r="AFS8" s="583"/>
      <c r="AFT8" s="583"/>
      <c r="AFU8" s="583"/>
      <c r="AFV8" s="583"/>
      <c r="AFW8" s="583"/>
      <c r="AFX8" s="583"/>
      <c r="AFY8" s="583"/>
      <c r="AFZ8" s="583"/>
      <c r="AGA8" s="583"/>
      <c r="AGB8" s="583"/>
      <c r="AGC8" s="583"/>
      <c r="AGD8" s="583"/>
      <c r="AGE8" s="583"/>
      <c r="AGF8" s="583"/>
      <c r="AGG8" s="583"/>
      <c r="AGH8" s="583"/>
      <c r="AGI8" s="583"/>
      <c r="AGJ8" s="583"/>
      <c r="AGK8" s="583"/>
      <c r="AGL8" s="583"/>
      <c r="AGM8" s="583"/>
      <c r="AGN8" s="583"/>
      <c r="AGO8" s="583"/>
      <c r="AGP8" s="583"/>
      <c r="AGQ8" s="583"/>
      <c r="AGR8" s="583"/>
      <c r="AGS8" s="583"/>
      <c r="AGT8" s="583"/>
      <c r="AGU8" s="583"/>
      <c r="AGV8" s="583"/>
      <c r="AGW8" s="583"/>
      <c r="AGX8" s="583"/>
      <c r="AGY8" s="583"/>
      <c r="AGZ8" s="583"/>
      <c r="AHA8" s="583"/>
      <c r="AHB8" s="583"/>
      <c r="AHC8" s="583"/>
      <c r="AHD8" s="583"/>
      <c r="AHE8" s="583"/>
      <c r="AHF8" s="583"/>
      <c r="AHG8" s="583"/>
      <c r="AHH8" s="583"/>
      <c r="AHI8" s="583"/>
      <c r="AHJ8" s="583"/>
      <c r="AHK8" s="583"/>
      <c r="AHL8" s="583"/>
      <c r="AHM8" s="583"/>
      <c r="AHN8" s="583"/>
      <c r="AHO8" s="583"/>
      <c r="AHP8" s="583"/>
      <c r="AHQ8" s="583"/>
      <c r="AHR8" s="583"/>
      <c r="AHS8" s="583"/>
      <c r="AHT8" s="583"/>
      <c r="AHU8" s="583"/>
      <c r="AHV8" s="583"/>
      <c r="AHW8" s="583"/>
      <c r="AHX8" s="583"/>
      <c r="AHY8" s="583"/>
      <c r="AHZ8" s="583"/>
      <c r="AIA8" s="583"/>
      <c r="AIB8" s="583"/>
      <c r="AIC8" s="583"/>
      <c r="AID8" s="583"/>
      <c r="AIE8" s="583"/>
      <c r="AIF8" s="583"/>
      <c r="AIG8" s="583"/>
      <c r="AIH8" s="583"/>
      <c r="AII8" s="583"/>
      <c r="AIJ8" s="583"/>
      <c r="AIK8" s="583"/>
      <c r="AIL8" s="583"/>
      <c r="AIM8" s="583"/>
      <c r="AIN8" s="583"/>
      <c r="AIO8" s="583"/>
      <c r="AIP8" s="583"/>
      <c r="AIQ8" s="583"/>
      <c r="AIR8" s="583"/>
      <c r="AIS8" s="583"/>
      <c r="AIT8" s="583"/>
      <c r="AIU8" s="583"/>
      <c r="AIV8" s="583"/>
      <c r="AIW8" s="583"/>
      <c r="AIX8" s="583"/>
      <c r="AIY8" s="583"/>
      <c r="AIZ8" s="583"/>
      <c r="AJA8" s="583"/>
      <c r="AJB8" s="583"/>
      <c r="AJC8" s="583"/>
      <c r="AJD8" s="583"/>
      <c r="AJE8" s="583"/>
      <c r="AJF8" s="583"/>
      <c r="AJG8" s="583"/>
      <c r="AJH8" s="583"/>
      <c r="AJI8" s="583"/>
      <c r="AJJ8" s="583"/>
      <c r="AJK8" s="583"/>
      <c r="AJL8" s="583"/>
      <c r="AJM8" s="583"/>
      <c r="AJN8" s="583"/>
      <c r="AJO8" s="583"/>
      <c r="AJP8" s="583"/>
      <c r="AJQ8" s="583"/>
      <c r="AJR8" s="583"/>
      <c r="AJS8" s="583"/>
      <c r="AJT8" s="583"/>
      <c r="AJU8" s="583"/>
      <c r="AJV8" s="583"/>
      <c r="AJW8" s="583"/>
      <c r="AJX8" s="583"/>
      <c r="AJY8" s="583"/>
      <c r="AJZ8" s="583"/>
      <c r="AKA8" s="583"/>
      <c r="AKB8" s="583"/>
      <c r="AKC8" s="583"/>
      <c r="AKD8" s="583"/>
      <c r="AKE8" s="583"/>
      <c r="AKF8" s="583"/>
      <c r="AKG8" s="583"/>
      <c r="AKH8" s="583"/>
      <c r="AKI8" s="583"/>
      <c r="AKJ8" s="583"/>
      <c r="AKK8" s="583"/>
      <c r="AKL8" s="583"/>
      <c r="AKM8" s="583"/>
      <c r="AKN8" s="583"/>
      <c r="AKO8" s="583"/>
      <c r="AKP8" s="583"/>
      <c r="AKQ8" s="583"/>
      <c r="AKR8" s="583"/>
      <c r="AKS8" s="583"/>
      <c r="AKT8" s="583"/>
      <c r="AKU8" s="583"/>
      <c r="AKV8" s="583"/>
      <c r="AKW8" s="583"/>
      <c r="AKX8" s="583"/>
      <c r="AKY8" s="583"/>
      <c r="AKZ8" s="583"/>
      <c r="ALA8" s="583"/>
      <c r="ALB8" s="583"/>
      <c r="ALC8" s="583"/>
      <c r="ALD8" s="583"/>
      <c r="ALE8" s="583"/>
      <c r="ALF8" s="583"/>
      <c r="ALG8" s="583"/>
      <c r="ALH8" s="583"/>
      <c r="ALI8" s="583"/>
      <c r="ALJ8" s="583"/>
      <c r="ALK8" s="583"/>
      <c r="ALL8" s="583"/>
      <c r="ALM8" s="583"/>
      <c r="ALN8" s="583"/>
      <c r="ALO8" s="583"/>
      <c r="ALP8" s="583"/>
      <c r="ALQ8" s="583"/>
      <c r="ALR8" s="583"/>
      <c r="ALS8" s="583"/>
      <c r="ALT8" s="583"/>
      <c r="ALU8" s="583"/>
      <c r="ALV8" s="583"/>
      <c r="ALW8" s="583"/>
      <c r="ALX8" s="583"/>
      <c r="ALY8" s="583"/>
      <c r="ALZ8" s="583"/>
      <c r="AMA8" s="583"/>
      <c r="AMB8" s="583"/>
      <c r="AMC8" s="583"/>
      <c r="AMD8" s="583"/>
      <c r="AME8" s="583"/>
      <c r="AMF8" s="583"/>
      <c r="AMG8" s="583"/>
      <c r="AMH8" s="583"/>
      <c r="AMI8" s="583"/>
      <c r="AMJ8" s="583"/>
      <c r="AMK8" s="583"/>
      <c r="AML8" s="583"/>
      <c r="AMM8" s="583"/>
      <c r="AMN8" s="583"/>
      <c r="AMO8" s="583"/>
      <c r="AMP8" s="583"/>
      <c r="AMQ8" s="583"/>
      <c r="AMR8" s="583"/>
      <c r="AMS8" s="583"/>
      <c r="AMT8" s="583"/>
      <c r="AMU8" s="583"/>
      <c r="AMV8" s="583"/>
      <c r="AMW8" s="583"/>
      <c r="AMX8" s="583"/>
      <c r="AMY8" s="583"/>
      <c r="AMZ8" s="583"/>
      <c r="ANA8" s="583"/>
      <c r="ANB8" s="583"/>
      <c r="ANC8" s="583"/>
      <c r="AND8" s="583"/>
      <c r="ANE8" s="583"/>
      <c r="ANF8" s="583"/>
      <c r="ANG8" s="583"/>
      <c r="ANH8" s="583"/>
      <c r="ANI8" s="583"/>
      <c r="ANJ8" s="583"/>
      <c r="ANK8" s="583"/>
      <c r="ANL8" s="583"/>
      <c r="ANM8" s="583"/>
      <c r="ANN8" s="583"/>
      <c r="ANO8" s="583"/>
      <c r="ANP8" s="583"/>
      <c r="ANQ8" s="583"/>
      <c r="ANR8" s="583"/>
      <c r="ANS8" s="583"/>
      <c r="ANT8" s="583"/>
      <c r="ANU8" s="583"/>
      <c r="ANV8" s="583"/>
      <c r="ANW8" s="583"/>
      <c r="ANX8" s="583"/>
      <c r="ANY8" s="583"/>
      <c r="ANZ8" s="583"/>
      <c r="AOA8" s="583"/>
      <c r="AOB8" s="583"/>
      <c r="AOC8" s="583"/>
      <c r="AOD8" s="583"/>
      <c r="AOE8" s="583"/>
      <c r="AOF8" s="583"/>
      <c r="AOG8" s="583"/>
      <c r="AOH8" s="583"/>
      <c r="AOI8" s="583"/>
      <c r="AOJ8" s="583"/>
      <c r="AOK8" s="583"/>
      <c r="AOL8" s="583"/>
      <c r="AOM8" s="583"/>
      <c r="AON8" s="583"/>
      <c r="AOO8" s="583"/>
      <c r="AOP8" s="583"/>
      <c r="AOQ8" s="583"/>
      <c r="AOR8" s="583"/>
      <c r="AOS8" s="583"/>
      <c r="AOT8" s="583"/>
      <c r="AOU8" s="583"/>
      <c r="AOV8" s="583"/>
      <c r="AOW8" s="583"/>
      <c r="AOX8" s="583"/>
      <c r="AOY8" s="583"/>
      <c r="AOZ8" s="583"/>
      <c r="APA8" s="583"/>
      <c r="APB8" s="583"/>
      <c r="APC8" s="583"/>
      <c r="APD8" s="583"/>
      <c r="APE8" s="583"/>
      <c r="APF8" s="583"/>
      <c r="APG8" s="583"/>
      <c r="APH8" s="583"/>
      <c r="API8" s="583"/>
      <c r="APJ8" s="583"/>
      <c r="APK8" s="583"/>
      <c r="APL8" s="583"/>
      <c r="APM8" s="583"/>
      <c r="APN8" s="583"/>
      <c r="APO8" s="583"/>
      <c r="APP8" s="583"/>
      <c r="APQ8" s="583"/>
      <c r="APR8" s="583"/>
      <c r="APS8" s="583"/>
      <c r="APT8" s="583"/>
      <c r="APU8" s="583"/>
      <c r="APV8" s="583"/>
      <c r="APW8" s="583"/>
      <c r="APX8" s="583"/>
      <c r="APY8" s="583"/>
      <c r="APZ8" s="583"/>
      <c r="AQA8" s="583"/>
      <c r="AQB8" s="583"/>
      <c r="AQC8" s="583"/>
      <c r="AQD8" s="583"/>
      <c r="AQE8" s="583"/>
      <c r="AQF8" s="583"/>
      <c r="AQG8" s="583"/>
      <c r="AQH8" s="583"/>
      <c r="AQI8" s="583"/>
      <c r="AQJ8" s="583"/>
      <c r="AQK8" s="583"/>
      <c r="AQL8" s="583"/>
      <c r="AQM8" s="583"/>
      <c r="AQN8" s="583"/>
      <c r="AQO8" s="583"/>
      <c r="AQP8" s="583"/>
      <c r="AQQ8" s="583"/>
      <c r="AQR8" s="583"/>
      <c r="AQS8" s="583"/>
      <c r="AQT8" s="583"/>
      <c r="AQU8" s="583"/>
      <c r="AQV8" s="583"/>
      <c r="AQW8" s="583"/>
      <c r="AQX8" s="583"/>
      <c r="AQY8" s="583"/>
      <c r="AQZ8" s="583"/>
      <c r="ARA8" s="583"/>
      <c r="ARB8" s="583"/>
      <c r="ARC8" s="583"/>
      <c r="ARD8" s="583"/>
      <c r="ARE8" s="583"/>
      <c r="ARF8" s="583"/>
      <c r="ARG8" s="583"/>
      <c r="ARH8" s="583"/>
      <c r="ARI8" s="583"/>
      <c r="ARJ8" s="583"/>
      <c r="ARK8" s="583"/>
      <c r="ARL8" s="583"/>
      <c r="ARM8" s="583"/>
      <c r="ARN8" s="583"/>
      <c r="ARO8" s="583"/>
      <c r="ARP8" s="583"/>
      <c r="ARQ8" s="583"/>
      <c r="ARR8" s="583"/>
      <c r="ARS8" s="583"/>
      <c r="ART8" s="583"/>
      <c r="ARU8" s="583"/>
      <c r="ARV8" s="583"/>
      <c r="ARW8" s="583"/>
      <c r="ARX8" s="583"/>
      <c r="ARY8" s="583"/>
      <c r="ARZ8" s="583"/>
      <c r="ASA8" s="583"/>
      <c r="ASB8" s="583"/>
      <c r="ASC8" s="583"/>
      <c r="ASD8" s="583"/>
      <c r="ASE8" s="583"/>
      <c r="ASF8" s="583"/>
      <c r="ASG8" s="583"/>
      <c r="ASH8" s="583"/>
      <c r="ASI8" s="583"/>
      <c r="ASJ8" s="583"/>
      <c r="ASK8" s="583"/>
      <c r="ASL8" s="583"/>
      <c r="ASM8" s="583"/>
      <c r="ASN8" s="583"/>
      <c r="ASO8" s="583"/>
      <c r="ASP8" s="583"/>
      <c r="ASQ8" s="583"/>
      <c r="ASR8" s="583"/>
      <c r="ASS8" s="583"/>
      <c r="AST8" s="583"/>
      <c r="ASU8" s="583"/>
      <c r="ASV8" s="583"/>
      <c r="ASW8" s="583"/>
      <c r="ASX8" s="583"/>
      <c r="ASY8" s="583"/>
      <c r="ASZ8" s="583"/>
      <c r="ATA8" s="583"/>
      <c r="ATB8" s="583"/>
      <c r="ATC8" s="583"/>
      <c r="ATD8" s="583"/>
      <c r="ATE8" s="583"/>
      <c r="ATF8" s="583"/>
      <c r="ATG8" s="583"/>
      <c r="ATH8" s="583"/>
      <c r="ATI8" s="583"/>
      <c r="ATJ8" s="583"/>
      <c r="ATK8" s="583"/>
      <c r="ATL8" s="583"/>
      <c r="ATM8" s="583"/>
      <c r="ATN8" s="583"/>
      <c r="ATO8" s="583"/>
      <c r="ATP8" s="583"/>
      <c r="ATQ8" s="583"/>
      <c r="ATR8" s="583"/>
      <c r="ATS8" s="583"/>
      <c r="ATT8" s="583"/>
      <c r="ATU8" s="583"/>
      <c r="ATV8" s="583"/>
      <c r="ATW8" s="583"/>
      <c r="ATX8" s="583"/>
      <c r="ATY8" s="583"/>
      <c r="ATZ8" s="583"/>
      <c r="AUA8" s="583"/>
      <c r="AUB8" s="583"/>
      <c r="AUC8" s="583"/>
      <c r="AUD8" s="583"/>
      <c r="AUE8" s="583"/>
      <c r="AUF8" s="583"/>
      <c r="AUG8" s="583"/>
      <c r="AUH8" s="583"/>
      <c r="AUI8" s="583"/>
      <c r="AUJ8" s="583"/>
      <c r="AUK8" s="583"/>
      <c r="AUL8" s="583"/>
      <c r="AUM8" s="583"/>
      <c r="AUN8" s="583"/>
      <c r="AUO8" s="583"/>
      <c r="AUP8" s="583"/>
      <c r="AUQ8" s="583"/>
      <c r="AUR8" s="583"/>
      <c r="AUS8" s="583"/>
      <c r="AUT8" s="583"/>
      <c r="AUU8" s="583"/>
      <c r="AUV8" s="583"/>
      <c r="AUW8" s="583"/>
      <c r="AUX8" s="583"/>
      <c r="AUY8" s="583"/>
      <c r="AUZ8" s="583"/>
      <c r="AVA8" s="583"/>
      <c r="AVB8" s="583"/>
      <c r="AVC8" s="583"/>
      <c r="AVD8" s="583"/>
      <c r="AVE8" s="583"/>
      <c r="AVF8" s="583"/>
      <c r="AVG8" s="583"/>
      <c r="AVH8" s="583"/>
      <c r="AVI8" s="583"/>
      <c r="AVJ8" s="583"/>
      <c r="AVK8" s="583"/>
      <c r="AVL8" s="583"/>
      <c r="AVM8" s="583"/>
      <c r="AVN8" s="583"/>
      <c r="AVO8" s="583"/>
      <c r="AVP8" s="583"/>
      <c r="AVQ8" s="583"/>
      <c r="AVR8" s="583"/>
      <c r="AVS8" s="583"/>
      <c r="AVT8" s="583"/>
      <c r="AVU8" s="583"/>
      <c r="AVV8" s="583"/>
      <c r="AVW8" s="583"/>
      <c r="AVX8" s="583"/>
      <c r="AVY8" s="583"/>
      <c r="AVZ8" s="583"/>
      <c r="AWA8" s="583"/>
      <c r="AWB8" s="583"/>
      <c r="AWC8" s="583"/>
      <c r="AWD8" s="583"/>
      <c r="AWE8" s="583"/>
      <c r="AWF8" s="583"/>
      <c r="AWG8" s="583"/>
      <c r="AWH8" s="583"/>
      <c r="AWI8" s="583"/>
      <c r="AWJ8" s="583"/>
      <c r="AWK8" s="583"/>
      <c r="AWL8" s="583"/>
      <c r="AWM8" s="583"/>
      <c r="AWN8" s="583"/>
      <c r="AWO8" s="583"/>
      <c r="AWP8" s="583"/>
      <c r="AWQ8" s="583"/>
      <c r="AWR8" s="583"/>
      <c r="AWS8" s="583"/>
      <c r="AWT8" s="583"/>
      <c r="AWU8" s="583"/>
      <c r="AWV8" s="583"/>
      <c r="AWW8" s="583"/>
      <c r="AWX8" s="583"/>
      <c r="AWY8" s="583"/>
      <c r="AWZ8" s="583"/>
      <c r="AXA8" s="583"/>
      <c r="AXB8" s="583"/>
      <c r="AXC8" s="583"/>
      <c r="AXD8" s="583"/>
      <c r="AXE8" s="583"/>
      <c r="AXF8" s="583"/>
      <c r="AXG8" s="583"/>
      <c r="AXH8" s="583"/>
      <c r="AXI8" s="583"/>
      <c r="AXJ8" s="583"/>
      <c r="AXK8" s="583"/>
      <c r="AXL8" s="583"/>
      <c r="AXM8" s="583"/>
      <c r="AXN8" s="583"/>
      <c r="AXO8" s="583"/>
      <c r="AXP8" s="583"/>
      <c r="AXQ8" s="583"/>
      <c r="AXR8" s="583"/>
      <c r="AXS8" s="583"/>
      <c r="AXT8" s="583"/>
      <c r="AXU8" s="583"/>
      <c r="AXV8" s="583"/>
      <c r="AXW8" s="583"/>
      <c r="AXX8" s="583"/>
      <c r="AXY8" s="583"/>
      <c r="AXZ8" s="583"/>
      <c r="AYA8" s="583"/>
      <c r="AYB8" s="583"/>
      <c r="AYC8" s="583"/>
      <c r="AYD8" s="583"/>
      <c r="AYE8" s="583"/>
      <c r="AYF8" s="583"/>
      <c r="AYG8" s="583"/>
      <c r="AYH8" s="583"/>
      <c r="AYI8" s="583"/>
      <c r="AYJ8" s="583"/>
      <c r="AYK8" s="583"/>
      <c r="AYL8" s="583"/>
      <c r="AYM8" s="583"/>
      <c r="AYN8" s="583"/>
      <c r="AYO8" s="583"/>
      <c r="AYP8" s="583"/>
      <c r="AYQ8" s="583"/>
      <c r="AYR8" s="583"/>
      <c r="AYS8" s="583"/>
      <c r="AYT8" s="583"/>
      <c r="AYU8" s="583"/>
      <c r="AYV8" s="583"/>
      <c r="AYW8" s="583"/>
      <c r="AYX8" s="583"/>
      <c r="AYY8" s="583"/>
      <c r="AYZ8" s="583"/>
      <c r="AZA8" s="583"/>
      <c r="AZB8" s="583"/>
      <c r="AZC8" s="583"/>
      <c r="AZD8" s="583"/>
      <c r="AZE8" s="583"/>
      <c r="AZF8" s="583"/>
      <c r="AZG8" s="583"/>
      <c r="AZH8" s="583"/>
      <c r="AZI8" s="583"/>
      <c r="AZJ8" s="583"/>
      <c r="AZK8" s="583"/>
      <c r="AZL8" s="583"/>
      <c r="AZM8" s="583"/>
      <c r="AZN8" s="583"/>
      <c r="AZO8" s="583"/>
      <c r="AZP8" s="583"/>
      <c r="AZQ8" s="583"/>
      <c r="AZR8" s="583"/>
      <c r="AZS8" s="583"/>
      <c r="AZT8" s="583"/>
      <c r="AZU8" s="583"/>
      <c r="AZV8" s="583"/>
      <c r="AZW8" s="583"/>
      <c r="AZX8" s="583"/>
      <c r="AZY8" s="583"/>
      <c r="AZZ8" s="583"/>
      <c r="BAA8" s="583"/>
      <c r="BAB8" s="583"/>
      <c r="BAC8" s="583"/>
      <c r="BAD8" s="583"/>
      <c r="BAE8" s="583"/>
      <c r="BAF8" s="583"/>
      <c r="BAG8" s="583"/>
      <c r="BAH8" s="583"/>
      <c r="BAI8" s="583"/>
      <c r="BAJ8" s="583"/>
      <c r="BAK8" s="583"/>
      <c r="BAL8" s="583"/>
      <c r="BAM8" s="583"/>
      <c r="BAN8" s="583"/>
      <c r="BAO8" s="583"/>
      <c r="BAP8" s="583"/>
      <c r="BAQ8" s="583"/>
      <c r="BAR8" s="583"/>
      <c r="BAS8" s="583"/>
      <c r="BAT8" s="583"/>
      <c r="BAU8" s="583"/>
      <c r="BAV8" s="583"/>
      <c r="BAW8" s="583"/>
      <c r="BAX8" s="583"/>
      <c r="BAY8" s="583"/>
      <c r="BAZ8" s="583"/>
      <c r="BBA8" s="583"/>
      <c r="BBB8" s="583"/>
      <c r="BBC8" s="583"/>
      <c r="BBD8" s="583"/>
      <c r="BBE8" s="583"/>
      <c r="BBF8" s="583"/>
      <c r="BBG8" s="583"/>
      <c r="BBH8" s="583"/>
      <c r="BBI8" s="583"/>
      <c r="BBJ8" s="583"/>
      <c r="BBK8" s="583"/>
      <c r="BBL8" s="583"/>
      <c r="BBM8" s="583"/>
      <c r="BBN8" s="583"/>
      <c r="BBO8" s="583"/>
      <c r="BBP8" s="583"/>
      <c r="BBQ8" s="583"/>
      <c r="BBR8" s="583"/>
      <c r="BBS8" s="583"/>
      <c r="BBT8" s="583"/>
      <c r="BBU8" s="583"/>
      <c r="BBV8" s="583"/>
      <c r="BBW8" s="583"/>
      <c r="BBX8" s="583"/>
      <c r="BBY8" s="583"/>
      <c r="BBZ8" s="583"/>
      <c r="BCA8" s="583"/>
      <c r="BCB8" s="583"/>
      <c r="BCC8" s="583"/>
      <c r="BCD8" s="583"/>
      <c r="BCE8" s="583"/>
      <c r="BCF8" s="583"/>
      <c r="BCG8" s="583"/>
      <c r="BCH8" s="583"/>
      <c r="BCI8" s="583"/>
      <c r="BCJ8" s="583"/>
      <c r="BCK8" s="583"/>
      <c r="BCL8" s="583"/>
      <c r="BCM8" s="583"/>
      <c r="BCN8" s="583"/>
      <c r="BCO8" s="583"/>
      <c r="BCP8" s="583"/>
      <c r="BCQ8" s="583"/>
      <c r="BCR8" s="583"/>
      <c r="BCS8" s="583"/>
      <c r="BCT8" s="583"/>
      <c r="BCU8" s="583"/>
      <c r="BCV8" s="583"/>
      <c r="BCW8" s="583"/>
      <c r="BCX8" s="583"/>
      <c r="BCY8" s="583"/>
      <c r="BCZ8" s="583"/>
      <c r="BDA8" s="583"/>
      <c r="BDB8" s="583"/>
      <c r="BDC8" s="583"/>
      <c r="BDD8" s="583"/>
      <c r="BDE8" s="583"/>
      <c r="BDF8" s="583"/>
      <c r="BDG8" s="583"/>
      <c r="BDH8" s="583"/>
      <c r="BDI8" s="583"/>
      <c r="BDJ8" s="583"/>
      <c r="BDK8" s="583"/>
      <c r="BDL8" s="583"/>
      <c r="BDM8" s="583"/>
      <c r="BDN8" s="583"/>
      <c r="BDO8" s="583"/>
      <c r="BDP8" s="583"/>
      <c r="BDQ8" s="583"/>
      <c r="BDR8" s="583"/>
      <c r="BDS8" s="583"/>
      <c r="BDT8" s="583"/>
      <c r="BDU8" s="583"/>
      <c r="BDV8" s="583"/>
      <c r="BDW8" s="583"/>
      <c r="BDX8" s="583"/>
      <c r="BDY8" s="583"/>
      <c r="BDZ8" s="583"/>
      <c r="BEA8" s="583"/>
      <c r="BEB8" s="583"/>
      <c r="BEC8" s="583"/>
      <c r="BED8" s="583"/>
      <c r="BEE8" s="583"/>
      <c r="BEF8" s="583"/>
      <c r="BEG8" s="583"/>
      <c r="BEH8" s="583"/>
      <c r="BEI8" s="583"/>
      <c r="BEJ8" s="583"/>
      <c r="BEK8" s="583"/>
      <c r="BEL8" s="583"/>
      <c r="BEM8" s="583"/>
      <c r="BEN8" s="583"/>
      <c r="BEO8" s="583"/>
      <c r="BEP8" s="583"/>
      <c r="BEQ8" s="583"/>
      <c r="BER8" s="583"/>
      <c r="BES8" s="583"/>
      <c r="BET8" s="583"/>
      <c r="BEU8" s="583"/>
      <c r="BEV8" s="583"/>
      <c r="BEW8" s="583"/>
      <c r="BEX8" s="583"/>
      <c r="BEY8" s="583"/>
      <c r="BEZ8" s="583"/>
      <c r="BFA8" s="583"/>
      <c r="BFB8" s="583"/>
      <c r="BFC8" s="583"/>
      <c r="BFD8" s="583"/>
      <c r="BFE8" s="583"/>
      <c r="BFF8" s="583"/>
      <c r="BFG8" s="583"/>
      <c r="BFH8" s="583"/>
      <c r="BFI8" s="583"/>
      <c r="BFJ8" s="583"/>
      <c r="BFK8" s="583"/>
      <c r="BFL8" s="583"/>
      <c r="BFM8" s="583"/>
      <c r="BFN8" s="583"/>
      <c r="BFO8" s="583"/>
      <c r="BFP8" s="583"/>
      <c r="BFQ8" s="583"/>
      <c r="BFR8" s="583"/>
      <c r="BFS8" s="583"/>
      <c r="BFT8" s="583"/>
      <c r="BFU8" s="583"/>
      <c r="BFV8" s="583"/>
      <c r="BFW8" s="583"/>
      <c r="BFX8" s="583"/>
      <c r="BFY8" s="583"/>
      <c r="BFZ8" s="583"/>
      <c r="BGA8" s="583"/>
      <c r="BGB8" s="583"/>
      <c r="BGC8" s="583"/>
      <c r="BGD8" s="583"/>
      <c r="BGE8" s="583"/>
      <c r="BGF8" s="583"/>
      <c r="BGG8" s="583"/>
      <c r="BGH8" s="583"/>
      <c r="BGI8" s="583"/>
      <c r="BGJ8" s="583"/>
      <c r="BGK8" s="583"/>
      <c r="BGL8" s="583"/>
      <c r="BGM8" s="583"/>
      <c r="BGN8" s="583"/>
      <c r="BGO8" s="583"/>
      <c r="BGP8" s="583"/>
      <c r="BGQ8" s="583"/>
      <c r="BGR8" s="583"/>
      <c r="BGS8" s="583"/>
      <c r="BGT8" s="583"/>
      <c r="BGU8" s="583"/>
      <c r="BGV8" s="583"/>
      <c r="BGW8" s="583"/>
      <c r="BGX8" s="583"/>
      <c r="BGY8" s="583"/>
      <c r="BGZ8" s="583"/>
      <c r="BHA8" s="583"/>
      <c r="BHB8" s="583"/>
      <c r="BHC8" s="583"/>
      <c r="BHD8" s="583"/>
      <c r="BHE8" s="583"/>
      <c r="BHF8" s="583"/>
      <c r="BHG8" s="583"/>
      <c r="BHH8" s="583"/>
      <c r="BHI8" s="583"/>
      <c r="BHJ8" s="583"/>
      <c r="BHK8" s="583"/>
      <c r="BHL8" s="583"/>
      <c r="BHM8" s="583"/>
      <c r="BHN8" s="583"/>
      <c r="BHO8" s="583"/>
      <c r="BHP8" s="583"/>
      <c r="BHQ8" s="583"/>
      <c r="BHR8" s="583"/>
      <c r="BHS8" s="583"/>
      <c r="BHT8" s="583"/>
      <c r="BHU8" s="583"/>
      <c r="BHV8" s="583"/>
      <c r="BHW8" s="583"/>
      <c r="BHX8" s="583"/>
      <c r="BHY8" s="583"/>
      <c r="BHZ8" s="583"/>
      <c r="BIA8" s="583"/>
      <c r="BIB8" s="583"/>
      <c r="BIC8" s="583"/>
      <c r="BID8" s="583"/>
      <c r="BIE8" s="583"/>
      <c r="BIF8" s="583"/>
      <c r="BIG8" s="583"/>
      <c r="BIH8" s="583"/>
      <c r="BII8" s="583"/>
      <c r="BIJ8" s="583"/>
      <c r="BIK8" s="583"/>
      <c r="BIL8" s="583"/>
      <c r="BIM8" s="583"/>
      <c r="BIN8" s="583"/>
      <c r="BIO8" s="583"/>
      <c r="BIP8" s="583"/>
      <c r="BIQ8" s="583"/>
      <c r="BIR8" s="583"/>
      <c r="BIS8" s="583"/>
      <c r="BIT8" s="583"/>
      <c r="BIU8" s="583"/>
      <c r="BIV8" s="583"/>
      <c r="BIW8" s="583"/>
      <c r="BIX8" s="583"/>
      <c r="BIY8" s="583"/>
      <c r="BIZ8" s="583"/>
      <c r="BJA8" s="583"/>
      <c r="BJB8" s="583"/>
      <c r="BJC8" s="583"/>
      <c r="BJD8" s="583"/>
      <c r="BJE8" s="583"/>
      <c r="BJF8" s="583"/>
      <c r="BJG8" s="583"/>
      <c r="BJH8" s="583"/>
      <c r="BJI8" s="583"/>
      <c r="BJJ8" s="583"/>
      <c r="BJK8" s="583"/>
      <c r="BJL8" s="583"/>
      <c r="BJM8" s="583"/>
      <c r="BJN8" s="583"/>
      <c r="BJO8" s="583"/>
      <c r="BJP8" s="583"/>
      <c r="BJQ8" s="583"/>
      <c r="BJR8" s="583"/>
      <c r="BJS8" s="583"/>
      <c r="BJT8" s="583"/>
      <c r="BJU8" s="583"/>
      <c r="BJV8" s="583"/>
      <c r="BJW8" s="583"/>
      <c r="BJX8" s="583"/>
      <c r="BJY8" s="583"/>
      <c r="BJZ8" s="583"/>
      <c r="BKA8" s="583"/>
      <c r="BKB8" s="583"/>
      <c r="BKC8" s="583"/>
      <c r="BKD8" s="583"/>
      <c r="BKE8" s="583"/>
      <c r="BKF8" s="583"/>
      <c r="BKG8" s="583"/>
      <c r="BKH8" s="583"/>
      <c r="BKI8" s="583"/>
      <c r="BKJ8" s="583"/>
      <c r="BKK8" s="583"/>
      <c r="BKL8" s="583"/>
      <c r="BKM8" s="583"/>
      <c r="BKN8" s="583"/>
      <c r="BKO8" s="583"/>
      <c r="BKP8" s="583"/>
      <c r="BKQ8" s="583"/>
      <c r="BKR8" s="583"/>
      <c r="BKS8" s="583"/>
      <c r="BKT8" s="583"/>
      <c r="BKU8" s="583"/>
      <c r="BKV8" s="583"/>
      <c r="BKW8" s="583"/>
      <c r="BKX8" s="583"/>
      <c r="BKY8" s="583"/>
      <c r="BKZ8" s="583"/>
      <c r="BLA8" s="583"/>
      <c r="BLB8" s="583"/>
      <c r="BLC8" s="583"/>
      <c r="BLD8" s="583"/>
      <c r="BLE8" s="583"/>
      <c r="BLF8" s="583"/>
      <c r="BLG8" s="583"/>
      <c r="BLH8" s="583"/>
      <c r="BLI8" s="583"/>
      <c r="BLJ8" s="583"/>
      <c r="BLK8" s="583"/>
      <c r="BLL8" s="583"/>
      <c r="BLM8" s="583"/>
      <c r="BLN8" s="583"/>
      <c r="BLO8" s="583"/>
      <c r="BLP8" s="583"/>
      <c r="BLQ8" s="583"/>
      <c r="BLR8" s="583"/>
      <c r="BLS8" s="583"/>
      <c r="BLT8" s="583"/>
      <c r="BLU8" s="583"/>
      <c r="BLV8" s="583"/>
      <c r="BLW8" s="583"/>
      <c r="BLX8" s="583"/>
      <c r="BLY8" s="583"/>
      <c r="BLZ8" s="583"/>
      <c r="BMA8" s="583"/>
      <c r="BMB8" s="583"/>
      <c r="BMC8" s="583"/>
      <c r="BMD8" s="583"/>
      <c r="BME8" s="583"/>
      <c r="BMF8" s="583"/>
      <c r="BMG8" s="583"/>
      <c r="BMH8" s="583"/>
      <c r="BMI8" s="583"/>
      <c r="BMJ8" s="583"/>
      <c r="BMK8" s="583"/>
      <c r="BML8" s="583"/>
      <c r="BMM8" s="583"/>
      <c r="BMN8" s="583"/>
      <c r="BMO8" s="583"/>
      <c r="BMP8" s="583"/>
      <c r="BMQ8" s="583"/>
      <c r="BMR8" s="583"/>
      <c r="BMS8" s="583"/>
      <c r="BMT8" s="583"/>
      <c r="BMU8" s="583"/>
      <c r="BMV8" s="583"/>
      <c r="BMW8" s="583"/>
      <c r="BMX8" s="583"/>
      <c r="BMY8" s="583"/>
      <c r="BMZ8" s="583"/>
      <c r="BNA8" s="583"/>
      <c r="BNB8" s="583"/>
      <c r="BNC8" s="583"/>
      <c r="BND8" s="583"/>
      <c r="BNE8" s="583"/>
      <c r="BNF8" s="583"/>
      <c r="BNG8" s="583"/>
      <c r="BNH8" s="583"/>
      <c r="BNI8" s="583"/>
      <c r="BNJ8" s="583"/>
      <c r="BNK8" s="583"/>
      <c r="BNL8" s="583"/>
      <c r="BNM8" s="583"/>
      <c r="BNN8" s="583"/>
      <c r="BNO8" s="583"/>
      <c r="BNP8" s="583"/>
      <c r="BNQ8" s="583"/>
      <c r="BNR8" s="583"/>
      <c r="BNS8" s="583"/>
      <c r="BNT8" s="583"/>
      <c r="BNU8" s="583"/>
      <c r="BNV8" s="583"/>
      <c r="BNW8" s="583"/>
      <c r="BNX8" s="583"/>
      <c r="BNY8" s="583"/>
      <c r="BNZ8" s="583"/>
      <c r="BOA8" s="583"/>
      <c r="BOB8" s="583"/>
      <c r="BOC8" s="583"/>
      <c r="BOD8" s="583"/>
      <c r="BOE8" s="583"/>
      <c r="BOF8" s="583"/>
      <c r="BOG8" s="583"/>
      <c r="BOH8" s="583"/>
      <c r="BOI8" s="583"/>
      <c r="BOJ8" s="583"/>
      <c r="BOK8" s="583"/>
      <c r="BOL8" s="583"/>
      <c r="BOM8" s="583"/>
      <c r="BON8" s="583"/>
      <c r="BOO8" s="583"/>
      <c r="BOP8" s="583"/>
      <c r="BOQ8" s="583"/>
      <c r="BOR8" s="583"/>
      <c r="BOS8" s="583"/>
      <c r="BOT8" s="583"/>
      <c r="BOU8" s="583"/>
      <c r="BOV8" s="583"/>
      <c r="BOW8" s="583"/>
      <c r="BOX8" s="583"/>
      <c r="BOY8" s="583"/>
      <c r="BOZ8" s="583"/>
      <c r="BPA8" s="583"/>
      <c r="BPB8" s="583"/>
      <c r="BPC8" s="583"/>
      <c r="BPD8" s="583"/>
      <c r="BPE8" s="583"/>
      <c r="BPF8" s="583"/>
      <c r="BPG8" s="583"/>
      <c r="BPH8" s="583"/>
      <c r="BPI8" s="583"/>
      <c r="BPJ8" s="583"/>
      <c r="BPK8" s="583"/>
      <c r="BPL8" s="583"/>
      <c r="BPM8" s="583"/>
      <c r="BPN8" s="583"/>
      <c r="BPO8" s="583"/>
      <c r="BPP8" s="583"/>
      <c r="BPQ8" s="583"/>
      <c r="BPR8" s="583"/>
      <c r="BPS8" s="583"/>
      <c r="BPT8" s="583"/>
      <c r="BPU8" s="583"/>
      <c r="BPV8" s="583"/>
      <c r="BPW8" s="583"/>
      <c r="BPX8" s="583"/>
      <c r="BPY8" s="583"/>
      <c r="BPZ8" s="583"/>
      <c r="BQA8" s="583"/>
      <c r="BQB8" s="583"/>
      <c r="BQC8" s="583"/>
      <c r="BQD8" s="583"/>
      <c r="BQE8" s="583"/>
      <c r="BQF8" s="583"/>
      <c r="BQG8" s="583"/>
      <c r="BQH8" s="583"/>
      <c r="BQI8" s="583"/>
      <c r="BQJ8" s="583"/>
      <c r="BQK8" s="583"/>
      <c r="BQL8" s="583"/>
      <c r="BQM8" s="583"/>
      <c r="BQN8" s="583"/>
      <c r="BQO8" s="583"/>
      <c r="BQP8" s="583"/>
      <c r="BQQ8" s="583"/>
      <c r="BQR8" s="583"/>
      <c r="BQS8" s="583"/>
      <c r="BQT8" s="583"/>
      <c r="BQU8" s="583"/>
      <c r="BQV8" s="583"/>
      <c r="BQW8" s="583"/>
      <c r="BQX8" s="583"/>
      <c r="BQY8" s="583"/>
      <c r="BQZ8" s="583"/>
      <c r="BRA8" s="583"/>
      <c r="BRB8" s="583"/>
      <c r="BRC8" s="583"/>
      <c r="BRD8" s="583"/>
      <c r="BRE8" s="583"/>
      <c r="BRF8" s="583"/>
      <c r="BRG8" s="583"/>
      <c r="BRH8" s="583"/>
      <c r="BRI8" s="583"/>
      <c r="BRJ8" s="583"/>
      <c r="BRK8" s="583"/>
      <c r="BRL8" s="583"/>
      <c r="BRM8" s="583"/>
      <c r="BRN8" s="583"/>
      <c r="BRO8" s="583"/>
      <c r="BRP8" s="583"/>
      <c r="BRQ8" s="583"/>
      <c r="BRR8" s="583"/>
      <c r="BRS8" s="583"/>
      <c r="BRT8" s="583"/>
      <c r="BRU8" s="583"/>
      <c r="BRV8" s="583"/>
      <c r="BRW8" s="583"/>
      <c r="BRX8" s="583"/>
      <c r="BRY8" s="583"/>
      <c r="BRZ8" s="583"/>
      <c r="BSA8" s="583"/>
      <c r="BSB8" s="583"/>
      <c r="BSC8" s="583"/>
      <c r="BSD8" s="583"/>
      <c r="BSE8" s="583"/>
      <c r="BSF8" s="583"/>
      <c r="BSG8" s="583"/>
      <c r="BSH8" s="583"/>
      <c r="BSI8" s="583"/>
      <c r="BSJ8" s="583"/>
      <c r="BSK8" s="583"/>
      <c r="BSL8" s="583"/>
      <c r="BSM8" s="583"/>
      <c r="BSN8" s="583"/>
      <c r="BSO8" s="583"/>
      <c r="BSP8" s="583"/>
      <c r="BSQ8" s="583"/>
      <c r="BSR8" s="583"/>
      <c r="BSS8" s="583"/>
      <c r="BST8" s="583"/>
      <c r="BSU8" s="583"/>
      <c r="BSV8" s="583"/>
      <c r="BSW8" s="583"/>
      <c r="BSX8" s="583"/>
      <c r="BSY8" s="583"/>
      <c r="BSZ8" s="583"/>
      <c r="BTA8" s="583"/>
      <c r="BTB8" s="583"/>
      <c r="BTC8" s="583"/>
      <c r="BTD8" s="583"/>
      <c r="BTE8" s="583"/>
      <c r="BTF8" s="583"/>
      <c r="BTG8" s="583"/>
      <c r="BTH8" s="583"/>
      <c r="BTI8" s="583"/>
      <c r="BTJ8" s="583"/>
      <c r="BTK8" s="583"/>
      <c r="BTL8" s="583"/>
      <c r="BTM8" s="583"/>
      <c r="BTN8" s="583"/>
      <c r="BTO8" s="583"/>
      <c r="BTP8" s="583"/>
      <c r="BTQ8" s="583"/>
      <c r="BTR8" s="583"/>
      <c r="BTS8" s="583"/>
      <c r="BTT8" s="583"/>
      <c r="BTU8" s="583"/>
      <c r="BTV8" s="583"/>
      <c r="BTW8" s="583"/>
      <c r="BTX8" s="583"/>
      <c r="BTY8" s="583"/>
      <c r="BTZ8" s="583"/>
      <c r="BUA8" s="583"/>
      <c r="BUB8" s="583"/>
      <c r="BUC8" s="583"/>
      <c r="BUD8" s="583"/>
      <c r="BUE8" s="583"/>
      <c r="BUF8" s="583"/>
      <c r="BUG8" s="583"/>
      <c r="BUH8" s="583"/>
      <c r="BUI8" s="583"/>
      <c r="BUJ8" s="583"/>
      <c r="BUK8" s="583"/>
      <c r="BUL8" s="583"/>
      <c r="BUM8" s="583"/>
      <c r="BUN8" s="583"/>
      <c r="BUO8" s="583"/>
      <c r="BUP8" s="583"/>
      <c r="BUQ8" s="583"/>
      <c r="BUR8" s="583"/>
      <c r="BUS8" s="583"/>
      <c r="BUT8" s="583"/>
      <c r="BUU8" s="583"/>
      <c r="BUV8" s="583"/>
      <c r="BUW8" s="583"/>
      <c r="BUX8" s="583"/>
      <c r="BUY8" s="583"/>
      <c r="BUZ8" s="583"/>
      <c r="BVA8" s="583"/>
      <c r="BVB8" s="583"/>
      <c r="BVC8" s="583"/>
      <c r="BVD8" s="583"/>
      <c r="BVE8" s="583"/>
      <c r="BVF8" s="583"/>
      <c r="BVG8" s="583"/>
      <c r="BVH8" s="583"/>
      <c r="BVI8" s="583"/>
      <c r="BVJ8" s="583"/>
      <c r="BVK8" s="583"/>
      <c r="BVL8" s="583"/>
      <c r="BVM8" s="583"/>
      <c r="BVN8" s="583"/>
      <c r="BVO8" s="583"/>
      <c r="BVP8" s="583"/>
      <c r="BVQ8" s="583"/>
      <c r="BVR8" s="583"/>
      <c r="BVS8" s="583"/>
      <c r="BVT8" s="583"/>
      <c r="BVU8" s="583"/>
      <c r="BVV8" s="583"/>
      <c r="BVW8" s="583"/>
      <c r="BVX8" s="583"/>
      <c r="BVY8" s="583"/>
      <c r="BVZ8" s="583"/>
      <c r="BWA8" s="583"/>
      <c r="BWB8" s="583"/>
      <c r="BWC8" s="583"/>
      <c r="BWD8" s="583"/>
      <c r="BWE8" s="583"/>
      <c r="BWF8" s="583"/>
      <c r="BWG8" s="583"/>
      <c r="BWH8" s="583"/>
      <c r="BWI8" s="583"/>
      <c r="BWJ8" s="583"/>
      <c r="BWK8" s="583"/>
      <c r="BWL8" s="583"/>
      <c r="BWM8" s="583"/>
      <c r="BWN8" s="583"/>
      <c r="BWO8" s="583"/>
      <c r="BWP8" s="583"/>
      <c r="BWQ8" s="583"/>
      <c r="BWR8" s="583"/>
      <c r="BWS8" s="583"/>
      <c r="BWT8" s="583"/>
      <c r="BWU8" s="583"/>
      <c r="BWV8" s="583"/>
      <c r="BWW8" s="583"/>
      <c r="BWX8" s="583"/>
      <c r="BWY8" s="583"/>
      <c r="BWZ8" s="583"/>
      <c r="BXA8" s="583"/>
      <c r="BXB8" s="583"/>
      <c r="BXC8" s="583"/>
      <c r="BXD8" s="583"/>
      <c r="BXE8" s="583"/>
      <c r="BXF8" s="583"/>
      <c r="BXG8" s="583"/>
      <c r="BXH8" s="583"/>
      <c r="BXI8" s="583"/>
      <c r="BXJ8" s="583"/>
      <c r="BXK8" s="583"/>
      <c r="BXL8" s="583"/>
      <c r="BXM8" s="583"/>
      <c r="BXN8" s="583"/>
      <c r="BXO8" s="583"/>
      <c r="BXP8" s="583"/>
      <c r="BXQ8" s="583"/>
      <c r="BXR8" s="583"/>
      <c r="BXS8" s="583"/>
      <c r="BXT8" s="583"/>
      <c r="BXU8" s="583"/>
      <c r="BXV8" s="583"/>
      <c r="BXW8" s="583"/>
      <c r="BXX8" s="583"/>
      <c r="BXY8" s="583"/>
      <c r="BXZ8" s="583"/>
      <c r="BYA8" s="583"/>
      <c r="BYB8" s="583"/>
      <c r="BYC8" s="583"/>
      <c r="BYD8" s="583"/>
      <c r="BYE8" s="583"/>
      <c r="BYF8" s="583"/>
      <c r="BYG8" s="583"/>
      <c r="BYH8" s="583"/>
      <c r="BYI8" s="583"/>
      <c r="BYJ8" s="583"/>
      <c r="BYK8" s="583"/>
      <c r="BYL8" s="583"/>
      <c r="BYM8" s="583"/>
      <c r="BYN8" s="583"/>
      <c r="BYO8" s="583"/>
      <c r="BYP8" s="583"/>
      <c r="BYQ8" s="583"/>
      <c r="BYR8" s="583"/>
      <c r="BYS8" s="583"/>
      <c r="BYT8" s="583"/>
      <c r="BYU8" s="583"/>
      <c r="BYV8" s="583"/>
      <c r="BYW8" s="583"/>
      <c r="BYX8" s="583"/>
      <c r="BYY8" s="583"/>
      <c r="BYZ8" s="583"/>
      <c r="BZA8" s="583"/>
      <c r="BZB8" s="583"/>
      <c r="BZC8" s="583"/>
      <c r="BZD8" s="583"/>
      <c r="BZE8" s="583"/>
      <c r="BZF8" s="583"/>
      <c r="BZG8" s="583"/>
      <c r="BZH8" s="583"/>
      <c r="BZI8" s="583"/>
      <c r="BZJ8" s="583"/>
      <c r="BZK8" s="583"/>
      <c r="BZL8" s="583"/>
      <c r="BZM8" s="583"/>
      <c r="BZN8" s="583"/>
      <c r="BZO8" s="583"/>
      <c r="BZP8" s="583"/>
      <c r="BZQ8" s="583"/>
      <c r="BZR8" s="583"/>
      <c r="BZS8" s="583"/>
      <c r="BZT8" s="583"/>
      <c r="BZU8" s="583"/>
      <c r="BZV8" s="583"/>
      <c r="BZW8" s="583"/>
      <c r="BZX8" s="583"/>
      <c r="BZY8" s="583"/>
      <c r="BZZ8" s="583"/>
      <c r="CAA8" s="583"/>
      <c r="CAB8" s="583"/>
      <c r="CAC8" s="583"/>
      <c r="CAD8" s="583"/>
      <c r="CAE8" s="583"/>
      <c r="CAF8" s="583"/>
      <c r="CAG8" s="583"/>
      <c r="CAH8" s="583"/>
      <c r="CAI8" s="583"/>
      <c r="CAJ8" s="583"/>
      <c r="CAK8" s="583"/>
      <c r="CAL8" s="583"/>
      <c r="CAM8" s="583"/>
      <c r="CAN8" s="583"/>
      <c r="CAO8" s="583"/>
      <c r="CAP8" s="583"/>
      <c r="CAQ8" s="583"/>
      <c r="CAR8" s="583"/>
      <c r="CAS8" s="583"/>
      <c r="CAT8" s="583"/>
      <c r="CAU8" s="583"/>
      <c r="CAV8" s="583"/>
      <c r="CAW8" s="583"/>
      <c r="CAX8" s="583"/>
      <c r="CAY8" s="583"/>
      <c r="CAZ8" s="583"/>
      <c r="CBA8" s="583"/>
      <c r="CBB8" s="583"/>
      <c r="CBC8" s="583"/>
      <c r="CBD8" s="583"/>
      <c r="CBE8" s="583"/>
      <c r="CBF8" s="583"/>
      <c r="CBG8" s="583"/>
      <c r="CBH8" s="583"/>
      <c r="CBI8" s="583"/>
      <c r="CBJ8" s="583"/>
      <c r="CBK8" s="583"/>
      <c r="CBL8" s="583"/>
      <c r="CBM8" s="583"/>
      <c r="CBN8" s="583"/>
      <c r="CBO8" s="583"/>
      <c r="CBP8" s="583"/>
      <c r="CBQ8" s="583"/>
      <c r="CBR8" s="583"/>
      <c r="CBS8" s="583"/>
      <c r="CBT8" s="583"/>
      <c r="CBU8" s="583"/>
      <c r="CBV8" s="583"/>
      <c r="CBW8" s="583"/>
      <c r="CBX8" s="583"/>
      <c r="CBY8" s="583"/>
      <c r="CBZ8" s="583"/>
    </row>
    <row r="9" spans="1:2106">
      <c r="A9" s="611"/>
      <c r="B9" s="612"/>
      <c r="C9" s="613">
        <f t="shared" si="0"/>
        <v>0</v>
      </c>
      <c r="D9" s="613">
        <f>IF(B9&gt;0,VLOOKUP(A9,'Lista Suspensa'!$A$1:$F$92,3,),0)</f>
        <v>0</v>
      </c>
      <c r="E9" s="613">
        <f>IF(OR(B9&gt;0,C9&gt;0),VLOOKUP(A9,'Lista Suspensa'!$A$1:$F$90,4,),0)</f>
        <v>0</v>
      </c>
      <c r="F9" s="613">
        <f>IF(OR(B9&gt;0,C9&gt;0),VLOOKUP(A9,'Lista Suspensa'!$A$1:$F$90,5,),0)</f>
        <v>0</v>
      </c>
      <c r="G9" s="402">
        <f>IF(OR(B9&gt;0,C9&gt;0),VLOOKUP(A9,'Lista Suspensa'!$A$1:$F$90,6,),0)</f>
        <v>0</v>
      </c>
      <c r="H9" s="612"/>
      <c r="I9" s="613">
        <f t="shared" si="12"/>
        <v>0</v>
      </c>
      <c r="J9" s="613">
        <f>IF(H9&gt;0,VLOOKUP(A9,'Lista Suspensa'!$A$1:$F$92,3,),0)</f>
        <v>0</v>
      </c>
      <c r="K9" s="613">
        <f>IF(OR(H9&gt;0,I9&gt;0),VLOOKUP(A9,'Lista Suspensa'!$A$1:$F$90,4,),0)</f>
        <v>0</v>
      </c>
      <c r="L9" s="613">
        <f>IF(OR(H9&gt;0,I9&gt;0),VLOOKUP(A9,'Lista Suspensa'!$A$1:$F$90,5,),0)</f>
        <v>0</v>
      </c>
      <c r="M9" s="402">
        <f>IF(OR(H9&gt;0,I9&gt;0),VLOOKUP(A9,'Lista Suspensa'!$A$1:$F$90,6,),0)</f>
        <v>0</v>
      </c>
      <c r="N9" s="612"/>
      <c r="O9" s="613">
        <f t="shared" si="1"/>
        <v>0</v>
      </c>
      <c r="P9" s="613">
        <f>IF(N9&gt;0,VLOOKUP(A9,'Lista Suspensa'!$A$1:$F$92,3,),0)</f>
        <v>0</v>
      </c>
      <c r="Q9" s="613">
        <f>IF(OR(N9&gt;0,O9&gt;0),VLOOKUP(A9,'Lista Suspensa'!$A$1:$F$90,4,),0)</f>
        <v>0</v>
      </c>
      <c r="R9" s="613">
        <f>IF(OR(N9&gt;0,O9&gt;0),VLOOKUP(A9,'Lista Suspensa'!$A$1:$F$90,5,),0)</f>
        <v>0</v>
      </c>
      <c r="S9" s="402">
        <f>IF(OR(N9&gt;0,O9&gt;0),VLOOKUP(A9,'Lista Suspensa'!$A$1:$F$90,6,),0)</f>
        <v>0</v>
      </c>
      <c r="T9" s="612"/>
      <c r="U9" s="613">
        <f t="shared" si="2"/>
        <v>0</v>
      </c>
      <c r="V9" s="613">
        <f>IF(T9&gt;0,VLOOKUP(A9,'Lista Suspensa'!$A$1:$F$92,3,),0)</f>
        <v>0</v>
      </c>
      <c r="W9" s="613">
        <f>IF(OR(T9&gt;0,U9&gt;0),VLOOKUP(A9,'Lista Suspensa'!$A$1:$F$90,4,),0)</f>
        <v>0</v>
      </c>
      <c r="X9" s="613">
        <f>IF(OR(T9&gt;0,U9&gt;0),VLOOKUP(A9,'Lista Suspensa'!$A$1:$F$90,5,),0)</f>
        <v>0</v>
      </c>
      <c r="Y9" s="402">
        <f>IF(OR(T9&gt;0,U9&gt;0),VLOOKUP(A9,'Lista Suspensa'!$A$1:$F$90,6,),0)</f>
        <v>0</v>
      </c>
      <c r="Z9" s="612"/>
      <c r="AA9" s="613">
        <f t="shared" si="3"/>
        <v>0</v>
      </c>
      <c r="AB9" s="613">
        <f>IF(Z9&gt;0,VLOOKUP(A9,'Lista Suspensa'!$A$1:$F$92,3,),0)</f>
        <v>0</v>
      </c>
      <c r="AC9" s="613">
        <f>IF(OR(Z9&gt;0,AA9&gt;0),VLOOKUP(A9,'Lista Suspensa'!$A$1:$F$90,4,),0)</f>
        <v>0</v>
      </c>
      <c r="AD9" s="613">
        <f>IF(OR(Z9&gt;0,AA9&gt;0),VLOOKUP(A9,'Lista Suspensa'!$A$1:$F$90,5,),0)</f>
        <v>0</v>
      </c>
      <c r="AE9" s="402">
        <f>IF(OR(Z9&gt;0,AA9&gt;0),VLOOKUP(A9,'Lista Suspensa'!$A$1:$F$90,6,),0)</f>
        <v>0</v>
      </c>
      <c r="AF9" s="612"/>
      <c r="AG9" s="613">
        <f t="shared" si="13"/>
        <v>0</v>
      </c>
      <c r="AH9" s="613">
        <f>IF(AF9&gt;0,VLOOKUP(A9,'Lista Suspensa'!$A$1:$F$92,3,),0)</f>
        <v>0</v>
      </c>
      <c r="AI9" s="613">
        <f>IF(OR(AF9&gt;0,AG9&gt;0),VLOOKUP(A9,'Lista Suspensa'!$A$1:$F$90,4,),0)</f>
        <v>0</v>
      </c>
      <c r="AJ9" s="613">
        <f>IF(OR(AF9&gt;0,AG9&gt;0),VLOOKUP(A9,'Lista Suspensa'!$A$1:$F$90,5,),0)</f>
        <v>0</v>
      </c>
      <c r="AK9" s="402">
        <f>IF(OR(AF9&gt;0,AG9&gt;0),VLOOKUP(A9,'Lista Suspensa'!$A$1:$F$90,6,),0)</f>
        <v>0</v>
      </c>
      <c r="AL9" s="612"/>
      <c r="AM9" s="613">
        <f t="shared" si="4"/>
        <v>0</v>
      </c>
      <c r="AN9" s="613">
        <f>IF(AL9&gt;0,VLOOKUP(A9,'Lista Suspensa'!$A$1:$F$92,3,),0)</f>
        <v>0</v>
      </c>
      <c r="AO9" s="613">
        <f>IF(OR(AL9&gt;0,AM9&gt;0),VLOOKUP(A9,'Lista Suspensa'!$A$1:$F$90,4,),0)</f>
        <v>0</v>
      </c>
      <c r="AP9" s="613">
        <f>IF(OR(AL9&gt;0,AM9&gt;0),VLOOKUP(A9,'Lista Suspensa'!$A$1:$F$90,5,),0)</f>
        <v>0</v>
      </c>
      <c r="AQ9" s="402">
        <f>IF(OR(AL9&gt;0,AM9&gt;0),VLOOKUP(A9,'Lista Suspensa'!$A$1:$F$90,6,),0)</f>
        <v>0</v>
      </c>
      <c r="AR9" s="612"/>
      <c r="AS9" s="613">
        <f t="shared" si="14"/>
        <v>0</v>
      </c>
      <c r="AT9" s="613">
        <f>IF(AR9&gt;0,VLOOKUP(A9,'Lista Suspensa'!$A$1:$F$92,3,),0)</f>
        <v>0</v>
      </c>
      <c r="AU9" s="613">
        <f>IF(OR(AR9&gt;0,AS9&gt;0),VLOOKUP(A9,'Lista Suspensa'!$A$1:$F$90,4,),0)</f>
        <v>0</v>
      </c>
      <c r="AV9" s="613">
        <f>IF(OR(AR9&gt;0,AS9&gt;0),VLOOKUP(A9,'Lista Suspensa'!$A$1:$F$90,5,),0)</f>
        <v>0</v>
      </c>
      <c r="AW9" s="37">
        <f>IF(OR(AR9&gt;0,AS9&gt;0),VLOOKUP(A9,'Lista Suspensa'!$A$1:$F$90,6,),0)</f>
        <v>0</v>
      </c>
      <c r="AX9" s="612"/>
      <c r="AY9" s="613">
        <f t="shared" si="5"/>
        <v>0</v>
      </c>
      <c r="AZ9" s="613">
        <f>IF(AX9&gt;0,VLOOKUP(A9,'Lista Suspensa'!$A$1:$F$92,3,),0)</f>
        <v>0</v>
      </c>
      <c r="BA9" s="613">
        <f>IF(OR(AX9&gt;0,AY9&gt;0),VLOOKUP(A9,'Lista Suspensa'!$A$1:$F$90,4,),0)</f>
        <v>0</v>
      </c>
      <c r="BB9" s="613">
        <f>IF(OR(AX9&gt;0,AY9&gt;0),VLOOKUP(A9,'Lista Suspensa'!$A$1:$F$90,5,),0)</f>
        <v>0</v>
      </c>
      <c r="BC9" s="37">
        <f>IF(OR(AX9&gt;0,AY9&gt;0),VLOOKUP(A9,'Lista Suspensa'!$A$1:$F$90,6,),0)</f>
        <v>0</v>
      </c>
      <c r="BD9" s="612"/>
      <c r="BE9" s="613">
        <f t="shared" si="6"/>
        <v>0</v>
      </c>
      <c r="BF9" s="613">
        <f>IF(BD9&gt;0,VLOOKUP(A9,'Lista Suspensa'!$A$1:$F$92,3,),0)</f>
        <v>0</v>
      </c>
      <c r="BG9" s="613">
        <f>IF(OR(BD9&gt;0,BE9&gt;0),VLOOKUP(A9,'Lista Suspensa'!$A$1:$F$90,4,),0)</f>
        <v>0</v>
      </c>
      <c r="BH9" s="613">
        <f>IF(OR(BD9&gt;0,BE9&gt;0),VLOOKUP(A9,'Lista Suspensa'!$A$1:$F$90,5,),0)</f>
        <v>0</v>
      </c>
      <c r="BI9" s="37">
        <f>IF(OR(BD9&gt;0,BE9&gt;0),VLOOKUP(A9,'Lista Suspensa'!$A$1:$F$90,6,),0)</f>
        <v>0</v>
      </c>
      <c r="BJ9" s="612"/>
      <c r="BK9" s="613">
        <f t="shared" si="7"/>
        <v>0</v>
      </c>
      <c r="BL9" s="613">
        <f>IF(BJ9&gt;0,VLOOKUP(A9,'Lista Suspensa'!$A$1:$F$92,3,),0)</f>
        <v>0</v>
      </c>
      <c r="BM9" s="613">
        <f>IF(OR(BJ9&gt;0,BK9&gt;0),VLOOKUP(A9,'Lista Suspensa'!$A$1:$F$90,4,),0)</f>
        <v>0</v>
      </c>
      <c r="BN9" s="613">
        <f>IF(OR(BJ9&gt;0,BK9&gt;0),VLOOKUP(A9,'Lista Suspensa'!$A$1:$F$90,5,),0)</f>
        <v>0</v>
      </c>
      <c r="BO9" s="37">
        <f>IF(OR(BJ9&gt;0,BK9&gt;0),VLOOKUP(A9,'Lista Suspensa'!$A$1:$F$90,6,),0)</f>
        <v>0</v>
      </c>
      <c r="BP9" s="612"/>
      <c r="BQ9" s="613">
        <f t="shared" si="8"/>
        <v>0</v>
      </c>
      <c r="BR9" s="613">
        <f>IF(BP9&gt;0,VLOOKUP(A9,'Lista Suspensa'!$A$1:$F$92,3,),0)</f>
        <v>0</v>
      </c>
      <c r="BS9" s="613">
        <f>IF(OR(BP9&gt;0,BQ9&gt;0),VLOOKUP(A9,'Lista Suspensa'!$A$1:$F$90,4,),0)</f>
        <v>0</v>
      </c>
      <c r="BT9" s="613">
        <f>IF(OR(BP9&gt;0,BQ9&gt;0),VLOOKUP(A9,'Lista Suspensa'!$A$1:$F$90,5,),0)</f>
        <v>0</v>
      </c>
      <c r="BU9" s="37">
        <f>IF(OR(BP9&gt;0,BQ9&gt;0),VLOOKUP(A9,'Lista Suspensa'!$A$1:$F$90,6,),0)</f>
        <v>0</v>
      </c>
      <c r="BV9" s="612"/>
      <c r="BW9" s="613">
        <f t="shared" si="9"/>
        <v>0</v>
      </c>
      <c r="BX9" s="613">
        <f>IF(BV9&gt;0,VLOOKUP(A9,'Lista Suspensa'!$A$1:$F$92,3,),0)</f>
        <v>0</v>
      </c>
      <c r="BY9" s="613">
        <f>IF(OR(BV9&gt;0,BW9&gt;0),VLOOKUP(A9,'Lista Suspensa'!$A$1:$F$90,4,),0)</f>
        <v>0</v>
      </c>
      <c r="BZ9" s="613">
        <f>IF(OR(BV9&gt;0,BW9&gt;0),VLOOKUP(A9,'Lista Suspensa'!$A$1:$F$90,5,),0)</f>
        <v>0</v>
      </c>
      <c r="CA9" s="37">
        <f>IF(OR(BV9&gt;0,BW9&gt;0),VLOOKUP(A9,'Lista Suspensa'!$A$1:$F$90,6,),0)</f>
        <v>0</v>
      </c>
      <c r="CB9" s="612"/>
      <c r="CC9" s="613">
        <f t="shared" si="10"/>
        <v>0</v>
      </c>
      <c r="CD9" s="613">
        <f>IF(CB9&gt;0,VLOOKUP(A9,'Lista Suspensa'!$A$1:$F$92,3,),0)</f>
        <v>0</v>
      </c>
      <c r="CE9" s="613">
        <f>IF(OR(CB9&gt;0,CC9&gt;0),VLOOKUP(A9,'Lista Suspensa'!$A$1:$F$90,4,),0)</f>
        <v>0</v>
      </c>
      <c r="CF9" s="613">
        <f>IF(OR(CB9&gt;0,CC9&gt;0),VLOOKUP(A9,'Lista Suspensa'!$A$1:$F$90,5,),0)</f>
        <v>0</v>
      </c>
      <c r="CG9" s="37">
        <f>IF(OR(CB9&gt;0,CC9&gt;0),VLOOKUP(A9,'Lista Suspensa'!$A$1:$F$90,6,),0)</f>
        <v>0</v>
      </c>
      <c r="CH9" s="612"/>
      <c r="CI9" s="613">
        <f t="shared" si="11"/>
        <v>0</v>
      </c>
      <c r="CJ9" s="613">
        <f>IF(CH9&gt;0,VLOOKUP(A9,'Lista Suspensa'!$A$1:$F$92,3,),0)</f>
        <v>0</v>
      </c>
      <c r="CK9" s="613">
        <f>IF(OR(CH9&gt;0,CI9&gt;0),VLOOKUP(A9,'Lista Suspensa'!$A$1:$F$90,4,),0)</f>
        <v>0</v>
      </c>
      <c r="CL9" s="613">
        <f>IF(OR(CH9&gt;0,CI9&gt;0),VLOOKUP(A9,'Lista Suspensa'!$A$1:$F$90,5,),0)</f>
        <v>0</v>
      </c>
      <c r="CM9" s="636">
        <f>IF(OR(CH9&gt;0,CI9&gt;0),VLOOKUP(A9,'Lista Suspensa'!$A$1:$F$90,6,),0)</f>
        <v>0</v>
      </c>
      <c r="CN9" s="640"/>
      <c r="CO9" s="403">
        <f t="shared" si="15"/>
        <v>0</v>
      </c>
      <c r="CP9" s="756">
        <f>IF(CN9&gt;0,VLOOKUP(A9,'Lista Suspensa'!$A$1:$F$92,3,),0)</f>
        <v>0</v>
      </c>
      <c r="CQ9" s="641">
        <f>IF(OR(CN9&gt;0,CO9&gt;0),VLOOKUP(A9,'Lista Suspensa'!$A$1:$F$90,6,),0)</f>
        <v>0</v>
      </c>
      <c r="CR9" s="628"/>
      <c r="CS9" s="633"/>
      <c r="CT9" s="633"/>
      <c r="CU9" s="628"/>
      <c r="CV9" s="628"/>
      <c r="CW9" s="628"/>
      <c r="CX9" s="628"/>
      <c r="CY9" s="628"/>
      <c r="CZ9" s="628"/>
      <c r="DA9" s="628"/>
      <c r="DB9" s="628"/>
      <c r="DC9" s="628"/>
      <c r="DD9" s="628"/>
      <c r="DE9" s="628"/>
      <c r="DF9" s="628"/>
      <c r="DG9" s="628"/>
      <c r="DH9" s="628"/>
    </row>
    <row r="10" spans="1:2106" s="588" customFormat="1">
      <c r="A10" s="614"/>
      <c r="B10" s="615"/>
      <c r="C10" s="616">
        <f t="shared" si="0"/>
        <v>0</v>
      </c>
      <c r="D10" s="616">
        <f>IF(B10&gt;0,VLOOKUP(A10,'Lista Suspensa'!$A$1:$F$92,3,),0)</f>
        <v>0</v>
      </c>
      <c r="E10" s="616">
        <f>IF(OR(B10&gt;0,C10&gt;0),VLOOKUP(A10,'Lista Suspensa'!$A$1:$F$90,4,),0)</f>
        <v>0</v>
      </c>
      <c r="F10" s="616">
        <f>IF(OR(B10&gt;0,C10&gt;0),VLOOKUP(A10,'Lista Suspensa'!$A$1:$F$90,5,),0)</f>
        <v>0</v>
      </c>
      <c r="G10" s="587">
        <f>IF(OR(B10&gt;0,C10&gt;0),VLOOKUP(A10,'Lista Suspensa'!$A$1:$F$90,6,),0)</f>
        <v>0</v>
      </c>
      <c r="H10" s="615"/>
      <c r="I10" s="623">
        <f t="shared" si="12"/>
        <v>0</v>
      </c>
      <c r="J10" s="616">
        <f>IF(H10&gt;0,VLOOKUP(A10,'Lista Suspensa'!$A$1:$F$92,3,),0)</f>
        <v>0</v>
      </c>
      <c r="K10" s="616">
        <f>IF(OR(H10&gt;0,I10&gt;0),VLOOKUP(A10,'Lista Suspensa'!$A$1:$F$90,4,),0)</f>
        <v>0</v>
      </c>
      <c r="L10" s="616">
        <f>IF(OR(H10&gt;0,I10&gt;0),VLOOKUP(A10,'Lista Suspensa'!$A$1:$F$90,5,),0)</f>
        <v>0</v>
      </c>
      <c r="M10" s="587">
        <f>IF(OR(H10&gt;0,I10&gt;0),VLOOKUP(A10,'Lista Suspensa'!$A$1:$F$90,6,),0)</f>
        <v>0</v>
      </c>
      <c r="N10" s="615"/>
      <c r="O10" s="623">
        <f t="shared" si="1"/>
        <v>0</v>
      </c>
      <c r="P10" s="616">
        <f>IF(N10&gt;0,VLOOKUP(A10,'Lista Suspensa'!$A$1:$F$92,3,),0)</f>
        <v>0</v>
      </c>
      <c r="Q10" s="616">
        <f>IF(OR(N10&gt;0,O10&gt;0),VLOOKUP(A10,'Lista Suspensa'!$A$1:$F$90,4,),0)</f>
        <v>0</v>
      </c>
      <c r="R10" s="616">
        <f>IF(OR(N10&gt;0,O10&gt;0),VLOOKUP(A10,'Lista Suspensa'!$A$1:$F$90,5,),0)</f>
        <v>0</v>
      </c>
      <c r="S10" s="587">
        <f>IF(OR(N10&gt;0,O10&gt;0),VLOOKUP(A10,'Lista Suspensa'!$A$1:$F$90,6,),0)</f>
        <v>0</v>
      </c>
      <c r="T10" s="615"/>
      <c r="U10" s="623">
        <f t="shared" si="2"/>
        <v>0</v>
      </c>
      <c r="V10" s="616">
        <f>IF(T10&gt;0,VLOOKUP(A10,'Lista Suspensa'!$A$1:$F$92,3,),0)</f>
        <v>0</v>
      </c>
      <c r="W10" s="616">
        <f>IF(OR(T10&gt;0,U10&gt;0),VLOOKUP(A10,'Lista Suspensa'!$A$1:$F$90,4,),0)</f>
        <v>0</v>
      </c>
      <c r="X10" s="616">
        <f>IF(OR(T10&gt;0,U10&gt;0),VLOOKUP(A10,'Lista Suspensa'!$A$1:$F$90,5,),0)</f>
        <v>0</v>
      </c>
      <c r="Y10" s="587">
        <f>IF(OR(T10&gt;0,U10&gt;0),VLOOKUP(A10,'Lista Suspensa'!$A$1:$F$90,6,),0)</f>
        <v>0</v>
      </c>
      <c r="Z10" s="615"/>
      <c r="AA10" s="623">
        <f t="shared" si="3"/>
        <v>0</v>
      </c>
      <c r="AB10" s="616">
        <f>IF(Z10&gt;0,VLOOKUP(A10,'Lista Suspensa'!$A$1:$F$92,3,),0)</f>
        <v>0</v>
      </c>
      <c r="AC10" s="616">
        <f>IF(OR(Z10&gt;0,AA10&gt;0),VLOOKUP(A10,'Lista Suspensa'!$A$1:$F$90,4,),0)</f>
        <v>0</v>
      </c>
      <c r="AD10" s="616">
        <f>IF(OR(Z10&gt;0,AA10&gt;0),VLOOKUP(A10,'Lista Suspensa'!$A$1:$F$90,5,),0)</f>
        <v>0</v>
      </c>
      <c r="AE10" s="587">
        <f>IF(OR(Z10&gt;0,AA10&gt;0),VLOOKUP(A10,'Lista Suspensa'!$A$1:$F$90,6,),0)</f>
        <v>0</v>
      </c>
      <c r="AF10" s="615"/>
      <c r="AG10" s="623">
        <f t="shared" si="13"/>
        <v>0</v>
      </c>
      <c r="AH10" s="616">
        <f>IF(AF10&gt;0,VLOOKUP(A10,'Lista Suspensa'!$A$1:$F$92,3,),0)</f>
        <v>0</v>
      </c>
      <c r="AI10" s="616">
        <f>IF(OR(AF10&gt;0,AG10&gt;0),VLOOKUP(A10,'Lista Suspensa'!$A$1:$F$90,4,),0)</f>
        <v>0</v>
      </c>
      <c r="AJ10" s="616">
        <f>IF(OR(AF10&gt;0,AG10&gt;0),VLOOKUP(A10,'Lista Suspensa'!$A$1:$F$90,5,),0)</f>
        <v>0</v>
      </c>
      <c r="AK10" s="587">
        <f>IF(OR(AF10&gt;0,AG10&gt;0),VLOOKUP(A10,'Lista Suspensa'!$A$1:$F$90,6,),0)</f>
        <v>0</v>
      </c>
      <c r="AL10" s="615"/>
      <c r="AM10" s="623">
        <f t="shared" si="4"/>
        <v>0</v>
      </c>
      <c r="AN10" s="616">
        <f>IF(AL10&gt;0,VLOOKUP(A10,'Lista Suspensa'!$A$1:$F$92,3,),0)</f>
        <v>0</v>
      </c>
      <c r="AO10" s="616">
        <f>IF(OR(AL10&gt;0,AM10&gt;0),VLOOKUP(A10,'Lista Suspensa'!$A$1:$F$90,4,),0)</f>
        <v>0</v>
      </c>
      <c r="AP10" s="616">
        <f>IF(OR(AL10&gt;0,AM10&gt;0),VLOOKUP(A10,'Lista Suspensa'!$A$1:$F$90,5,),0)</f>
        <v>0</v>
      </c>
      <c r="AQ10" s="587">
        <f>IF(OR(AL10&gt;0,AM10&gt;0),VLOOKUP(A10,'Lista Suspensa'!$A$1:$F$90,6,),0)</f>
        <v>0</v>
      </c>
      <c r="AR10" s="615"/>
      <c r="AS10" s="623">
        <f t="shared" si="14"/>
        <v>0</v>
      </c>
      <c r="AT10" s="616">
        <f>IF(AR10&gt;0,VLOOKUP(A10,'Lista Suspensa'!$A$1:$F$92,3,),0)</f>
        <v>0</v>
      </c>
      <c r="AU10" s="616">
        <f>IF(OR(AR10&gt;0,AS10&gt;0),VLOOKUP(A10,'Lista Suspensa'!$A$1:$F$90,4,),0)</f>
        <v>0</v>
      </c>
      <c r="AV10" s="616">
        <f>IF(OR(AR10&gt;0,AS10&gt;0),VLOOKUP(A10,'Lista Suspensa'!$A$1:$F$90,5,),0)</f>
        <v>0</v>
      </c>
      <c r="AW10" s="586">
        <f>IF(OR(AR10&gt;0,AS10&gt;0),VLOOKUP(A10,'Lista Suspensa'!$A$1:$F$90,6,),0)</f>
        <v>0</v>
      </c>
      <c r="AX10" s="615"/>
      <c r="AY10" s="623">
        <f t="shared" si="5"/>
        <v>0</v>
      </c>
      <c r="AZ10" s="616">
        <f>IF(AX10&gt;0,VLOOKUP(A10,'Lista Suspensa'!$A$1:$F$92,3,),0)</f>
        <v>0</v>
      </c>
      <c r="BA10" s="616">
        <f>IF(OR(AX10&gt;0,AY10&gt;0),VLOOKUP(A10,'Lista Suspensa'!$A$1:$F$90,4,),0)</f>
        <v>0</v>
      </c>
      <c r="BB10" s="616">
        <f>IF(OR(AX10&gt;0,AY10&gt;0),VLOOKUP(A10,'Lista Suspensa'!$A$1:$F$90,5,),0)</f>
        <v>0</v>
      </c>
      <c r="BC10" s="586">
        <f>IF(OR(AX10&gt;0,AY10&gt;0),VLOOKUP(A10,'Lista Suspensa'!$A$1:$F$90,6,),0)</f>
        <v>0</v>
      </c>
      <c r="BD10" s="615"/>
      <c r="BE10" s="623">
        <f t="shared" si="6"/>
        <v>0</v>
      </c>
      <c r="BF10" s="616">
        <f>IF(BD10&gt;0,VLOOKUP(A10,'Lista Suspensa'!$A$1:$F$92,3,),0)</f>
        <v>0</v>
      </c>
      <c r="BG10" s="616">
        <f>IF(OR(BD10&gt;0,BE10&gt;0),VLOOKUP(A10,'Lista Suspensa'!$A$1:$F$90,4,),0)</f>
        <v>0</v>
      </c>
      <c r="BH10" s="616">
        <f>IF(OR(BD10&gt;0,BE10&gt;0),VLOOKUP(A10,'Lista Suspensa'!$A$1:$F$90,5,),0)</f>
        <v>0</v>
      </c>
      <c r="BI10" s="586">
        <f>IF(OR(BD10&gt;0,BE10&gt;0),VLOOKUP(A10,'Lista Suspensa'!$A$1:$F$90,6,),0)</f>
        <v>0</v>
      </c>
      <c r="BJ10" s="615"/>
      <c r="BK10" s="623">
        <f t="shared" si="7"/>
        <v>0</v>
      </c>
      <c r="BL10" s="616">
        <f>IF(BJ10&gt;0,VLOOKUP(A10,'Lista Suspensa'!$A$1:$F$92,3,),0)</f>
        <v>0</v>
      </c>
      <c r="BM10" s="616">
        <f>IF(OR(BJ10&gt;0,BK10&gt;0),VLOOKUP(A10,'Lista Suspensa'!$A$1:$F$90,4,),0)</f>
        <v>0</v>
      </c>
      <c r="BN10" s="616">
        <f>IF(OR(BJ10&gt;0,BK10&gt;0),VLOOKUP(A10,'Lista Suspensa'!$A$1:$F$90,5,),0)</f>
        <v>0</v>
      </c>
      <c r="BO10" s="586">
        <f>IF(OR(BJ10&gt;0,BK10&gt;0),VLOOKUP(A10,'Lista Suspensa'!$A$1:$F$90,6,),0)</f>
        <v>0</v>
      </c>
      <c r="BP10" s="615"/>
      <c r="BQ10" s="623">
        <f t="shared" si="8"/>
        <v>0</v>
      </c>
      <c r="BR10" s="616">
        <f>IF(BP10&gt;0,VLOOKUP(A10,'Lista Suspensa'!$A$1:$F$92,3,),0)</f>
        <v>0</v>
      </c>
      <c r="BS10" s="616">
        <f>IF(OR(BP10&gt;0,BQ10&gt;0),VLOOKUP(A10,'Lista Suspensa'!$A$1:$F$90,4,),0)</f>
        <v>0</v>
      </c>
      <c r="BT10" s="616">
        <f>IF(OR(BP10&gt;0,BQ10&gt;0),VLOOKUP(A10,'Lista Suspensa'!$A$1:$F$90,5,),0)</f>
        <v>0</v>
      </c>
      <c r="BU10" s="586">
        <f>IF(OR(BP10&gt;0,BQ10&gt;0),VLOOKUP(A10,'Lista Suspensa'!$A$1:$F$90,6,),0)</f>
        <v>0</v>
      </c>
      <c r="BV10" s="615"/>
      <c r="BW10" s="623">
        <f t="shared" si="9"/>
        <v>0</v>
      </c>
      <c r="BX10" s="616">
        <f>IF(BV10&gt;0,VLOOKUP(A10,'Lista Suspensa'!$A$1:$F$92,3,),0)</f>
        <v>0</v>
      </c>
      <c r="BY10" s="616">
        <f>IF(OR(BV10&gt;0,BW10&gt;0),VLOOKUP(A10,'Lista Suspensa'!$A$1:$F$90,4,),0)</f>
        <v>0</v>
      </c>
      <c r="BZ10" s="616">
        <f>IF(OR(BV10&gt;0,BW10&gt;0),VLOOKUP(A10,'Lista Suspensa'!$A$1:$F$90,5,),0)</f>
        <v>0</v>
      </c>
      <c r="CA10" s="586">
        <f>IF(OR(BV10&gt;0,BW10&gt;0),VLOOKUP(A10,'Lista Suspensa'!$A$1:$F$90,6,),0)</f>
        <v>0</v>
      </c>
      <c r="CB10" s="615"/>
      <c r="CC10" s="623">
        <f t="shared" si="10"/>
        <v>0</v>
      </c>
      <c r="CD10" s="616">
        <f>IF(CB10&gt;0,VLOOKUP(A10,'Lista Suspensa'!$A$1:$F$92,3,),0)</f>
        <v>0</v>
      </c>
      <c r="CE10" s="616">
        <f>IF(OR(CB10&gt;0,CC10&gt;0),VLOOKUP(A10,'Lista Suspensa'!$A$1:$F$90,4,),0)</f>
        <v>0</v>
      </c>
      <c r="CF10" s="616">
        <f>IF(OR(CB10&gt;0,CC10&gt;0),VLOOKUP(A10,'Lista Suspensa'!$A$1:$F$90,5,),0)</f>
        <v>0</v>
      </c>
      <c r="CG10" s="586">
        <f>IF(OR(CB10&gt;0,CC10&gt;0),VLOOKUP(A10,'Lista Suspensa'!$A$1:$F$90,6,),0)</f>
        <v>0</v>
      </c>
      <c r="CH10" s="615"/>
      <c r="CI10" s="623">
        <f t="shared" si="11"/>
        <v>0</v>
      </c>
      <c r="CJ10" s="616">
        <f>IF(CH10&gt;0,VLOOKUP(A10,'Lista Suspensa'!$A$1:$F$92,3,),0)</f>
        <v>0</v>
      </c>
      <c r="CK10" s="616">
        <f>IF(OR(CH10&gt;0,CI10&gt;0),VLOOKUP(A10,'Lista Suspensa'!$A$1:$F$90,4,),0)</f>
        <v>0</v>
      </c>
      <c r="CL10" s="616">
        <f>IF(OR(CH10&gt;0,CI10&gt;0),VLOOKUP(A10,'Lista Suspensa'!$A$1:$F$90,5,),0)</f>
        <v>0</v>
      </c>
      <c r="CM10" s="637">
        <f>IF(OR(CH10&gt;0,CI10&gt;0),VLOOKUP(A10,'Lista Suspensa'!$A$1:$F$90,6,),0)</f>
        <v>0</v>
      </c>
      <c r="CN10" s="644"/>
      <c r="CO10" s="403">
        <f t="shared" si="15"/>
        <v>0</v>
      </c>
      <c r="CP10" s="756">
        <f>IF(CN10&gt;0,VLOOKUP(A10,'Lista Suspensa'!$A$1:$F$92,3,),0)</f>
        <v>0</v>
      </c>
      <c r="CQ10" s="643">
        <f>IF(OR(CN10&gt;0,CO10&gt;0),VLOOKUP(A10,'Lista Suspensa'!$A$1:$F$90,6,),0)</f>
        <v>0</v>
      </c>
      <c r="CR10" s="628"/>
      <c r="CS10" s="633"/>
      <c r="CT10" s="633"/>
      <c r="CU10" s="628"/>
      <c r="CV10" s="628"/>
      <c r="CW10" s="628"/>
      <c r="CX10" s="628"/>
      <c r="CY10" s="628"/>
      <c r="CZ10" s="628"/>
      <c r="DA10" s="628"/>
      <c r="DB10" s="628"/>
      <c r="DC10" s="628"/>
      <c r="DD10" s="628"/>
      <c r="DE10" s="628"/>
      <c r="DF10" s="628"/>
      <c r="DG10" s="628"/>
      <c r="DH10" s="628"/>
      <c r="DI10" s="583"/>
      <c r="DJ10" s="583"/>
      <c r="DK10" s="583"/>
      <c r="DL10" s="583"/>
      <c r="DM10" s="583"/>
      <c r="DN10" s="583"/>
      <c r="DO10" s="583"/>
      <c r="DP10" s="583"/>
      <c r="DQ10" s="583"/>
      <c r="DR10" s="583"/>
      <c r="DS10" s="583"/>
      <c r="DT10" s="583"/>
      <c r="DU10" s="583"/>
      <c r="DV10" s="583"/>
      <c r="DW10" s="583"/>
      <c r="DX10" s="583"/>
      <c r="DY10" s="583"/>
      <c r="DZ10" s="583"/>
      <c r="EA10" s="583"/>
      <c r="EB10" s="583"/>
      <c r="EC10" s="583"/>
      <c r="ED10" s="583"/>
      <c r="EE10" s="583"/>
      <c r="EF10" s="583"/>
      <c r="EG10" s="583"/>
      <c r="EH10" s="583"/>
      <c r="EI10" s="583"/>
      <c r="EJ10" s="583"/>
      <c r="EK10" s="583"/>
      <c r="EL10" s="583"/>
      <c r="EM10" s="583"/>
      <c r="EN10" s="583"/>
      <c r="EO10" s="583"/>
      <c r="EP10" s="583"/>
      <c r="EQ10" s="583"/>
      <c r="ER10" s="583"/>
      <c r="ES10" s="583"/>
      <c r="ET10" s="583"/>
      <c r="EU10" s="583"/>
      <c r="EV10" s="583"/>
      <c r="EW10" s="583"/>
      <c r="EX10" s="583"/>
      <c r="EY10" s="583"/>
      <c r="EZ10" s="583"/>
      <c r="FA10" s="583"/>
      <c r="FB10" s="583"/>
      <c r="FC10" s="583"/>
      <c r="FD10" s="583"/>
      <c r="FE10" s="583"/>
      <c r="FF10" s="583"/>
      <c r="FG10" s="583"/>
      <c r="FH10" s="583"/>
      <c r="FI10" s="583"/>
      <c r="FJ10" s="583"/>
      <c r="FK10" s="583"/>
      <c r="FL10" s="583"/>
      <c r="FM10" s="583"/>
      <c r="FN10" s="583"/>
      <c r="FO10" s="583"/>
      <c r="FP10" s="583"/>
      <c r="FQ10" s="583"/>
      <c r="FR10" s="583"/>
      <c r="FS10" s="583"/>
      <c r="FT10" s="583"/>
      <c r="FU10" s="583"/>
      <c r="FV10" s="583"/>
      <c r="FW10" s="583"/>
      <c r="FX10" s="583"/>
      <c r="FY10" s="583"/>
      <c r="FZ10" s="583"/>
      <c r="GA10" s="583"/>
      <c r="GB10" s="583"/>
      <c r="GC10" s="583"/>
      <c r="GD10" s="583"/>
      <c r="GE10" s="583"/>
      <c r="GF10" s="583"/>
      <c r="GG10" s="583"/>
      <c r="GH10" s="583"/>
      <c r="GI10" s="583"/>
      <c r="GJ10" s="583"/>
      <c r="GK10" s="583"/>
      <c r="GL10" s="583"/>
      <c r="GM10" s="583"/>
      <c r="GN10" s="583"/>
      <c r="GO10" s="583"/>
      <c r="GP10" s="583"/>
      <c r="GQ10" s="583"/>
      <c r="GR10" s="583"/>
      <c r="GS10" s="583"/>
      <c r="GT10" s="583"/>
      <c r="GU10" s="583"/>
      <c r="GV10" s="583"/>
      <c r="GW10" s="583"/>
      <c r="GX10" s="583"/>
      <c r="GY10" s="583"/>
      <c r="GZ10" s="583"/>
      <c r="HA10" s="583"/>
      <c r="HB10" s="583"/>
      <c r="HC10" s="583"/>
      <c r="HD10" s="583"/>
      <c r="HE10" s="583"/>
      <c r="HF10" s="583"/>
      <c r="HG10" s="583"/>
      <c r="HH10" s="583"/>
      <c r="HI10" s="583"/>
      <c r="HJ10" s="583"/>
      <c r="HK10" s="583"/>
      <c r="HL10" s="583"/>
      <c r="HM10" s="583"/>
      <c r="HN10" s="583"/>
      <c r="HO10" s="583"/>
      <c r="HP10" s="583"/>
      <c r="HQ10" s="583"/>
      <c r="HR10" s="583"/>
      <c r="HS10" s="583"/>
      <c r="HT10" s="583"/>
      <c r="HU10" s="583"/>
      <c r="HV10" s="583"/>
      <c r="HW10" s="583"/>
      <c r="HX10" s="583"/>
      <c r="HY10" s="583"/>
      <c r="HZ10" s="583"/>
      <c r="IA10" s="583"/>
      <c r="IB10" s="583"/>
      <c r="IC10" s="583"/>
      <c r="ID10" s="583"/>
      <c r="IE10" s="583"/>
      <c r="IF10" s="583"/>
      <c r="IG10" s="583"/>
      <c r="IH10" s="583"/>
      <c r="II10" s="583"/>
      <c r="IJ10" s="583"/>
      <c r="IK10" s="583"/>
      <c r="IL10" s="583"/>
      <c r="IM10" s="583"/>
      <c r="IN10" s="583"/>
      <c r="IO10" s="583"/>
      <c r="IP10" s="583"/>
      <c r="IQ10" s="583"/>
      <c r="IR10" s="583"/>
      <c r="IS10" s="583"/>
      <c r="IT10" s="583"/>
      <c r="IU10" s="583"/>
      <c r="IV10" s="583"/>
      <c r="IW10" s="583"/>
      <c r="IX10" s="583"/>
      <c r="IY10" s="583"/>
      <c r="IZ10" s="583"/>
      <c r="JA10" s="583"/>
      <c r="JB10" s="583"/>
      <c r="JC10" s="583"/>
      <c r="JD10" s="583"/>
      <c r="JE10" s="583"/>
      <c r="JF10" s="583"/>
      <c r="JG10" s="583"/>
      <c r="JH10" s="583"/>
      <c r="JI10" s="583"/>
      <c r="JJ10" s="583"/>
      <c r="JK10" s="583"/>
      <c r="JL10" s="583"/>
      <c r="JM10" s="583"/>
      <c r="JN10" s="583"/>
      <c r="JO10" s="583"/>
      <c r="JP10" s="583"/>
      <c r="JQ10" s="583"/>
      <c r="JR10" s="583"/>
      <c r="JS10" s="583"/>
      <c r="JT10" s="583"/>
      <c r="JU10" s="583"/>
      <c r="JV10" s="583"/>
      <c r="JW10" s="583"/>
      <c r="JX10" s="583"/>
      <c r="JY10" s="583"/>
      <c r="JZ10" s="583"/>
      <c r="KA10" s="583"/>
      <c r="KB10" s="583"/>
      <c r="KC10" s="583"/>
      <c r="KD10" s="583"/>
      <c r="KE10" s="583"/>
      <c r="KF10" s="583"/>
      <c r="KG10" s="583"/>
      <c r="KH10" s="583"/>
      <c r="KI10" s="583"/>
      <c r="KJ10" s="583"/>
      <c r="KK10" s="583"/>
      <c r="KL10" s="583"/>
      <c r="KM10" s="583"/>
      <c r="KN10" s="583"/>
      <c r="KO10" s="583"/>
      <c r="KP10" s="583"/>
      <c r="KQ10" s="583"/>
      <c r="KR10" s="583"/>
      <c r="KS10" s="583"/>
      <c r="KT10" s="583"/>
      <c r="KU10" s="583"/>
      <c r="KV10" s="583"/>
      <c r="KW10" s="583"/>
      <c r="KX10" s="583"/>
      <c r="KY10" s="583"/>
      <c r="KZ10" s="583"/>
      <c r="LA10" s="583"/>
      <c r="LB10" s="583"/>
      <c r="LC10" s="583"/>
      <c r="LD10" s="583"/>
      <c r="LE10" s="583"/>
      <c r="LF10" s="583"/>
      <c r="LG10" s="583"/>
      <c r="LH10" s="583"/>
      <c r="LI10" s="583"/>
      <c r="LJ10" s="583"/>
      <c r="LK10" s="583"/>
      <c r="LL10" s="583"/>
      <c r="LM10" s="583"/>
      <c r="LN10" s="583"/>
      <c r="LO10" s="583"/>
      <c r="LP10" s="583"/>
      <c r="LQ10" s="583"/>
      <c r="LR10" s="583"/>
      <c r="LS10" s="583"/>
      <c r="LT10" s="583"/>
      <c r="LU10" s="583"/>
      <c r="LV10" s="583"/>
      <c r="LW10" s="583"/>
      <c r="LX10" s="583"/>
      <c r="LY10" s="583"/>
      <c r="LZ10" s="583"/>
      <c r="MA10" s="583"/>
      <c r="MB10" s="583"/>
      <c r="MC10" s="583"/>
      <c r="MD10" s="583"/>
      <c r="ME10" s="583"/>
      <c r="MF10" s="583"/>
      <c r="MG10" s="583"/>
      <c r="MH10" s="583"/>
      <c r="MI10" s="583"/>
      <c r="MJ10" s="583"/>
      <c r="MK10" s="583"/>
      <c r="ML10" s="583"/>
      <c r="MM10" s="583"/>
      <c r="MN10" s="583"/>
      <c r="MO10" s="583"/>
      <c r="MP10" s="583"/>
      <c r="MQ10" s="583"/>
      <c r="MR10" s="583"/>
      <c r="MS10" s="583"/>
      <c r="MT10" s="583"/>
      <c r="MU10" s="583"/>
      <c r="MV10" s="583"/>
      <c r="MW10" s="583"/>
      <c r="MX10" s="583"/>
      <c r="MY10" s="583"/>
      <c r="MZ10" s="583"/>
      <c r="NA10" s="583"/>
      <c r="NB10" s="583"/>
      <c r="NC10" s="583"/>
      <c r="ND10" s="583"/>
      <c r="NE10" s="583"/>
      <c r="NF10" s="583"/>
      <c r="NG10" s="583"/>
      <c r="NH10" s="583"/>
      <c r="NI10" s="583"/>
      <c r="NJ10" s="583"/>
      <c r="NK10" s="583"/>
      <c r="NL10" s="583"/>
      <c r="NM10" s="583"/>
      <c r="NN10" s="583"/>
      <c r="NO10" s="583"/>
      <c r="NP10" s="583"/>
      <c r="NQ10" s="583"/>
      <c r="NR10" s="583"/>
      <c r="NS10" s="583"/>
      <c r="NT10" s="583"/>
      <c r="NU10" s="583"/>
      <c r="NV10" s="583"/>
      <c r="NW10" s="583"/>
      <c r="NX10" s="583"/>
      <c r="NY10" s="583"/>
      <c r="NZ10" s="583"/>
      <c r="OA10" s="583"/>
      <c r="OB10" s="583"/>
      <c r="OC10" s="583"/>
      <c r="OD10" s="583"/>
      <c r="OE10" s="583"/>
      <c r="OF10" s="583"/>
      <c r="OG10" s="583"/>
      <c r="OH10" s="583"/>
      <c r="OI10" s="583"/>
      <c r="OJ10" s="583"/>
      <c r="OK10" s="583"/>
      <c r="OL10" s="583"/>
      <c r="OM10" s="583"/>
      <c r="ON10" s="583"/>
      <c r="OO10" s="583"/>
      <c r="OP10" s="583"/>
      <c r="OQ10" s="583"/>
      <c r="OR10" s="583"/>
      <c r="OS10" s="583"/>
      <c r="OT10" s="583"/>
      <c r="OU10" s="583"/>
      <c r="OV10" s="583"/>
      <c r="OW10" s="583"/>
      <c r="OX10" s="583"/>
      <c r="OY10" s="583"/>
      <c r="OZ10" s="583"/>
      <c r="PA10" s="583"/>
      <c r="PB10" s="583"/>
      <c r="PC10" s="583"/>
      <c r="PD10" s="583"/>
      <c r="PE10" s="583"/>
      <c r="PF10" s="583"/>
      <c r="PG10" s="583"/>
      <c r="PH10" s="583"/>
      <c r="PI10" s="583"/>
      <c r="PJ10" s="583"/>
      <c r="PK10" s="583"/>
      <c r="PL10" s="583"/>
      <c r="PM10" s="583"/>
      <c r="PN10" s="583"/>
      <c r="PO10" s="583"/>
      <c r="PP10" s="583"/>
      <c r="PQ10" s="583"/>
      <c r="PR10" s="583"/>
      <c r="PS10" s="583"/>
      <c r="PT10" s="583"/>
      <c r="PU10" s="583"/>
      <c r="PV10" s="583"/>
      <c r="PW10" s="583"/>
      <c r="PX10" s="583"/>
      <c r="PY10" s="583"/>
      <c r="PZ10" s="583"/>
      <c r="QA10" s="583"/>
      <c r="QB10" s="583"/>
      <c r="QC10" s="583"/>
      <c r="QD10" s="583"/>
      <c r="QE10" s="583"/>
      <c r="QF10" s="583"/>
      <c r="QG10" s="583"/>
      <c r="QH10" s="583"/>
      <c r="QI10" s="583"/>
      <c r="QJ10" s="583"/>
      <c r="QK10" s="583"/>
      <c r="QL10" s="583"/>
      <c r="QM10" s="583"/>
      <c r="QN10" s="583"/>
      <c r="QO10" s="583"/>
      <c r="QP10" s="583"/>
      <c r="QQ10" s="583"/>
      <c r="QR10" s="583"/>
      <c r="QS10" s="583"/>
      <c r="QT10" s="583"/>
      <c r="QU10" s="583"/>
      <c r="QV10" s="583"/>
      <c r="QW10" s="583"/>
      <c r="QX10" s="583"/>
      <c r="QY10" s="583"/>
      <c r="QZ10" s="583"/>
      <c r="RA10" s="583"/>
      <c r="RB10" s="583"/>
      <c r="RC10" s="583"/>
      <c r="RD10" s="583"/>
      <c r="RE10" s="583"/>
      <c r="RF10" s="583"/>
      <c r="RG10" s="583"/>
      <c r="RH10" s="583"/>
      <c r="RI10" s="583"/>
      <c r="RJ10" s="583"/>
      <c r="RK10" s="583"/>
      <c r="RL10" s="583"/>
      <c r="RM10" s="583"/>
      <c r="RN10" s="583"/>
      <c r="RO10" s="583"/>
      <c r="RP10" s="583"/>
      <c r="RQ10" s="583"/>
      <c r="RR10" s="583"/>
      <c r="RS10" s="583"/>
      <c r="RT10" s="583"/>
      <c r="RU10" s="583"/>
      <c r="RV10" s="583"/>
      <c r="RW10" s="583"/>
      <c r="RX10" s="583"/>
      <c r="RY10" s="583"/>
      <c r="RZ10" s="583"/>
      <c r="SA10" s="583"/>
      <c r="SB10" s="583"/>
      <c r="SC10" s="583"/>
      <c r="SD10" s="583"/>
      <c r="SE10" s="583"/>
      <c r="SF10" s="583"/>
      <c r="SG10" s="583"/>
      <c r="SH10" s="583"/>
      <c r="SI10" s="583"/>
      <c r="SJ10" s="583"/>
      <c r="SK10" s="583"/>
      <c r="SL10" s="583"/>
      <c r="SM10" s="583"/>
      <c r="SN10" s="583"/>
      <c r="SO10" s="583"/>
      <c r="SP10" s="583"/>
      <c r="SQ10" s="583"/>
      <c r="SR10" s="583"/>
      <c r="SS10" s="583"/>
      <c r="ST10" s="583"/>
      <c r="SU10" s="583"/>
      <c r="SV10" s="583"/>
      <c r="SW10" s="583"/>
      <c r="SX10" s="583"/>
      <c r="SY10" s="583"/>
      <c r="SZ10" s="583"/>
      <c r="TA10" s="583"/>
      <c r="TB10" s="583"/>
      <c r="TC10" s="583"/>
      <c r="TD10" s="583"/>
      <c r="TE10" s="583"/>
      <c r="TF10" s="583"/>
      <c r="TG10" s="583"/>
      <c r="TH10" s="583"/>
      <c r="TI10" s="583"/>
      <c r="TJ10" s="583"/>
      <c r="TK10" s="583"/>
      <c r="TL10" s="583"/>
      <c r="TM10" s="583"/>
      <c r="TN10" s="583"/>
      <c r="TO10" s="583"/>
      <c r="TP10" s="583"/>
      <c r="TQ10" s="583"/>
      <c r="TR10" s="583"/>
      <c r="TS10" s="583"/>
      <c r="TT10" s="583"/>
      <c r="TU10" s="583"/>
      <c r="TV10" s="583"/>
      <c r="TW10" s="583"/>
      <c r="TX10" s="583"/>
      <c r="TY10" s="583"/>
      <c r="TZ10" s="583"/>
      <c r="UA10" s="583"/>
      <c r="UB10" s="583"/>
      <c r="UC10" s="583"/>
      <c r="UD10" s="583"/>
      <c r="UE10" s="583"/>
      <c r="UF10" s="583"/>
      <c r="UG10" s="583"/>
      <c r="UH10" s="583"/>
      <c r="UI10" s="583"/>
      <c r="UJ10" s="583"/>
      <c r="UK10" s="583"/>
      <c r="UL10" s="583"/>
      <c r="UM10" s="583"/>
      <c r="UN10" s="583"/>
      <c r="UO10" s="583"/>
      <c r="UP10" s="583"/>
      <c r="UQ10" s="583"/>
      <c r="UR10" s="583"/>
      <c r="US10" s="583"/>
      <c r="UT10" s="583"/>
      <c r="UU10" s="583"/>
      <c r="UV10" s="583"/>
      <c r="UW10" s="583"/>
      <c r="UX10" s="583"/>
      <c r="UY10" s="583"/>
      <c r="UZ10" s="583"/>
      <c r="VA10" s="583"/>
      <c r="VB10" s="583"/>
      <c r="VC10" s="583"/>
      <c r="VD10" s="583"/>
      <c r="VE10" s="583"/>
      <c r="VF10" s="583"/>
      <c r="VG10" s="583"/>
      <c r="VH10" s="583"/>
      <c r="VI10" s="583"/>
      <c r="VJ10" s="583"/>
      <c r="VK10" s="583"/>
      <c r="VL10" s="583"/>
      <c r="VM10" s="583"/>
      <c r="VN10" s="583"/>
      <c r="VO10" s="583"/>
      <c r="VP10" s="583"/>
      <c r="VQ10" s="583"/>
      <c r="VR10" s="583"/>
      <c r="VS10" s="583"/>
      <c r="VT10" s="583"/>
      <c r="VU10" s="583"/>
      <c r="VV10" s="583"/>
      <c r="VW10" s="583"/>
      <c r="VX10" s="583"/>
      <c r="VY10" s="583"/>
      <c r="VZ10" s="583"/>
      <c r="WA10" s="583"/>
      <c r="WB10" s="583"/>
      <c r="WC10" s="583"/>
      <c r="WD10" s="583"/>
      <c r="WE10" s="583"/>
      <c r="WF10" s="583"/>
      <c r="WG10" s="583"/>
      <c r="WH10" s="583"/>
      <c r="WI10" s="583"/>
      <c r="WJ10" s="583"/>
      <c r="WK10" s="583"/>
      <c r="WL10" s="583"/>
      <c r="WM10" s="583"/>
      <c r="WN10" s="583"/>
      <c r="WO10" s="583"/>
      <c r="WP10" s="583"/>
      <c r="WQ10" s="583"/>
      <c r="WR10" s="583"/>
      <c r="WS10" s="583"/>
      <c r="WT10" s="583"/>
      <c r="WU10" s="583"/>
      <c r="WV10" s="583"/>
      <c r="WW10" s="583"/>
      <c r="WX10" s="583"/>
      <c r="WY10" s="583"/>
      <c r="WZ10" s="583"/>
      <c r="XA10" s="583"/>
      <c r="XB10" s="583"/>
      <c r="XC10" s="583"/>
      <c r="XD10" s="583"/>
      <c r="XE10" s="583"/>
      <c r="XF10" s="583"/>
      <c r="XG10" s="583"/>
      <c r="XH10" s="583"/>
      <c r="XI10" s="583"/>
      <c r="XJ10" s="583"/>
      <c r="XK10" s="583"/>
      <c r="XL10" s="583"/>
      <c r="XM10" s="583"/>
      <c r="XN10" s="583"/>
      <c r="XO10" s="583"/>
      <c r="XP10" s="583"/>
      <c r="XQ10" s="583"/>
      <c r="XR10" s="583"/>
      <c r="XS10" s="583"/>
      <c r="XT10" s="583"/>
      <c r="XU10" s="583"/>
      <c r="XV10" s="583"/>
      <c r="XW10" s="583"/>
      <c r="XX10" s="583"/>
      <c r="XY10" s="583"/>
      <c r="XZ10" s="583"/>
      <c r="YA10" s="583"/>
      <c r="YB10" s="583"/>
      <c r="YC10" s="583"/>
      <c r="YD10" s="583"/>
      <c r="YE10" s="583"/>
      <c r="YF10" s="583"/>
      <c r="YG10" s="583"/>
      <c r="YH10" s="583"/>
      <c r="YI10" s="583"/>
      <c r="YJ10" s="583"/>
      <c r="YK10" s="583"/>
      <c r="YL10" s="583"/>
      <c r="YM10" s="583"/>
      <c r="YN10" s="583"/>
      <c r="YO10" s="583"/>
      <c r="YP10" s="583"/>
      <c r="YQ10" s="583"/>
      <c r="YR10" s="583"/>
      <c r="YS10" s="583"/>
      <c r="YT10" s="583"/>
      <c r="YU10" s="583"/>
      <c r="YV10" s="583"/>
      <c r="YW10" s="583"/>
      <c r="YX10" s="583"/>
      <c r="YY10" s="583"/>
      <c r="YZ10" s="583"/>
      <c r="ZA10" s="583"/>
      <c r="ZB10" s="583"/>
      <c r="ZC10" s="583"/>
      <c r="ZD10" s="583"/>
      <c r="ZE10" s="583"/>
      <c r="ZF10" s="583"/>
      <c r="ZG10" s="583"/>
      <c r="ZH10" s="583"/>
      <c r="ZI10" s="583"/>
      <c r="ZJ10" s="583"/>
      <c r="ZK10" s="583"/>
      <c r="ZL10" s="583"/>
      <c r="ZM10" s="583"/>
      <c r="ZN10" s="583"/>
      <c r="ZO10" s="583"/>
      <c r="ZP10" s="583"/>
      <c r="ZQ10" s="583"/>
      <c r="ZR10" s="583"/>
      <c r="ZS10" s="583"/>
      <c r="ZT10" s="583"/>
      <c r="ZU10" s="583"/>
      <c r="ZV10" s="583"/>
      <c r="ZW10" s="583"/>
      <c r="ZX10" s="583"/>
      <c r="ZY10" s="583"/>
      <c r="ZZ10" s="583"/>
      <c r="AAA10" s="583"/>
      <c r="AAB10" s="583"/>
      <c r="AAC10" s="583"/>
      <c r="AAD10" s="583"/>
      <c r="AAE10" s="583"/>
      <c r="AAF10" s="583"/>
      <c r="AAG10" s="583"/>
      <c r="AAH10" s="583"/>
      <c r="AAI10" s="583"/>
      <c r="AAJ10" s="583"/>
      <c r="AAK10" s="583"/>
      <c r="AAL10" s="583"/>
      <c r="AAM10" s="583"/>
      <c r="AAN10" s="583"/>
      <c r="AAO10" s="583"/>
      <c r="AAP10" s="583"/>
      <c r="AAQ10" s="583"/>
      <c r="AAR10" s="583"/>
      <c r="AAS10" s="583"/>
      <c r="AAT10" s="583"/>
      <c r="AAU10" s="583"/>
      <c r="AAV10" s="583"/>
      <c r="AAW10" s="583"/>
      <c r="AAX10" s="583"/>
      <c r="AAY10" s="583"/>
      <c r="AAZ10" s="583"/>
      <c r="ABA10" s="583"/>
      <c r="ABB10" s="583"/>
      <c r="ABC10" s="583"/>
      <c r="ABD10" s="583"/>
      <c r="ABE10" s="583"/>
      <c r="ABF10" s="583"/>
      <c r="ABG10" s="583"/>
      <c r="ABH10" s="583"/>
      <c r="ABI10" s="583"/>
      <c r="ABJ10" s="583"/>
      <c r="ABK10" s="583"/>
      <c r="ABL10" s="583"/>
      <c r="ABM10" s="583"/>
      <c r="ABN10" s="583"/>
      <c r="ABO10" s="583"/>
      <c r="ABP10" s="583"/>
      <c r="ABQ10" s="583"/>
      <c r="ABR10" s="583"/>
      <c r="ABS10" s="583"/>
      <c r="ABT10" s="583"/>
      <c r="ABU10" s="583"/>
      <c r="ABV10" s="583"/>
      <c r="ABW10" s="583"/>
      <c r="ABX10" s="583"/>
      <c r="ABY10" s="583"/>
      <c r="ABZ10" s="583"/>
      <c r="ACA10" s="583"/>
      <c r="ACB10" s="583"/>
      <c r="ACC10" s="583"/>
      <c r="ACD10" s="583"/>
      <c r="ACE10" s="583"/>
      <c r="ACF10" s="583"/>
      <c r="ACG10" s="583"/>
      <c r="ACH10" s="583"/>
      <c r="ACI10" s="583"/>
      <c r="ACJ10" s="583"/>
      <c r="ACK10" s="583"/>
      <c r="ACL10" s="583"/>
      <c r="ACM10" s="583"/>
      <c r="ACN10" s="583"/>
      <c r="ACO10" s="583"/>
      <c r="ACP10" s="583"/>
      <c r="ACQ10" s="583"/>
      <c r="ACR10" s="583"/>
      <c r="ACS10" s="583"/>
      <c r="ACT10" s="583"/>
      <c r="ACU10" s="583"/>
      <c r="ACV10" s="583"/>
      <c r="ACW10" s="583"/>
      <c r="ACX10" s="583"/>
      <c r="ACY10" s="583"/>
      <c r="ACZ10" s="583"/>
      <c r="ADA10" s="583"/>
      <c r="ADB10" s="583"/>
      <c r="ADC10" s="583"/>
      <c r="ADD10" s="583"/>
      <c r="ADE10" s="583"/>
      <c r="ADF10" s="583"/>
      <c r="ADG10" s="583"/>
      <c r="ADH10" s="583"/>
      <c r="ADI10" s="583"/>
      <c r="ADJ10" s="583"/>
      <c r="ADK10" s="583"/>
      <c r="ADL10" s="583"/>
      <c r="ADM10" s="583"/>
      <c r="ADN10" s="583"/>
      <c r="ADO10" s="583"/>
      <c r="ADP10" s="583"/>
      <c r="ADQ10" s="583"/>
      <c r="ADR10" s="583"/>
      <c r="ADS10" s="583"/>
      <c r="ADT10" s="583"/>
      <c r="ADU10" s="583"/>
      <c r="ADV10" s="583"/>
      <c r="ADW10" s="583"/>
      <c r="ADX10" s="583"/>
      <c r="ADY10" s="583"/>
      <c r="ADZ10" s="583"/>
      <c r="AEA10" s="583"/>
      <c r="AEB10" s="583"/>
      <c r="AEC10" s="583"/>
      <c r="AED10" s="583"/>
      <c r="AEE10" s="583"/>
      <c r="AEF10" s="583"/>
      <c r="AEG10" s="583"/>
      <c r="AEH10" s="583"/>
      <c r="AEI10" s="583"/>
      <c r="AEJ10" s="583"/>
      <c r="AEK10" s="583"/>
      <c r="AEL10" s="583"/>
      <c r="AEM10" s="583"/>
      <c r="AEN10" s="583"/>
      <c r="AEO10" s="583"/>
      <c r="AEP10" s="583"/>
      <c r="AEQ10" s="583"/>
      <c r="AER10" s="583"/>
      <c r="AES10" s="583"/>
      <c r="AET10" s="583"/>
      <c r="AEU10" s="583"/>
      <c r="AEV10" s="583"/>
      <c r="AEW10" s="583"/>
      <c r="AEX10" s="583"/>
      <c r="AEY10" s="583"/>
      <c r="AEZ10" s="583"/>
      <c r="AFA10" s="583"/>
      <c r="AFB10" s="583"/>
      <c r="AFC10" s="583"/>
      <c r="AFD10" s="583"/>
      <c r="AFE10" s="583"/>
      <c r="AFF10" s="583"/>
      <c r="AFG10" s="583"/>
      <c r="AFH10" s="583"/>
      <c r="AFI10" s="583"/>
      <c r="AFJ10" s="583"/>
      <c r="AFK10" s="583"/>
      <c r="AFL10" s="583"/>
      <c r="AFM10" s="583"/>
      <c r="AFN10" s="583"/>
      <c r="AFO10" s="583"/>
      <c r="AFP10" s="583"/>
      <c r="AFQ10" s="583"/>
      <c r="AFR10" s="583"/>
      <c r="AFS10" s="583"/>
      <c r="AFT10" s="583"/>
      <c r="AFU10" s="583"/>
      <c r="AFV10" s="583"/>
      <c r="AFW10" s="583"/>
      <c r="AFX10" s="583"/>
      <c r="AFY10" s="583"/>
      <c r="AFZ10" s="583"/>
      <c r="AGA10" s="583"/>
      <c r="AGB10" s="583"/>
      <c r="AGC10" s="583"/>
      <c r="AGD10" s="583"/>
      <c r="AGE10" s="583"/>
      <c r="AGF10" s="583"/>
      <c r="AGG10" s="583"/>
      <c r="AGH10" s="583"/>
      <c r="AGI10" s="583"/>
      <c r="AGJ10" s="583"/>
      <c r="AGK10" s="583"/>
      <c r="AGL10" s="583"/>
      <c r="AGM10" s="583"/>
      <c r="AGN10" s="583"/>
      <c r="AGO10" s="583"/>
      <c r="AGP10" s="583"/>
      <c r="AGQ10" s="583"/>
      <c r="AGR10" s="583"/>
      <c r="AGS10" s="583"/>
      <c r="AGT10" s="583"/>
      <c r="AGU10" s="583"/>
      <c r="AGV10" s="583"/>
      <c r="AGW10" s="583"/>
      <c r="AGX10" s="583"/>
      <c r="AGY10" s="583"/>
      <c r="AGZ10" s="583"/>
      <c r="AHA10" s="583"/>
      <c r="AHB10" s="583"/>
      <c r="AHC10" s="583"/>
      <c r="AHD10" s="583"/>
      <c r="AHE10" s="583"/>
      <c r="AHF10" s="583"/>
      <c r="AHG10" s="583"/>
      <c r="AHH10" s="583"/>
      <c r="AHI10" s="583"/>
      <c r="AHJ10" s="583"/>
      <c r="AHK10" s="583"/>
      <c r="AHL10" s="583"/>
      <c r="AHM10" s="583"/>
      <c r="AHN10" s="583"/>
      <c r="AHO10" s="583"/>
      <c r="AHP10" s="583"/>
      <c r="AHQ10" s="583"/>
      <c r="AHR10" s="583"/>
      <c r="AHS10" s="583"/>
      <c r="AHT10" s="583"/>
      <c r="AHU10" s="583"/>
      <c r="AHV10" s="583"/>
      <c r="AHW10" s="583"/>
      <c r="AHX10" s="583"/>
      <c r="AHY10" s="583"/>
      <c r="AHZ10" s="583"/>
      <c r="AIA10" s="583"/>
      <c r="AIB10" s="583"/>
      <c r="AIC10" s="583"/>
      <c r="AID10" s="583"/>
      <c r="AIE10" s="583"/>
      <c r="AIF10" s="583"/>
      <c r="AIG10" s="583"/>
      <c r="AIH10" s="583"/>
      <c r="AII10" s="583"/>
      <c r="AIJ10" s="583"/>
      <c r="AIK10" s="583"/>
      <c r="AIL10" s="583"/>
      <c r="AIM10" s="583"/>
      <c r="AIN10" s="583"/>
      <c r="AIO10" s="583"/>
      <c r="AIP10" s="583"/>
      <c r="AIQ10" s="583"/>
      <c r="AIR10" s="583"/>
      <c r="AIS10" s="583"/>
      <c r="AIT10" s="583"/>
      <c r="AIU10" s="583"/>
      <c r="AIV10" s="583"/>
      <c r="AIW10" s="583"/>
      <c r="AIX10" s="583"/>
      <c r="AIY10" s="583"/>
      <c r="AIZ10" s="583"/>
      <c r="AJA10" s="583"/>
      <c r="AJB10" s="583"/>
      <c r="AJC10" s="583"/>
      <c r="AJD10" s="583"/>
      <c r="AJE10" s="583"/>
      <c r="AJF10" s="583"/>
      <c r="AJG10" s="583"/>
      <c r="AJH10" s="583"/>
      <c r="AJI10" s="583"/>
      <c r="AJJ10" s="583"/>
      <c r="AJK10" s="583"/>
      <c r="AJL10" s="583"/>
      <c r="AJM10" s="583"/>
      <c r="AJN10" s="583"/>
      <c r="AJO10" s="583"/>
      <c r="AJP10" s="583"/>
      <c r="AJQ10" s="583"/>
      <c r="AJR10" s="583"/>
      <c r="AJS10" s="583"/>
      <c r="AJT10" s="583"/>
      <c r="AJU10" s="583"/>
      <c r="AJV10" s="583"/>
      <c r="AJW10" s="583"/>
      <c r="AJX10" s="583"/>
      <c r="AJY10" s="583"/>
      <c r="AJZ10" s="583"/>
      <c r="AKA10" s="583"/>
      <c r="AKB10" s="583"/>
      <c r="AKC10" s="583"/>
      <c r="AKD10" s="583"/>
      <c r="AKE10" s="583"/>
      <c r="AKF10" s="583"/>
      <c r="AKG10" s="583"/>
      <c r="AKH10" s="583"/>
      <c r="AKI10" s="583"/>
      <c r="AKJ10" s="583"/>
      <c r="AKK10" s="583"/>
      <c r="AKL10" s="583"/>
      <c r="AKM10" s="583"/>
      <c r="AKN10" s="583"/>
      <c r="AKO10" s="583"/>
      <c r="AKP10" s="583"/>
      <c r="AKQ10" s="583"/>
      <c r="AKR10" s="583"/>
      <c r="AKS10" s="583"/>
      <c r="AKT10" s="583"/>
      <c r="AKU10" s="583"/>
      <c r="AKV10" s="583"/>
      <c r="AKW10" s="583"/>
      <c r="AKX10" s="583"/>
      <c r="AKY10" s="583"/>
      <c r="AKZ10" s="583"/>
      <c r="ALA10" s="583"/>
      <c r="ALB10" s="583"/>
      <c r="ALC10" s="583"/>
      <c r="ALD10" s="583"/>
      <c r="ALE10" s="583"/>
      <c r="ALF10" s="583"/>
      <c r="ALG10" s="583"/>
      <c r="ALH10" s="583"/>
      <c r="ALI10" s="583"/>
      <c r="ALJ10" s="583"/>
      <c r="ALK10" s="583"/>
      <c r="ALL10" s="583"/>
      <c r="ALM10" s="583"/>
      <c r="ALN10" s="583"/>
      <c r="ALO10" s="583"/>
      <c r="ALP10" s="583"/>
      <c r="ALQ10" s="583"/>
      <c r="ALR10" s="583"/>
      <c r="ALS10" s="583"/>
      <c r="ALT10" s="583"/>
      <c r="ALU10" s="583"/>
      <c r="ALV10" s="583"/>
      <c r="ALW10" s="583"/>
      <c r="ALX10" s="583"/>
      <c r="ALY10" s="583"/>
      <c r="ALZ10" s="583"/>
      <c r="AMA10" s="583"/>
      <c r="AMB10" s="583"/>
      <c r="AMC10" s="583"/>
      <c r="AMD10" s="583"/>
      <c r="AME10" s="583"/>
      <c r="AMF10" s="583"/>
      <c r="AMG10" s="583"/>
      <c r="AMH10" s="583"/>
      <c r="AMI10" s="583"/>
      <c r="AMJ10" s="583"/>
      <c r="AMK10" s="583"/>
      <c r="AML10" s="583"/>
      <c r="AMM10" s="583"/>
      <c r="AMN10" s="583"/>
      <c r="AMO10" s="583"/>
      <c r="AMP10" s="583"/>
      <c r="AMQ10" s="583"/>
      <c r="AMR10" s="583"/>
      <c r="AMS10" s="583"/>
      <c r="AMT10" s="583"/>
      <c r="AMU10" s="583"/>
      <c r="AMV10" s="583"/>
      <c r="AMW10" s="583"/>
      <c r="AMX10" s="583"/>
      <c r="AMY10" s="583"/>
      <c r="AMZ10" s="583"/>
      <c r="ANA10" s="583"/>
      <c r="ANB10" s="583"/>
      <c r="ANC10" s="583"/>
      <c r="AND10" s="583"/>
      <c r="ANE10" s="583"/>
      <c r="ANF10" s="583"/>
      <c r="ANG10" s="583"/>
      <c r="ANH10" s="583"/>
      <c r="ANI10" s="583"/>
      <c r="ANJ10" s="583"/>
      <c r="ANK10" s="583"/>
      <c r="ANL10" s="583"/>
      <c r="ANM10" s="583"/>
      <c r="ANN10" s="583"/>
      <c r="ANO10" s="583"/>
      <c r="ANP10" s="583"/>
      <c r="ANQ10" s="583"/>
      <c r="ANR10" s="583"/>
      <c r="ANS10" s="583"/>
      <c r="ANT10" s="583"/>
      <c r="ANU10" s="583"/>
      <c r="ANV10" s="583"/>
      <c r="ANW10" s="583"/>
      <c r="ANX10" s="583"/>
      <c r="ANY10" s="583"/>
      <c r="ANZ10" s="583"/>
      <c r="AOA10" s="583"/>
      <c r="AOB10" s="583"/>
      <c r="AOC10" s="583"/>
      <c r="AOD10" s="583"/>
      <c r="AOE10" s="583"/>
      <c r="AOF10" s="583"/>
      <c r="AOG10" s="583"/>
      <c r="AOH10" s="583"/>
      <c r="AOI10" s="583"/>
      <c r="AOJ10" s="583"/>
      <c r="AOK10" s="583"/>
      <c r="AOL10" s="583"/>
      <c r="AOM10" s="583"/>
      <c r="AON10" s="583"/>
      <c r="AOO10" s="583"/>
      <c r="AOP10" s="583"/>
      <c r="AOQ10" s="583"/>
      <c r="AOR10" s="583"/>
      <c r="AOS10" s="583"/>
      <c r="AOT10" s="583"/>
      <c r="AOU10" s="583"/>
      <c r="AOV10" s="583"/>
      <c r="AOW10" s="583"/>
      <c r="AOX10" s="583"/>
      <c r="AOY10" s="583"/>
      <c r="AOZ10" s="583"/>
      <c r="APA10" s="583"/>
      <c r="APB10" s="583"/>
      <c r="APC10" s="583"/>
      <c r="APD10" s="583"/>
      <c r="APE10" s="583"/>
      <c r="APF10" s="583"/>
      <c r="APG10" s="583"/>
      <c r="APH10" s="583"/>
      <c r="API10" s="583"/>
      <c r="APJ10" s="583"/>
      <c r="APK10" s="583"/>
      <c r="APL10" s="583"/>
      <c r="APM10" s="583"/>
      <c r="APN10" s="583"/>
      <c r="APO10" s="583"/>
      <c r="APP10" s="583"/>
      <c r="APQ10" s="583"/>
      <c r="APR10" s="583"/>
      <c r="APS10" s="583"/>
      <c r="APT10" s="583"/>
      <c r="APU10" s="583"/>
      <c r="APV10" s="583"/>
      <c r="APW10" s="583"/>
      <c r="APX10" s="583"/>
      <c r="APY10" s="583"/>
      <c r="APZ10" s="583"/>
      <c r="AQA10" s="583"/>
      <c r="AQB10" s="583"/>
      <c r="AQC10" s="583"/>
      <c r="AQD10" s="583"/>
      <c r="AQE10" s="583"/>
      <c r="AQF10" s="583"/>
      <c r="AQG10" s="583"/>
      <c r="AQH10" s="583"/>
      <c r="AQI10" s="583"/>
      <c r="AQJ10" s="583"/>
      <c r="AQK10" s="583"/>
      <c r="AQL10" s="583"/>
      <c r="AQM10" s="583"/>
      <c r="AQN10" s="583"/>
      <c r="AQO10" s="583"/>
      <c r="AQP10" s="583"/>
      <c r="AQQ10" s="583"/>
      <c r="AQR10" s="583"/>
      <c r="AQS10" s="583"/>
      <c r="AQT10" s="583"/>
      <c r="AQU10" s="583"/>
      <c r="AQV10" s="583"/>
      <c r="AQW10" s="583"/>
      <c r="AQX10" s="583"/>
      <c r="AQY10" s="583"/>
      <c r="AQZ10" s="583"/>
      <c r="ARA10" s="583"/>
      <c r="ARB10" s="583"/>
      <c r="ARC10" s="583"/>
      <c r="ARD10" s="583"/>
      <c r="ARE10" s="583"/>
      <c r="ARF10" s="583"/>
      <c r="ARG10" s="583"/>
      <c r="ARH10" s="583"/>
      <c r="ARI10" s="583"/>
      <c r="ARJ10" s="583"/>
      <c r="ARK10" s="583"/>
      <c r="ARL10" s="583"/>
      <c r="ARM10" s="583"/>
      <c r="ARN10" s="583"/>
      <c r="ARO10" s="583"/>
      <c r="ARP10" s="583"/>
      <c r="ARQ10" s="583"/>
      <c r="ARR10" s="583"/>
      <c r="ARS10" s="583"/>
      <c r="ART10" s="583"/>
      <c r="ARU10" s="583"/>
      <c r="ARV10" s="583"/>
      <c r="ARW10" s="583"/>
      <c r="ARX10" s="583"/>
      <c r="ARY10" s="583"/>
      <c r="ARZ10" s="583"/>
      <c r="ASA10" s="583"/>
      <c r="ASB10" s="583"/>
      <c r="ASC10" s="583"/>
      <c r="ASD10" s="583"/>
      <c r="ASE10" s="583"/>
      <c r="ASF10" s="583"/>
      <c r="ASG10" s="583"/>
      <c r="ASH10" s="583"/>
      <c r="ASI10" s="583"/>
      <c r="ASJ10" s="583"/>
      <c r="ASK10" s="583"/>
      <c r="ASL10" s="583"/>
      <c r="ASM10" s="583"/>
      <c r="ASN10" s="583"/>
      <c r="ASO10" s="583"/>
      <c r="ASP10" s="583"/>
      <c r="ASQ10" s="583"/>
      <c r="ASR10" s="583"/>
      <c r="ASS10" s="583"/>
      <c r="AST10" s="583"/>
      <c r="ASU10" s="583"/>
      <c r="ASV10" s="583"/>
      <c r="ASW10" s="583"/>
      <c r="ASX10" s="583"/>
      <c r="ASY10" s="583"/>
      <c r="ASZ10" s="583"/>
      <c r="ATA10" s="583"/>
      <c r="ATB10" s="583"/>
      <c r="ATC10" s="583"/>
      <c r="ATD10" s="583"/>
      <c r="ATE10" s="583"/>
      <c r="ATF10" s="583"/>
      <c r="ATG10" s="583"/>
      <c r="ATH10" s="583"/>
      <c r="ATI10" s="583"/>
      <c r="ATJ10" s="583"/>
      <c r="ATK10" s="583"/>
      <c r="ATL10" s="583"/>
      <c r="ATM10" s="583"/>
      <c r="ATN10" s="583"/>
      <c r="ATO10" s="583"/>
      <c r="ATP10" s="583"/>
      <c r="ATQ10" s="583"/>
      <c r="ATR10" s="583"/>
      <c r="ATS10" s="583"/>
      <c r="ATT10" s="583"/>
      <c r="ATU10" s="583"/>
      <c r="ATV10" s="583"/>
      <c r="ATW10" s="583"/>
      <c r="ATX10" s="583"/>
      <c r="ATY10" s="583"/>
      <c r="ATZ10" s="583"/>
      <c r="AUA10" s="583"/>
      <c r="AUB10" s="583"/>
      <c r="AUC10" s="583"/>
      <c r="AUD10" s="583"/>
      <c r="AUE10" s="583"/>
      <c r="AUF10" s="583"/>
      <c r="AUG10" s="583"/>
      <c r="AUH10" s="583"/>
      <c r="AUI10" s="583"/>
      <c r="AUJ10" s="583"/>
      <c r="AUK10" s="583"/>
      <c r="AUL10" s="583"/>
      <c r="AUM10" s="583"/>
      <c r="AUN10" s="583"/>
      <c r="AUO10" s="583"/>
      <c r="AUP10" s="583"/>
      <c r="AUQ10" s="583"/>
      <c r="AUR10" s="583"/>
      <c r="AUS10" s="583"/>
      <c r="AUT10" s="583"/>
      <c r="AUU10" s="583"/>
      <c r="AUV10" s="583"/>
      <c r="AUW10" s="583"/>
      <c r="AUX10" s="583"/>
      <c r="AUY10" s="583"/>
      <c r="AUZ10" s="583"/>
      <c r="AVA10" s="583"/>
      <c r="AVB10" s="583"/>
      <c r="AVC10" s="583"/>
      <c r="AVD10" s="583"/>
      <c r="AVE10" s="583"/>
      <c r="AVF10" s="583"/>
      <c r="AVG10" s="583"/>
      <c r="AVH10" s="583"/>
      <c r="AVI10" s="583"/>
      <c r="AVJ10" s="583"/>
      <c r="AVK10" s="583"/>
      <c r="AVL10" s="583"/>
      <c r="AVM10" s="583"/>
      <c r="AVN10" s="583"/>
      <c r="AVO10" s="583"/>
      <c r="AVP10" s="583"/>
      <c r="AVQ10" s="583"/>
      <c r="AVR10" s="583"/>
      <c r="AVS10" s="583"/>
      <c r="AVT10" s="583"/>
      <c r="AVU10" s="583"/>
      <c r="AVV10" s="583"/>
      <c r="AVW10" s="583"/>
      <c r="AVX10" s="583"/>
      <c r="AVY10" s="583"/>
      <c r="AVZ10" s="583"/>
      <c r="AWA10" s="583"/>
      <c r="AWB10" s="583"/>
      <c r="AWC10" s="583"/>
      <c r="AWD10" s="583"/>
      <c r="AWE10" s="583"/>
      <c r="AWF10" s="583"/>
      <c r="AWG10" s="583"/>
      <c r="AWH10" s="583"/>
      <c r="AWI10" s="583"/>
      <c r="AWJ10" s="583"/>
      <c r="AWK10" s="583"/>
      <c r="AWL10" s="583"/>
      <c r="AWM10" s="583"/>
      <c r="AWN10" s="583"/>
      <c r="AWO10" s="583"/>
      <c r="AWP10" s="583"/>
      <c r="AWQ10" s="583"/>
      <c r="AWR10" s="583"/>
      <c r="AWS10" s="583"/>
      <c r="AWT10" s="583"/>
      <c r="AWU10" s="583"/>
      <c r="AWV10" s="583"/>
      <c r="AWW10" s="583"/>
      <c r="AWX10" s="583"/>
      <c r="AWY10" s="583"/>
      <c r="AWZ10" s="583"/>
      <c r="AXA10" s="583"/>
      <c r="AXB10" s="583"/>
      <c r="AXC10" s="583"/>
      <c r="AXD10" s="583"/>
      <c r="AXE10" s="583"/>
      <c r="AXF10" s="583"/>
      <c r="AXG10" s="583"/>
      <c r="AXH10" s="583"/>
      <c r="AXI10" s="583"/>
      <c r="AXJ10" s="583"/>
      <c r="AXK10" s="583"/>
      <c r="AXL10" s="583"/>
      <c r="AXM10" s="583"/>
      <c r="AXN10" s="583"/>
      <c r="AXO10" s="583"/>
      <c r="AXP10" s="583"/>
      <c r="AXQ10" s="583"/>
      <c r="AXR10" s="583"/>
      <c r="AXS10" s="583"/>
      <c r="AXT10" s="583"/>
      <c r="AXU10" s="583"/>
      <c r="AXV10" s="583"/>
      <c r="AXW10" s="583"/>
      <c r="AXX10" s="583"/>
      <c r="AXY10" s="583"/>
      <c r="AXZ10" s="583"/>
      <c r="AYA10" s="583"/>
      <c r="AYB10" s="583"/>
      <c r="AYC10" s="583"/>
      <c r="AYD10" s="583"/>
      <c r="AYE10" s="583"/>
      <c r="AYF10" s="583"/>
      <c r="AYG10" s="583"/>
      <c r="AYH10" s="583"/>
      <c r="AYI10" s="583"/>
      <c r="AYJ10" s="583"/>
      <c r="AYK10" s="583"/>
      <c r="AYL10" s="583"/>
      <c r="AYM10" s="583"/>
      <c r="AYN10" s="583"/>
      <c r="AYO10" s="583"/>
      <c r="AYP10" s="583"/>
      <c r="AYQ10" s="583"/>
      <c r="AYR10" s="583"/>
      <c r="AYS10" s="583"/>
      <c r="AYT10" s="583"/>
      <c r="AYU10" s="583"/>
      <c r="AYV10" s="583"/>
      <c r="AYW10" s="583"/>
      <c r="AYX10" s="583"/>
      <c r="AYY10" s="583"/>
      <c r="AYZ10" s="583"/>
      <c r="AZA10" s="583"/>
      <c r="AZB10" s="583"/>
      <c r="AZC10" s="583"/>
      <c r="AZD10" s="583"/>
      <c r="AZE10" s="583"/>
      <c r="AZF10" s="583"/>
      <c r="AZG10" s="583"/>
      <c r="AZH10" s="583"/>
      <c r="AZI10" s="583"/>
      <c r="AZJ10" s="583"/>
      <c r="AZK10" s="583"/>
      <c r="AZL10" s="583"/>
      <c r="AZM10" s="583"/>
      <c r="AZN10" s="583"/>
      <c r="AZO10" s="583"/>
      <c r="AZP10" s="583"/>
      <c r="AZQ10" s="583"/>
      <c r="AZR10" s="583"/>
      <c r="AZS10" s="583"/>
      <c r="AZT10" s="583"/>
      <c r="AZU10" s="583"/>
      <c r="AZV10" s="583"/>
      <c r="AZW10" s="583"/>
      <c r="AZX10" s="583"/>
      <c r="AZY10" s="583"/>
      <c r="AZZ10" s="583"/>
      <c r="BAA10" s="583"/>
      <c r="BAB10" s="583"/>
      <c r="BAC10" s="583"/>
      <c r="BAD10" s="583"/>
      <c r="BAE10" s="583"/>
      <c r="BAF10" s="583"/>
      <c r="BAG10" s="583"/>
      <c r="BAH10" s="583"/>
      <c r="BAI10" s="583"/>
      <c r="BAJ10" s="583"/>
      <c r="BAK10" s="583"/>
      <c r="BAL10" s="583"/>
      <c r="BAM10" s="583"/>
      <c r="BAN10" s="583"/>
      <c r="BAO10" s="583"/>
      <c r="BAP10" s="583"/>
      <c r="BAQ10" s="583"/>
      <c r="BAR10" s="583"/>
      <c r="BAS10" s="583"/>
      <c r="BAT10" s="583"/>
      <c r="BAU10" s="583"/>
      <c r="BAV10" s="583"/>
      <c r="BAW10" s="583"/>
      <c r="BAX10" s="583"/>
      <c r="BAY10" s="583"/>
      <c r="BAZ10" s="583"/>
      <c r="BBA10" s="583"/>
      <c r="BBB10" s="583"/>
      <c r="BBC10" s="583"/>
      <c r="BBD10" s="583"/>
      <c r="BBE10" s="583"/>
      <c r="BBF10" s="583"/>
      <c r="BBG10" s="583"/>
      <c r="BBH10" s="583"/>
      <c r="BBI10" s="583"/>
      <c r="BBJ10" s="583"/>
      <c r="BBK10" s="583"/>
      <c r="BBL10" s="583"/>
      <c r="BBM10" s="583"/>
      <c r="BBN10" s="583"/>
      <c r="BBO10" s="583"/>
      <c r="BBP10" s="583"/>
      <c r="BBQ10" s="583"/>
      <c r="BBR10" s="583"/>
      <c r="BBS10" s="583"/>
      <c r="BBT10" s="583"/>
      <c r="BBU10" s="583"/>
      <c r="BBV10" s="583"/>
      <c r="BBW10" s="583"/>
      <c r="BBX10" s="583"/>
      <c r="BBY10" s="583"/>
      <c r="BBZ10" s="583"/>
      <c r="BCA10" s="583"/>
      <c r="BCB10" s="583"/>
      <c r="BCC10" s="583"/>
      <c r="BCD10" s="583"/>
      <c r="BCE10" s="583"/>
      <c r="BCF10" s="583"/>
      <c r="BCG10" s="583"/>
      <c r="BCH10" s="583"/>
      <c r="BCI10" s="583"/>
      <c r="BCJ10" s="583"/>
      <c r="BCK10" s="583"/>
      <c r="BCL10" s="583"/>
      <c r="BCM10" s="583"/>
      <c r="BCN10" s="583"/>
      <c r="BCO10" s="583"/>
      <c r="BCP10" s="583"/>
      <c r="BCQ10" s="583"/>
      <c r="BCR10" s="583"/>
      <c r="BCS10" s="583"/>
      <c r="BCT10" s="583"/>
      <c r="BCU10" s="583"/>
      <c r="BCV10" s="583"/>
      <c r="BCW10" s="583"/>
      <c r="BCX10" s="583"/>
      <c r="BCY10" s="583"/>
      <c r="BCZ10" s="583"/>
      <c r="BDA10" s="583"/>
      <c r="BDB10" s="583"/>
      <c r="BDC10" s="583"/>
      <c r="BDD10" s="583"/>
      <c r="BDE10" s="583"/>
      <c r="BDF10" s="583"/>
      <c r="BDG10" s="583"/>
      <c r="BDH10" s="583"/>
      <c r="BDI10" s="583"/>
      <c r="BDJ10" s="583"/>
      <c r="BDK10" s="583"/>
      <c r="BDL10" s="583"/>
      <c r="BDM10" s="583"/>
      <c r="BDN10" s="583"/>
      <c r="BDO10" s="583"/>
      <c r="BDP10" s="583"/>
      <c r="BDQ10" s="583"/>
      <c r="BDR10" s="583"/>
      <c r="BDS10" s="583"/>
      <c r="BDT10" s="583"/>
      <c r="BDU10" s="583"/>
      <c r="BDV10" s="583"/>
      <c r="BDW10" s="583"/>
      <c r="BDX10" s="583"/>
      <c r="BDY10" s="583"/>
      <c r="BDZ10" s="583"/>
      <c r="BEA10" s="583"/>
      <c r="BEB10" s="583"/>
      <c r="BEC10" s="583"/>
      <c r="BED10" s="583"/>
      <c r="BEE10" s="583"/>
      <c r="BEF10" s="583"/>
      <c r="BEG10" s="583"/>
      <c r="BEH10" s="583"/>
      <c r="BEI10" s="583"/>
      <c r="BEJ10" s="583"/>
      <c r="BEK10" s="583"/>
      <c r="BEL10" s="583"/>
      <c r="BEM10" s="583"/>
      <c r="BEN10" s="583"/>
      <c r="BEO10" s="583"/>
      <c r="BEP10" s="583"/>
      <c r="BEQ10" s="583"/>
      <c r="BER10" s="583"/>
      <c r="BES10" s="583"/>
      <c r="BET10" s="583"/>
      <c r="BEU10" s="583"/>
      <c r="BEV10" s="583"/>
      <c r="BEW10" s="583"/>
      <c r="BEX10" s="583"/>
      <c r="BEY10" s="583"/>
      <c r="BEZ10" s="583"/>
      <c r="BFA10" s="583"/>
      <c r="BFB10" s="583"/>
      <c r="BFC10" s="583"/>
      <c r="BFD10" s="583"/>
      <c r="BFE10" s="583"/>
      <c r="BFF10" s="583"/>
      <c r="BFG10" s="583"/>
      <c r="BFH10" s="583"/>
      <c r="BFI10" s="583"/>
      <c r="BFJ10" s="583"/>
      <c r="BFK10" s="583"/>
      <c r="BFL10" s="583"/>
      <c r="BFM10" s="583"/>
      <c r="BFN10" s="583"/>
      <c r="BFO10" s="583"/>
      <c r="BFP10" s="583"/>
      <c r="BFQ10" s="583"/>
      <c r="BFR10" s="583"/>
      <c r="BFS10" s="583"/>
      <c r="BFT10" s="583"/>
      <c r="BFU10" s="583"/>
      <c r="BFV10" s="583"/>
      <c r="BFW10" s="583"/>
      <c r="BFX10" s="583"/>
      <c r="BFY10" s="583"/>
      <c r="BFZ10" s="583"/>
      <c r="BGA10" s="583"/>
      <c r="BGB10" s="583"/>
      <c r="BGC10" s="583"/>
      <c r="BGD10" s="583"/>
      <c r="BGE10" s="583"/>
      <c r="BGF10" s="583"/>
      <c r="BGG10" s="583"/>
      <c r="BGH10" s="583"/>
      <c r="BGI10" s="583"/>
      <c r="BGJ10" s="583"/>
      <c r="BGK10" s="583"/>
      <c r="BGL10" s="583"/>
      <c r="BGM10" s="583"/>
      <c r="BGN10" s="583"/>
      <c r="BGO10" s="583"/>
      <c r="BGP10" s="583"/>
      <c r="BGQ10" s="583"/>
      <c r="BGR10" s="583"/>
      <c r="BGS10" s="583"/>
      <c r="BGT10" s="583"/>
      <c r="BGU10" s="583"/>
      <c r="BGV10" s="583"/>
      <c r="BGW10" s="583"/>
      <c r="BGX10" s="583"/>
      <c r="BGY10" s="583"/>
      <c r="BGZ10" s="583"/>
      <c r="BHA10" s="583"/>
      <c r="BHB10" s="583"/>
      <c r="BHC10" s="583"/>
      <c r="BHD10" s="583"/>
      <c r="BHE10" s="583"/>
      <c r="BHF10" s="583"/>
      <c r="BHG10" s="583"/>
      <c r="BHH10" s="583"/>
      <c r="BHI10" s="583"/>
      <c r="BHJ10" s="583"/>
      <c r="BHK10" s="583"/>
      <c r="BHL10" s="583"/>
      <c r="BHM10" s="583"/>
      <c r="BHN10" s="583"/>
      <c r="BHO10" s="583"/>
      <c r="BHP10" s="583"/>
      <c r="BHQ10" s="583"/>
      <c r="BHR10" s="583"/>
      <c r="BHS10" s="583"/>
      <c r="BHT10" s="583"/>
      <c r="BHU10" s="583"/>
      <c r="BHV10" s="583"/>
      <c r="BHW10" s="583"/>
      <c r="BHX10" s="583"/>
      <c r="BHY10" s="583"/>
      <c r="BHZ10" s="583"/>
      <c r="BIA10" s="583"/>
      <c r="BIB10" s="583"/>
      <c r="BIC10" s="583"/>
      <c r="BID10" s="583"/>
      <c r="BIE10" s="583"/>
      <c r="BIF10" s="583"/>
      <c r="BIG10" s="583"/>
      <c r="BIH10" s="583"/>
      <c r="BII10" s="583"/>
      <c r="BIJ10" s="583"/>
      <c r="BIK10" s="583"/>
      <c r="BIL10" s="583"/>
      <c r="BIM10" s="583"/>
      <c r="BIN10" s="583"/>
      <c r="BIO10" s="583"/>
      <c r="BIP10" s="583"/>
      <c r="BIQ10" s="583"/>
      <c r="BIR10" s="583"/>
      <c r="BIS10" s="583"/>
      <c r="BIT10" s="583"/>
      <c r="BIU10" s="583"/>
      <c r="BIV10" s="583"/>
      <c r="BIW10" s="583"/>
      <c r="BIX10" s="583"/>
      <c r="BIY10" s="583"/>
      <c r="BIZ10" s="583"/>
      <c r="BJA10" s="583"/>
      <c r="BJB10" s="583"/>
      <c r="BJC10" s="583"/>
      <c r="BJD10" s="583"/>
      <c r="BJE10" s="583"/>
      <c r="BJF10" s="583"/>
      <c r="BJG10" s="583"/>
      <c r="BJH10" s="583"/>
      <c r="BJI10" s="583"/>
      <c r="BJJ10" s="583"/>
      <c r="BJK10" s="583"/>
      <c r="BJL10" s="583"/>
      <c r="BJM10" s="583"/>
      <c r="BJN10" s="583"/>
      <c r="BJO10" s="583"/>
      <c r="BJP10" s="583"/>
      <c r="BJQ10" s="583"/>
      <c r="BJR10" s="583"/>
      <c r="BJS10" s="583"/>
      <c r="BJT10" s="583"/>
      <c r="BJU10" s="583"/>
      <c r="BJV10" s="583"/>
      <c r="BJW10" s="583"/>
      <c r="BJX10" s="583"/>
      <c r="BJY10" s="583"/>
      <c r="BJZ10" s="583"/>
      <c r="BKA10" s="583"/>
      <c r="BKB10" s="583"/>
      <c r="BKC10" s="583"/>
      <c r="BKD10" s="583"/>
      <c r="BKE10" s="583"/>
      <c r="BKF10" s="583"/>
      <c r="BKG10" s="583"/>
      <c r="BKH10" s="583"/>
      <c r="BKI10" s="583"/>
      <c r="BKJ10" s="583"/>
      <c r="BKK10" s="583"/>
      <c r="BKL10" s="583"/>
      <c r="BKM10" s="583"/>
      <c r="BKN10" s="583"/>
      <c r="BKO10" s="583"/>
      <c r="BKP10" s="583"/>
      <c r="BKQ10" s="583"/>
      <c r="BKR10" s="583"/>
      <c r="BKS10" s="583"/>
      <c r="BKT10" s="583"/>
      <c r="BKU10" s="583"/>
      <c r="BKV10" s="583"/>
      <c r="BKW10" s="583"/>
      <c r="BKX10" s="583"/>
      <c r="BKY10" s="583"/>
      <c r="BKZ10" s="583"/>
      <c r="BLA10" s="583"/>
      <c r="BLB10" s="583"/>
      <c r="BLC10" s="583"/>
      <c r="BLD10" s="583"/>
      <c r="BLE10" s="583"/>
      <c r="BLF10" s="583"/>
      <c r="BLG10" s="583"/>
      <c r="BLH10" s="583"/>
      <c r="BLI10" s="583"/>
      <c r="BLJ10" s="583"/>
      <c r="BLK10" s="583"/>
      <c r="BLL10" s="583"/>
      <c r="BLM10" s="583"/>
      <c r="BLN10" s="583"/>
      <c r="BLO10" s="583"/>
      <c r="BLP10" s="583"/>
      <c r="BLQ10" s="583"/>
      <c r="BLR10" s="583"/>
      <c r="BLS10" s="583"/>
      <c r="BLT10" s="583"/>
      <c r="BLU10" s="583"/>
      <c r="BLV10" s="583"/>
      <c r="BLW10" s="583"/>
      <c r="BLX10" s="583"/>
      <c r="BLY10" s="583"/>
      <c r="BLZ10" s="583"/>
      <c r="BMA10" s="583"/>
      <c r="BMB10" s="583"/>
      <c r="BMC10" s="583"/>
      <c r="BMD10" s="583"/>
      <c r="BME10" s="583"/>
      <c r="BMF10" s="583"/>
      <c r="BMG10" s="583"/>
      <c r="BMH10" s="583"/>
      <c r="BMI10" s="583"/>
      <c r="BMJ10" s="583"/>
      <c r="BMK10" s="583"/>
      <c r="BML10" s="583"/>
      <c r="BMM10" s="583"/>
      <c r="BMN10" s="583"/>
      <c r="BMO10" s="583"/>
      <c r="BMP10" s="583"/>
      <c r="BMQ10" s="583"/>
      <c r="BMR10" s="583"/>
      <c r="BMS10" s="583"/>
      <c r="BMT10" s="583"/>
      <c r="BMU10" s="583"/>
      <c r="BMV10" s="583"/>
      <c r="BMW10" s="583"/>
      <c r="BMX10" s="583"/>
      <c r="BMY10" s="583"/>
      <c r="BMZ10" s="583"/>
      <c r="BNA10" s="583"/>
      <c r="BNB10" s="583"/>
      <c r="BNC10" s="583"/>
      <c r="BND10" s="583"/>
      <c r="BNE10" s="583"/>
      <c r="BNF10" s="583"/>
      <c r="BNG10" s="583"/>
      <c r="BNH10" s="583"/>
      <c r="BNI10" s="583"/>
      <c r="BNJ10" s="583"/>
      <c r="BNK10" s="583"/>
      <c r="BNL10" s="583"/>
      <c r="BNM10" s="583"/>
      <c r="BNN10" s="583"/>
      <c r="BNO10" s="583"/>
      <c r="BNP10" s="583"/>
      <c r="BNQ10" s="583"/>
      <c r="BNR10" s="583"/>
      <c r="BNS10" s="583"/>
      <c r="BNT10" s="583"/>
      <c r="BNU10" s="583"/>
      <c r="BNV10" s="583"/>
      <c r="BNW10" s="583"/>
      <c r="BNX10" s="583"/>
      <c r="BNY10" s="583"/>
      <c r="BNZ10" s="583"/>
      <c r="BOA10" s="583"/>
      <c r="BOB10" s="583"/>
      <c r="BOC10" s="583"/>
      <c r="BOD10" s="583"/>
      <c r="BOE10" s="583"/>
      <c r="BOF10" s="583"/>
      <c r="BOG10" s="583"/>
      <c r="BOH10" s="583"/>
      <c r="BOI10" s="583"/>
      <c r="BOJ10" s="583"/>
      <c r="BOK10" s="583"/>
      <c r="BOL10" s="583"/>
      <c r="BOM10" s="583"/>
      <c r="BON10" s="583"/>
      <c r="BOO10" s="583"/>
      <c r="BOP10" s="583"/>
      <c r="BOQ10" s="583"/>
      <c r="BOR10" s="583"/>
      <c r="BOS10" s="583"/>
      <c r="BOT10" s="583"/>
      <c r="BOU10" s="583"/>
      <c r="BOV10" s="583"/>
      <c r="BOW10" s="583"/>
      <c r="BOX10" s="583"/>
      <c r="BOY10" s="583"/>
      <c r="BOZ10" s="583"/>
      <c r="BPA10" s="583"/>
      <c r="BPB10" s="583"/>
      <c r="BPC10" s="583"/>
      <c r="BPD10" s="583"/>
      <c r="BPE10" s="583"/>
      <c r="BPF10" s="583"/>
      <c r="BPG10" s="583"/>
      <c r="BPH10" s="583"/>
      <c r="BPI10" s="583"/>
      <c r="BPJ10" s="583"/>
      <c r="BPK10" s="583"/>
      <c r="BPL10" s="583"/>
      <c r="BPM10" s="583"/>
      <c r="BPN10" s="583"/>
      <c r="BPO10" s="583"/>
      <c r="BPP10" s="583"/>
      <c r="BPQ10" s="583"/>
      <c r="BPR10" s="583"/>
      <c r="BPS10" s="583"/>
      <c r="BPT10" s="583"/>
      <c r="BPU10" s="583"/>
      <c r="BPV10" s="583"/>
      <c r="BPW10" s="583"/>
      <c r="BPX10" s="583"/>
      <c r="BPY10" s="583"/>
      <c r="BPZ10" s="583"/>
      <c r="BQA10" s="583"/>
      <c r="BQB10" s="583"/>
      <c r="BQC10" s="583"/>
      <c r="BQD10" s="583"/>
      <c r="BQE10" s="583"/>
      <c r="BQF10" s="583"/>
      <c r="BQG10" s="583"/>
      <c r="BQH10" s="583"/>
      <c r="BQI10" s="583"/>
      <c r="BQJ10" s="583"/>
      <c r="BQK10" s="583"/>
      <c r="BQL10" s="583"/>
      <c r="BQM10" s="583"/>
      <c r="BQN10" s="583"/>
      <c r="BQO10" s="583"/>
      <c r="BQP10" s="583"/>
      <c r="BQQ10" s="583"/>
      <c r="BQR10" s="583"/>
      <c r="BQS10" s="583"/>
      <c r="BQT10" s="583"/>
      <c r="BQU10" s="583"/>
      <c r="BQV10" s="583"/>
      <c r="BQW10" s="583"/>
      <c r="BQX10" s="583"/>
      <c r="BQY10" s="583"/>
      <c r="BQZ10" s="583"/>
      <c r="BRA10" s="583"/>
      <c r="BRB10" s="583"/>
      <c r="BRC10" s="583"/>
      <c r="BRD10" s="583"/>
      <c r="BRE10" s="583"/>
      <c r="BRF10" s="583"/>
      <c r="BRG10" s="583"/>
      <c r="BRH10" s="583"/>
      <c r="BRI10" s="583"/>
      <c r="BRJ10" s="583"/>
      <c r="BRK10" s="583"/>
      <c r="BRL10" s="583"/>
      <c r="BRM10" s="583"/>
      <c r="BRN10" s="583"/>
      <c r="BRO10" s="583"/>
      <c r="BRP10" s="583"/>
      <c r="BRQ10" s="583"/>
      <c r="BRR10" s="583"/>
      <c r="BRS10" s="583"/>
      <c r="BRT10" s="583"/>
      <c r="BRU10" s="583"/>
      <c r="BRV10" s="583"/>
      <c r="BRW10" s="583"/>
      <c r="BRX10" s="583"/>
      <c r="BRY10" s="583"/>
      <c r="BRZ10" s="583"/>
      <c r="BSA10" s="583"/>
      <c r="BSB10" s="583"/>
      <c r="BSC10" s="583"/>
      <c r="BSD10" s="583"/>
      <c r="BSE10" s="583"/>
      <c r="BSF10" s="583"/>
      <c r="BSG10" s="583"/>
      <c r="BSH10" s="583"/>
      <c r="BSI10" s="583"/>
      <c r="BSJ10" s="583"/>
      <c r="BSK10" s="583"/>
      <c r="BSL10" s="583"/>
      <c r="BSM10" s="583"/>
      <c r="BSN10" s="583"/>
      <c r="BSO10" s="583"/>
      <c r="BSP10" s="583"/>
      <c r="BSQ10" s="583"/>
      <c r="BSR10" s="583"/>
      <c r="BSS10" s="583"/>
      <c r="BST10" s="583"/>
      <c r="BSU10" s="583"/>
      <c r="BSV10" s="583"/>
      <c r="BSW10" s="583"/>
      <c r="BSX10" s="583"/>
      <c r="BSY10" s="583"/>
      <c r="BSZ10" s="583"/>
      <c r="BTA10" s="583"/>
      <c r="BTB10" s="583"/>
      <c r="BTC10" s="583"/>
      <c r="BTD10" s="583"/>
      <c r="BTE10" s="583"/>
      <c r="BTF10" s="583"/>
      <c r="BTG10" s="583"/>
      <c r="BTH10" s="583"/>
      <c r="BTI10" s="583"/>
      <c r="BTJ10" s="583"/>
      <c r="BTK10" s="583"/>
      <c r="BTL10" s="583"/>
      <c r="BTM10" s="583"/>
      <c r="BTN10" s="583"/>
      <c r="BTO10" s="583"/>
      <c r="BTP10" s="583"/>
      <c r="BTQ10" s="583"/>
      <c r="BTR10" s="583"/>
      <c r="BTS10" s="583"/>
      <c r="BTT10" s="583"/>
      <c r="BTU10" s="583"/>
      <c r="BTV10" s="583"/>
      <c r="BTW10" s="583"/>
      <c r="BTX10" s="583"/>
      <c r="BTY10" s="583"/>
      <c r="BTZ10" s="583"/>
      <c r="BUA10" s="583"/>
      <c r="BUB10" s="583"/>
      <c r="BUC10" s="583"/>
      <c r="BUD10" s="583"/>
      <c r="BUE10" s="583"/>
      <c r="BUF10" s="583"/>
      <c r="BUG10" s="583"/>
      <c r="BUH10" s="583"/>
      <c r="BUI10" s="583"/>
      <c r="BUJ10" s="583"/>
      <c r="BUK10" s="583"/>
      <c r="BUL10" s="583"/>
      <c r="BUM10" s="583"/>
      <c r="BUN10" s="583"/>
      <c r="BUO10" s="583"/>
      <c r="BUP10" s="583"/>
      <c r="BUQ10" s="583"/>
      <c r="BUR10" s="583"/>
      <c r="BUS10" s="583"/>
      <c r="BUT10" s="583"/>
      <c r="BUU10" s="583"/>
      <c r="BUV10" s="583"/>
      <c r="BUW10" s="583"/>
      <c r="BUX10" s="583"/>
      <c r="BUY10" s="583"/>
      <c r="BUZ10" s="583"/>
      <c r="BVA10" s="583"/>
      <c r="BVB10" s="583"/>
      <c r="BVC10" s="583"/>
      <c r="BVD10" s="583"/>
      <c r="BVE10" s="583"/>
      <c r="BVF10" s="583"/>
      <c r="BVG10" s="583"/>
      <c r="BVH10" s="583"/>
      <c r="BVI10" s="583"/>
      <c r="BVJ10" s="583"/>
      <c r="BVK10" s="583"/>
      <c r="BVL10" s="583"/>
      <c r="BVM10" s="583"/>
      <c r="BVN10" s="583"/>
      <c r="BVO10" s="583"/>
      <c r="BVP10" s="583"/>
      <c r="BVQ10" s="583"/>
      <c r="BVR10" s="583"/>
      <c r="BVS10" s="583"/>
      <c r="BVT10" s="583"/>
      <c r="BVU10" s="583"/>
      <c r="BVV10" s="583"/>
      <c r="BVW10" s="583"/>
      <c r="BVX10" s="583"/>
      <c r="BVY10" s="583"/>
      <c r="BVZ10" s="583"/>
      <c r="BWA10" s="583"/>
      <c r="BWB10" s="583"/>
      <c r="BWC10" s="583"/>
      <c r="BWD10" s="583"/>
      <c r="BWE10" s="583"/>
      <c r="BWF10" s="583"/>
      <c r="BWG10" s="583"/>
      <c r="BWH10" s="583"/>
      <c r="BWI10" s="583"/>
      <c r="BWJ10" s="583"/>
      <c r="BWK10" s="583"/>
      <c r="BWL10" s="583"/>
      <c r="BWM10" s="583"/>
      <c r="BWN10" s="583"/>
      <c r="BWO10" s="583"/>
      <c r="BWP10" s="583"/>
      <c r="BWQ10" s="583"/>
      <c r="BWR10" s="583"/>
      <c r="BWS10" s="583"/>
      <c r="BWT10" s="583"/>
      <c r="BWU10" s="583"/>
      <c r="BWV10" s="583"/>
      <c r="BWW10" s="583"/>
      <c r="BWX10" s="583"/>
      <c r="BWY10" s="583"/>
      <c r="BWZ10" s="583"/>
      <c r="BXA10" s="583"/>
      <c r="BXB10" s="583"/>
      <c r="BXC10" s="583"/>
      <c r="BXD10" s="583"/>
      <c r="BXE10" s="583"/>
      <c r="BXF10" s="583"/>
      <c r="BXG10" s="583"/>
      <c r="BXH10" s="583"/>
      <c r="BXI10" s="583"/>
      <c r="BXJ10" s="583"/>
      <c r="BXK10" s="583"/>
      <c r="BXL10" s="583"/>
      <c r="BXM10" s="583"/>
      <c r="BXN10" s="583"/>
      <c r="BXO10" s="583"/>
      <c r="BXP10" s="583"/>
      <c r="BXQ10" s="583"/>
      <c r="BXR10" s="583"/>
      <c r="BXS10" s="583"/>
      <c r="BXT10" s="583"/>
      <c r="BXU10" s="583"/>
      <c r="BXV10" s="583"/>
      <c r="BXW10" s="583"/>
      <c r="BXX10" s="583"/>
      <c r="BXY10" s="583"/>
      <c r="BXZ10" s="583"/>
      <c r="BYA10" s="583"/>
      <c r="BYB10" s="583"/>
      <c r="BYC10" s="583"/>
      <c r="BYD10" s="583"/>
      <c r="BYE10" s="583"/>
      <c r="BYF10" s="583"/>
      <c r="BYG10" s="583"/>
      <c r="BYH10" s="583"/>
      <c r="BYI10" s="583"/>
      <c r="BYJ10" s="583"/>
      <c r="BYK10" s="583"/>
      <c r="BYL10" s="583"/>
      <c r="BYM10" s="583"/>
      <c r="BYN10" s="583"/>
      <c r="BYO10" s="583"/>
      <c r="BYP10" s="583"/>
      <c r="BYQ10" s="583"/>
      <c r="BYR10" s="583"/>
      <c r="BYS10" s="583"/>
      <c r="BYT10" s="583"/>
      <c r="BYU10" s="583"/>
      <c r="BYV10" s="583"/>
      <c r="BYW10" s="583"/>
      <c r="BYX10" s="583"/>
      <c r="BYY10" s="583"/>
      <c r="BYZ10" s="583"/>
      <c r="BZA10" s="583"/>
      <c r="BZB10" s="583"/>
      <c r="BZC10" s="583"/>
      <c r="BZD10" s="583"/>
      <c r="BZE10" s="583"/>
      <c r="BZF10" s="583"/>
      <c r="BZG10" s="583"/>
      <c r="BZH10" s="583"/>
      <c r="BZI10" s="583"/>
      <c r="BZJ10" s="583"/>
      <c r="BZK10" s="583"/>
      <c r="BZL10" s="583"/>
      <c r="BZM10" s="583"/>
      <c r="BZN10" s="583"/>
      <c r="BZO10" s="583"/>
      <c r="BZP10" s="583"/>
      <c r="BZQ10" s="583"/>
      <c r="BZR10" s="583"/>
      <c r="BZS10" s="583"/>
      <c r="BZT10" s="583"/>
      <c r="BZU10" s="583"/>
      <c r="BZV10" s="583"/>
      <c r="BZW10" s="583"/>
      <c r="BZX10" s="583"/>
      <c r="BZY10" s="583"/>
      <c r="BZZ10" s="583"/>
      <c r="CAA10" s="583"/>
      <c r="CAB10" s="583"/>
      <c r="CAC10" s="583"/>
      <c r="CAD10" s="583"/>
      <c r="CAE10" s="583"/>
      <c r="CAF10" s="583"/>
      <c r="CAG10" s="583"/>
      <c r="CAH10" s="583"/>
      <c r="CAI10" s="583"/>
      <c r="CAJ10" s="583"/>
      <c r="CAK10" s="583"/>
      <c r="CAL10" s="583"/>
      <c r="CAM10" s="583"/>
      <c r="CAN10" s="583"/>
      <c r="CAO10" s="583"/>
      <c r="CAP10" s="583"/>
      <c r="CAQ10" s="583"/>
      <c r="CAR10" s="583"/>
      <c r="CAS10" s="583"/>
      <c r="CAT10" s="583"/>
      <c r="CAU10" s="583"/>
      <c r="CAV10" s="583"/>
      <c r="CAW10" s="583"/>
      <c r="CAX10" s="583"/>
      <c r="CAY10" s="583"/>
      <c r="CAZ10" s="583"/>
      <c r="CBA10" s="583"/>
      <c r="CBB10" s="583"/>
      <c r="CBC10" s="583"/>
      <c r="CBD10" s="583"/>
      <c r="CBE10" s="583"/>
      <c r="CBF10" s="583"/>
      <c r="CBG10" s="583"/>
      <c r="CBH10" s="583"/>
      <c r="CBI10" s="583"/>
      <c r="CBJ10" s="583"/>
      <c r="CBK10" s="583"/>
      <c r="CBL10" s="583"/>
      <c r="CBM10" s="583"/>
      <c r="CBN10" s="583"/>
      <c r="CBO10" s="583"/>
      <c r="CBP10" s="583"/>
      <c r="CBQ10" s="583"/>
      <c r="CBR10" s="583"/>
      <c r="CBS10" s="583"/>
      <c r="CBT10" s="583"/>
      <c r="CBU10" s="583"/>
      <c r="CBV10" s="583"/>
      <c r="CBW10" s="583"/>
      <c r="CBX10" s="583"/>
      <c r="CBY10" s="583"/>
      <c r="CBZ10" s="583"/>
    </row>
    <row r="11" spans="1:2106">
      <c r="A11" s="611"/>
      <c r="B11" s="617"/>
      <c r="C11" s="613">
        <f t="shared" si="0"/>
        <v>0</v>
      </c>
      <c r="D11" s="613">
        <f>IF(B11&gt;0,VLOOKUP(A11,'Lista Suspensa'!$A$1:$F$92,3,),0)</f>
        <v>0</v>
      </c>
      <c r="E11" s="613">
        <f>IF(OR(B11&gt;0,C11&gt;0),VLOOKUP(A11,'Lista Suspensa'!$A$1:$F$90,4,),0)</f>
        <v>0</v>
      </c>
      <c r="F11" s="613">
        <f>IF(OR(B11&gt;0,C11&gt;0),VLOOKUP(A11,'Lista Suspensa'!$A$1:$F$90,5,),0)</f>
        <v>0</v>
      </c>
      <c r="G11" s="402">
        <f>IF(OR(B11&gt;0,C11&gt;0),VLOOKUP(A11,'Lista Suspensa'!$A$1:$F$90,6,),0)</f>
        <v>0</v>
      </c>
      <c r="H11" s="617"/>
      <c r="I11" s="613">
        <f t="shared" si="12"/>
        <v>0</v>
      </c>
      <c r="J11" s="613">
        <f>IF(H11&gt;0,VLOOKUP(A11,'Lista Suspensa'!$A$1:$F$92,3,),0)</f>
        <v>0</v>
      </c>
      <c r="K11" s="613">
        <f>IF(OR(H11&gt;0,I11&gt;0),VLOOKUP(A11,'Lista Suspensa'!$A$1:$F$90,4,),0)</f>
        <v>0</v>
      </c>
      <c r="L11" s="613">
        <f>IF(OR(H11&gt;0,I11&gt;0),VLOOKUP(A11,'Lista Suspensa'!$A$1:$F$90,5,),0)</f>
        <v>0</v>
      </c>
      <c r="M11" s="402">
        <f>IF(OR(H11&gt;0,I11&gt;0),VLOOKUP(A11,'Lista Suspensa'!$A$1:$F$90,6,),0)</f>
        <v>0</v>
      </c>
      <c r="N11" s="624"/>
      <c r="O11" s="613">
        <f t="shared" si="1"/>
        <v>0</v>
      </c>
      <c r="P11" s="613">
        <f>IF(N11&gt;0,VLOOKUP(A11,'Lista Suspensa'!$A$1:$F$92,3,),0)</f>
        <v>0</v>
      </c>
      <c r="Q11" s="613">
        <f>IF(OR(N11&gt;0,O11&gt;0),VLOOKUP(A11,'Lista Suspensa'!$A$1:$F$90,4,),0)</f>
        <v>0</v>
      </c>
      <c r="R11" s="613">
        <f>IF(OR(N11&gt;0,O11&gt;0),VLOOKUP(A11,'Lista Suspensa'!$A$1:$F$90,5,),0)</f>
        <v>0</v>
      </c>
      <c r="S11" s="402">
        <f>IF(OR(N11&gt;0,O11&gt;0),VLOOKUP(A11,'Lista Suspensa'!$A$1:$F$90,6,),0)</f>
        <v>0</v>
      </c>
      <c r="T11" s="624"/>
      <c r="U11" s="613">
        <f t="shared" si="2"/>
        <v>0</v>
      </c>
      <c r="V11" s="613">
        <f>IF(T11&gt;0,VLOOKUP(A11,'Lista Suspensa'!$A$1:$F$92,3,),0)</f>
        <v>0</v>
      </c>
      <c r="W11" s="613">
        <f>IF(OR(T11&gt;0,U11&gt;0),VLOOKUP(A11,'Lista Suspensa'!$A$1:$F$90,4,),0)</f>
        <v>0</v>
      </c>
      <c r="X11" s="613">
        <f>IF(OR(T11&gt;0,U11&gt;0),VLOOKUP(A11,'Lista Suspensa'!$A$1:$F$90,5,),0)</f>
        <v>0</v>
      </c>
      <c r="Y11" s="402">
        <f>IF(OR(T11&gt;0,U11&gt;0),VLOOKUP(A11,'Lista Suspensa'!$A$1:$F$90,6,),0)</f>
        <v>0</v>
      </c>
      <c r="Z11" s="617"/>
      <c r="AA11" s="613">
        <f t="shared" si="3"/>
        <v>0</v>
      </c>
      <c r="AB11" s="613">
        <f>IF(Z11&gt;0,VLOOKUP(A11,'Lista Suspensa'!$A$1:$F$92,3,),0)</f>
        <v>0</v>
      </c>
      <c r="AC11" s="613">
        <f>IF(OR(Z11&gt;0,AA11&gt;0),VLOOKUP(A11,'Lista Suspensa'!$A$1:$F$90,4,),0)</f>
        <v>0</v>
      </c>
      <c r="AD11" s="613">
        <f>IF(OR(Z11&gt;0,AA11&gt;0),VLOOKUP(A11,'Lista Suspensa'!$A$1:$F$90,5,),0)</f>
        <v>0</v>
      </c>
      <c r="AE11" s="402">
        <f>IF(OR(Z11&gt;0,AA11&gt;0),VLOOKUP(A11,'Lista Suspensa'!$A$1:$F$90,6,),0)</f>
        <v>0</v>
      </c>
      <c r="AF11" s="617"/>
      <c r="AG11" s="613">
        <f t="shared" si="13"/>
        <v>0</v>
      </c>
      <c r="AH11" s="613">
        <f>IF(AF11&gt;0,VLOOKUP(A11,'Lista Suspensa'!$A$1:$F$92,3,),0)</f>
        <v>0</v>
      </c>
      <c r="AI11" s="613">
        <f>IF(OR(AF11&gt;0,AG11&gt;0),VLOOKUP(A11,'Lista Suspensa'!$A$1:$F$90,4,),0)</f>
        <v>0</v>
      </c>
      <c r="AJ11" s="613">
        <f>IF(OR(AF11&gt;0,AG11&gt;0),VLOOKUP(A11,'Lista Suspensa'!$A$1:$F$90,5,),0)</f>
        <v>0</v>
      </c>
      <c r="AK11" s="402">
        <f>IF(OR(AF11&gt;0,AG11&gt;0),VLOOKUP(A11,'Lista Suspensa'!$A$1:$F$90,6,),0)</f>
        <v>0</v>
      </c>
      <c r="AL11" s="624"/>
      <c r="AM11" s="613">
        <f t="shared" si="4"/>
        <v>0</v>
      </c>
      <c r="AN11" s="613">
        <f>IF(AL11&gt;0,VLOOKUP(A11,'Lista Suspensa'!$A$1:$F$92,3,),0)</f>
        <v>0</v>
      </c>
      <c r="AO11" s="613">
        <f>IF(OR(AL11&gt;0,AM11&gt;0),VLOOKUP(A11,'Lista Suspensa'!$A$1:$F$90,4,),0)</f>
        <v>0</v>
      </c>
      <c r="AP11" s="613">
        <f>IF(OR(AL11&gt;0,AM11&gt;0),VLOOKUP(A11,'Lista Suspensa'!$A$1:$F$90,5,),0)</f>
        <v>0</v>
      </c>
      <c r="AQ11" s="402">
        <f>IF(OR(AL11&gt;0,AM11&gt;0),VLOOKUP(A11,'Lista Suspensa'!$A$1:$F$90,6,),0)</f>
        <v>0</v>
      </c>
      <c r="AR11" s="624"/>
      <c r="AS11" s="613">
        <f t="shared" si="14"/>
        <v>0</v>
      </c>
      <c r="AT11" s="613">
        <f>IF(AR11&gt;0,VLOOKUP(A11,'Lista Suspensa'!$A$1:$F$92,3,),0)</f>
        <v>0</v>
      </c>
      <c r="AU11" s="613">
        <f>IF(OR(AR11&gt;0,AS11&gt;0),VLOOKUP(A11,'Lista Suspensa'!$A$1:$F$90,4,),0)</f>
        <v>0</v>
      </c>
      <c r="AV11" s="613">
        <f>IF(OR(AR11&gt;0,AS11&gt;0),VLOOKUP(A11,'Lista Suspensa'!$A$1:$F$90,5,),0)</f>
        <v>0</v>
      </c>
      <c r="AW11" s="37">
        <f>IF(OR(AR11&gt;0,AS11&gt;0),VLOOKUP(A11,'Lista Suspensa'!$A$1:$F$90,6,),0)</f>
        <v>0</v>
      </c>
      <c r="AX11" s="624"/>
      <c r="AY11" s="613">
        <f t="shared" si="5"/>
        <v>0</v>
      </c>
      <c r="AZ11" s="613">
        <f>IF(AX11&gt;0,VLOOKUP(A11,'Lista Suspensa'!$A$1:$F$92,3,),0)</f>
        <v>0</v>
      </c>
      <c r="BA11" s="613">
        <f>IF(OR(AX11&gt;0,AY11&gt;0),VLOOKUP(A11,'Lista Suspensa'!$A$1:$F$90,4,),0)</f>
        <v>0</v>
      </c>
      <c r="BB11" s="613">
        <f>IF(OR(AX11&gt;0,AY11&gt;0),VLOOKUP(A11,'Lista Suspensa'!$A$1:$F$90,5,),0)</f>
        <v>0</v>
      </c>
      <c r="BC11" s="37">
        <f>IF(OR(AX11&gt;0,AY11&gt;0),VLOOKUP(A11,'Lista Suspensa'!$A$1:$F$90,6,),0)</f>
        <v>0</v>
      </c>
      <c r="BD11" s="624"/>
      <c r="BE11" s="613">
        <f t="shared" si="6"/>
        <v>0</v>
      </c>
      <c r="BF11" s="613">
        <f>IF(BD11&gt;0,VLOOKUP(A11,'Lista Suspensa'!$A$1:$F$92,3,),0)</f>
        <v>0</v>
      </c>
      <c r="BG11" s="613">
        <f>IF(OR(BD11&gt;0,BE11&gt;0),VLOOKUP(A11,'Lista Suspensa'!$A$1:$F$90,4,),0)</f>
        <v>0</v>
      </c>
      <c r="BH11" s="613">
        <f>IF(OR(BD11&gt;0,BE11&gt;0),VLOOKUP(A11,'Lista Suspensa'!$A$1:$F$90,5,),0)</f>
        <v>0</v>
      </c>
      <c r="BI11" s="37">
        <f>IF(OR(BD11&gt;0,BE11&gt;0),VLOOKUP(A11,'Lista Suspensa'!$A$1:$F$90,6,),0)</f>
        <v>0</v>
      </c>
      <c r="BJ11" s="624"/>
      <c r="BK11" s="613">
        <f t="shared" si="7"/>
        <v>0</v>
      </c>
      <c r="BL11" s="613">
        <f>IF(BJ11&gt;0,VLOOKUP(A11,'Lista Suspensa'!$A$1:$F$92,3,),0)</f>
        <v>0</v>
      </c>
      <c r="BM11" s="613">
        <f>IF(OR(BJ11&gt;0,BK11&gt;0),VLOOKUP(A11,'Lista Suspensa'!$A$1:$F$90,4,),0)</f>
        <v>0</v>
      </c>
      <c r="BN11" s="613">
        <f>IF(OR(BJ11&gt;0,BK11&gt;0),VLOOKUP(A11,'Lista Suspensa'!$A$1:$F$90,5,),0)</f>
        <v>0</v>
      </c>
      <c r="BO11" s="37">
        <f>IF(OR(BJ11&gt;0,BK11&gt;0),VLOOKUP(A11,'Lista Suspensa'!$A$1:$F$90,6,),0)</f>
        <v>0</v>
      </c>
      <c r="BP11" s="624"/>
      <c r="BQ11" s="613">
        <f t="shared" si="8"/>
        <v>0</v>
      </c>
      <c r="BR11" s="613">
        <f>IF(BP11&gt;0,VLOOKUP(A11,'Lista Suspensa'!$A$1:$F$92,3,),0)</f>
        <v>0</v>
      </c>
      <c r="BS11" s="613">
        <f>IF(OR(BP11&gt;0,BQ11&gt;0),VLOOKUP(A11,'Lista Suspensa'!$A$1:$F$90,4,),0)</f>
        <v>0</v>
      </c>
      <c r="BT11" s="613">
        <f>IF(OR(BP11&gt;0,BQ11&gt;0),VLOOKUP(A11,'Lista Suspensa'!$A$1:$F$90,5,),0)</f>
        <v>0</v>
      </c>
      <c r="BU11" s="37">
        <f>IF(OR(BP11&gt;0,BQ11&gt;0),VLOOKUP(A11,'Lista Suspensa'!$A$1:$F$90,6,),0)</f>
        <v>0</v>
      </c>
      <c r="BV11" s="624"/>
      <c r="BW11" s="613">
        <f t="shared" si="9"/>
        <v>0</v>
      </c>
      <c r="BX11" s="613">
        <f>IF(BV11&gt;0,VLOOKUP(A11,'Lista Suspensa'!$A$1:$F$92,3,),0)</f>
        <v>0</v>
      </c>
      <c r="BY11" s="613">
        <f>IF(OR(BV11&gt;0,BW11&gt;0),VLOOKUP(A11,'Lista Suspensa'!$A$1:$F$90,4,),0)</f>
        <v>0</v>
      </c>
      <c r="BZ11" s="613">
        <f>IF(OR(BV11&gt;0,BW11&gt;0),VLOOKUP(A11,'Lista Suspensa'!$A$1:$F$90,5,),0)</f>
        <v>0</v>
      </c>
      <c r="CA11" s="37">
        <f>IF(OR(BV11&gt;0,BW11&gt;0),VLOOKUP(A11,'Lista Suspensa'!$A$1:$F$90,6,),0)</f>
        <v>0</v>
      </c>
      <c r="CB11" s="624"/>
      <c r="CC11" s="613">
        <f t="shared" si="10"/>
        <v>0</v>
      </c>
      <c r="CD11" s="613">
        <f>IF(CB11&gt;0,VLOOKUP(A11,'Lista Suspensa'!$A$1:$F$92,3,),0)</f>
        <v>0</v>
      </c>
      <c r="CE11" s="613">
        <f>IF(OR(CB11&gt;0,CC11&gt;0),VLOOKUP(A11,'Lista Suspensa'!$A$1:$F$90,4,),0)</f>
        <v>0</v>
      </c>
      <c r="CF11" s="613">
        <f>IF(OR(CB11&gt;0,CC11&gt;0),VLOOKUP(A11,'Lista Suspensa'!$A$1:$F$90,5,),0)</f>
        <v>0</v>
      </c>
      <c r="CG11" s="37">
        <f>IF(OR(CB11&gt;0,CC11&gt;0),VLOOKUP(A11,'Lista Suspensa'!$A$1:$F$90,6,),0)</f>
        <v>0</v>
      </c>
      <c r="CH11" s="624"/>
      <c r="CI11" s="613">
        <f t="shared" si="11"/>
        <v>0</v>
      </c>
      <c r="CJ11" s="613">
        <f>IF(CH11&gt;0,VLOOKUP(A11,'Lista Suspensa'!$A$1:$F$92,3,),0)</f>
        <v>0</v>
      </c>
      <c r="CK11" s="613">
        <f>IF(OR(CH11&gt;0,CI11&gt;0),VLOOKUP(A11,'Lista Suspensa'!$A$1:$F$90,4,),0)</f>
        <v>0</v>
      </c>
      <c r="CL11" s="613">
        <f>IF(OR(CH11&gt;0,CI11&gt;0),VLOOKUP(A11,'Lista Suspensa'!$A$1:$F$90,5,),0)</f>
        <v>0</v>
      </c>
      <c r="CM11" s="636">
        <f>IF(OR(CH11&gt;0,CI11&gt;0),VLOOKUP(A11,'Lista Suspensa'!$A$1:$F$90,6,),0)</f>
        <v>0</v>
      </c>
      <c r="CN11" s="645"/>
      <c r="CO11" s="403">
        <f t="shared" si="15"/>
        <v>0</v>
      </c>
      <c r="CP11" s="756">
        <f>IF(CN11&gt;0,VLOOKUP(A11,'Lista Suspensa'!$A$1:$F$92,3,),0)</f>
        <v>0</v>
      </c>
      <c r="CQ11" s="641">
        <f>IF(OR(CN11&gt;0,CO11&gt;0),VLOOKUP(A11,'Lista Suspensa'!$A$1:$F$90,6,),0)</f>
        <v>0</v>
      </c>
      <c r="CR11" s="628"/>
      <c r="CS11" s="634"/>
      <c r="CT11" s="634"/>
      <c r="CU11" s="628"/>
      <c r="CV11" s="628"/>
      <c r="CW11" s="628"/>
      <c r="CX11" s="628"/>
      <c r="CY11" s="628"/>
      <c r="CZ11" s="628"/>
      <c r="DA11" s="628"/>
      <c r="DB11" s="628"/>
      <c r="DC11" s="628"/>
      <c r="DD11" s="628"/>
      <c r="DE11" s="628"/>
      <c r="DF11" s="628"/>
      <c r="DG11" s="628"/>
      <c r="DH11" s="628"/>
    </row>
    <row r="12" spans="1:2106" s="588" customFormat="1">
      <c r="A12" s="614"/>
      <c r="B12" s="618"/>
      <c r="C12" s="616">
        <f t="shared" si="0"/>
        <v>0</v>
      </c>
      <c r="D12" s="616">
        <f>IF(B12&gt;0,VLOOKUP(A12,'Lista Suspensa'!$A$1:$F$92,3,),0)</f>
        <v>0</v>
      </c>
      <c r="E12" s="616">
        <f>IF(OR(B12&gt;0,C12&gt;0),VLOOKUP(A12,'Lista Suspensa'!$A$1:$F$90,4,),0)</f>
        <v>0</v>
      </c>
      <c r="F12" s="616">
        <f>IF(OR(B12&gt;0,C12&gt;0),VLOOKUP(A12,'Lista Suspensa'!$A$1:$F$90,5,),0)</f>
        <v>0</v>
      </c>
      <c r="G12" s="587">
        <f>IF(OR(B12&gt;0,C12&gt;0),VLOOKUP(A12,'Lista Suspensa'!$A$1:$F$90,6,),0)</f>
        <v>0</v>
      </c>
      <c r="H12" s="618"/>
      <c r="I12" s="623">
        <f t="shared" si="12"/>
        <v>0</v>
      </c>
      <c r="J12" s="616">
        <f>IF(H12&gt;0,VLOOKUP(A12,'Lista Suspensa'!$A$1:$F$92,3,),0)</f>
        <v>0</v>
      </c>
      <c r="K12" s="616">
        <f>IF(OR(H12&gt;0,I12&gt;0),VLOOKUP(A12,'Lista Suspensa'!$A$1:$F$90,4,),0)</f>
        <v>0</v>
      </c>
      <c r="L12" s="616">
        <f>IF(OR(H12&gt;0,I12&gt;0),VLOOKUP(A12,'Lista Suspensa'!$A$1:$F$90,5,),0)</f>
        <v>0</v>
      </c>
      <c r="M12" s="587">
        <f>IF(OR(H12&gt;0,I12&gt;0),VLOOKUP(A12,'Lista Suspensa'!$A$1:$F$90,6,),0)</f>
        <v>0</v>
      </c>
      <c r="N12" s="625"/>
      <c r="O12" s="623">
        <f t="shared" si="1"/>
        <v>0</v>
      </c>
      <c r="P12" s="616">
        <f>IF(N12&gt;0,VLOOKUP(A12,'Lista Suspensa'!$A$1:$F$92,3,),0)</f>
        <v>0</v>
      </c>
      <c r="Q12" s="616">
        <f>IF(OR(N12&gt;0,O12&gt;0),VLOOKUP(A12,'Lista Suspensa'!$A$1:$F$90,4,),0)</f>
        <v>0</v>
      </c>
      <c r="R12" s="616">
        <f>IF(OR(N12&gt;0,O12&gt;0),VLOOKUP(A12,'Lista Suspensa'!$A$1:$F$90,5,),0)</f>
        <v>0</v>
      </c>
      <c r="S12" s="587">
        <f>IF(OR(N12&gt;0,O12&gt;0),VLOOKUP(A12,'Lista Suspensa'!$A$1:$F$90,6,),0)</f>
        <v>0</v>
      </c>
      <c r="T12" s="625"/>
      <c r="U12" s="623">
        <f t="shared" si="2"/>
        <v>0</v>
      </c>
      <c r="V12" s="616">
        <f>IF(T12&gt;0,VLOOKUP(A12,'Lista Suspensa'!$A$1:$F$92,3,),0)</f>
        <v>0</v>
      </c>
      <c r="W12" s="616">
        <f>IF(OR(T12&gt;0,U12&gt;0),VLOOKUP(A12,'Lista Suspensa'!$A$1:$F$90,4,),0)</f>
        <v>0</v>
      </c>
      <c r="X12" s="616">
        <f>IF(OR(T12&gt;0,U12&gt;0),VLOOKUP(A12,'Lista Suspensa'!$A$1:$F$90,5,),0)</f>
        <v>0</v>
      </c>
      <c r="Y12" s="587">
        <f>IF(OR(T12&gt;0,U12&gt;0),VLOOKUP(A12,'Lista Suspensa'!$A$1:$F$90,6,),0)</f>
        <v>0</v>
      </c>
      <c r="Z12" s="618"/>
      <c r="AA12" s="623">
        <f t="shared" si="3"/>
        <v>0</v>
      </c>
      <c r="AB12" s="616">
        <f>IF(Z12&gt;0,VLOOKUP(A12,'Lista Suspensa'!$A$1:$F$92,3,),0)</f>
        <v>0</v>
      </c>
      <c r="AC12" s="616">
        <f>IF(OR(Z12&gt;0,AA12&gt;0),VLOOKUP(A12,'Lista Suspensa'!$A$1:$F$90,4,),0)</f>
        <v>0</v>
      </c>
      <c r="AD12" s="616">
        <f>IF(OR(Z12&gt;0,AA12&gt;0),VLOOKUP(A12,'Lista Suspensa'!$A$1:$F$90,5,),0)</f>
        <v>0</v>
      </c>
      <c r="AE12" s="587">
        <f>IF(OR(Z12&gt;0,AA12&gt;0),VLOOKUP(A12,'Lista Suspensa'!$A$1:$F$90,6,),0)</f>
        <v>0</v>
      </c>
      <c r="AF12" s="618"/>
      <c r="AG12" s="623">
        <f t="shared" si="13"/>
        <v>0</v>
      </c>
      <c r="AH12" s="616">
        <f>IF(AF12&gt;0,VLOOKUP(A12,'Lista Suspensa'!$A$1:$F$92,3,),0)</f>
        <v>0</v>
      </c>
      <c r="AI12" s="616">
        <f>IF(OR(AF12&gt;0,AG12&gt;0),VLOOKUP(A12,'Lista Suspensa'!$A$1:$F$90,4,),0)</f>
        <v>0</v>
      </c>
      <c r="AJ12" s="616">
        <f>IF(OR(AF12&gt;0,AG12&gt;0),VLOOKUP(A12,'Lista Suspensa'!$A$1:$F$90,5,),0)</f>
        <v>0</v>
      </c>
      <c r="AK12" s="587">
        <f>IF(OR(AF12&gt;0,AG12&gt;0),VLOOKUP(A12,'Lista Suspensa'!$A$1:$F$90,6,),0)</f>
        <v>0</v>
      </c>
      <c r="AL12" s="625"/>
      <c r="AM12" s="623">
        <f t="shared" si="4"/>
        <v>0</v>
      </c>
      <c r="AN12" s="616">
        <f>IF(AL12&gt;0,VLOOKUP(A12,'Lista Suspensa'!$A$1:$F$92,3,),0)</f>
        <v>0</v>
      </c>
      <c r="AO12" s="616">
        <f>IF(OR(AL12&gt;0,AM12&gt;0),VLOOKUP(A12,'Lista Suspensa'!$A$1:$F$90,4,),0)</f>
        <v>0</v>
      </c>
      <c r="AP12" s="616">
        <f>IF(OR(AL12&gt;0,AM12&gt;0),VLOOKUP(A12,'Lista Suspensa'!$A$1:$F$90,5,),0)</f>
        <v>0</v>
      </c>
      <c r="AQ12" s="587">
        <f>IF(OR(AL12&gt;0,AM12&gt;0),VLOOKUP(A12,'Lista Suspensa'!$A$1:$F$90,6,),0)</f>
        <v>0</v>
      </c>
      <c r="AR12" s="625"/>
      <c r="AS12" s="623">
        <f t="shared" si="14"/>
        <v>0</v>
      </c>
      <c r="AT12" s="616">
        <f>IF(AR12&gt;0,VLOOKUP(A12,'Lista Suspensa'!$A$1:$F$92,3,),0)</f>
        <v>0</v>
      </c>
      <c r="AU12" s="616">
        <f>IF(OR(AR12&gt;0,AS12&gt;0),VLOOKUP(A12,'Lista Suspensa'!$A$1:$F$90,4,),0)</f>
        <v>0</v>
      </c>
      <c r="AV12" s="616">
        <f>IF(OR(AR12&gt;0,AS12&gt;0),VLOOKUP(A12,'Lista Suspensa'!$A$1:$F$90,5,),0)</f>
        <v>0</v>
      </c>
      <c r="AW12" s="586">
        <f>IF(OR(AR12&gt;0,AS12&gt;0),VLOOKUP(A12,'Lista Suspensa'!$A$1:$F$90,6,),0)</f>
        <v>0</v>
      </c>
      <c r="AX12" s="625"/>
      <c r="AY12" s="623">
        <f t="shared" si="5"/>
        <v>0</v>
      </c>
      <c r="AZ12" s="616">
        <f>IF(AX12&gt;0,VLOOKUP(A12,'Lista Suspensa'!$A$1:$F$92,3,),0)</f>
        <v>0</v>
      </c>
      <c r="BA12" s="616">
        <f>IF(OR(AX12&gt;0,AY12&gt;0),VLOOKUP(A12,'Lista Suspensa'!$A$1:$F$90,4,),0)</f>
        <v>0</v>
      </c>
      <c r="BB12" s="616">
        <f>IF(OR(AX12&gt;0,AY12&gt;0),VLOOKUP(A12,'Lista Suspensa'!$A$1:$F$90,5,),0)</f>
        <v>0</v>
      </c>
      <c r="BC12" s="586">
        <f>IF(OR(AX12&gt;0,AY12&gt;0),VLOOKUP(A12,'Lista Suspensa'!$A$1:$F$90,6,),0)</f>
        <v>0</v>
      </c>
      <c r="BD12" s="625"/>
      <c r="BE12" s="623">
        <f t="shared" si="6"/>
        <v>0</v>
      </c>
      <c r="BF12" s="616">
        <f>IF(BD12&gt;0,VLOOKUP(A12,'Lista Suspensa'!$A$1:$F$92,3,),0)</f>
        <v>0</v>
      </c>
      <c r="BG12" s="616">
        <f>IF(OR(BD12&gt;0,BE12&gt;0),VLOOKUP(A12,'Lista Suspensa'!$A$1:$F$90,4,),0)</f>
        <v>0</v>
      </c>
      <c r="BH12" s="616">
        <f>IF(OR(BD12&gt;0,BE12&gt;0),VLOOKUP(A12,'Lista Suspensa'!$A$1:$F$90,5,),0)</f>
        <v>0</v>
      </c>
      <c r="BI12" s="586">
        <f>IF(OR(BD12&gt;0,BE12&gt;0),VLOOKUP(A12,'Lista Suspensa'!$A$1:$F$90,6,),0)</f>
        <v>0</v>
      </c>
      <c r="BJ12" s="625"/>
      <c r="BK12" s="623">
        <f t="shared" si="7"/>
        <v>0</v>
      </c>
      <c r="BL12" s="616">
        <f>IF(BJ12&gt;0,VLOOKUP(A12,'Lista Suspensa'!$A$1:$F$92,3,),0)</f>
        <v>0</v>
      </c>
      <c r="BM12" s="616">
        <f>IF(OR(BJ12&gt;0,BK12&gt;0),VLOOKUP(A12,'Lista Suspensa'!$A$1:$F$90,4,),0)</f>
        <v>0</v>
      </c>
      <c r="BN12" s="616">
        <f>IF(OR(BJ12&gt;0,BK12&gt;0),VLOOKUP(A12,'Lista Suspensa'!$A$1:$F$90,5,),0)</f>
        <v>0</v>
      </c>
      <c r="BO12" s="586">
        <f>IF(OR(BJ12&gt;0,BK12&gt;0),VLOOKUP(A12,'Lista Suspensa'!$A$1:$F$90,6,),0)</f>
        <v>0</v>
      </c>
      <c r="BP12" s="625"/>
      <c r="BQ12" s="623">
        <f t="shared" si="8"/>
        <v>0</v>
      </c>
      <c r="BR12" s="616">
        <f>IF(BP12&gt;0,VLOOKUP(A12,'Lista Suspensa'!$A$1:$F$92,3,),0)</f>
        <v>0</v>
      </c>
      <c r="BS12" s="616">
        <f>IF(OR(BP12&gt;0,BQ12&gt;0),VLOOKUP(A12,'Lista Suspensa'!$A$1:$F$90,4,),0)</f>
        <v>0</v>
      </c>
      <c r="BT12" s="616">
        <f>IF(OR(BP12&gt;0,BQ12&gt;0),VLOOKUP(A12,'Lista Suspensa'!$A$1:$F$90,5,),0)</f>
        <v>0</v>
      </c>
      <c r="BU12" s="586">
        <f>IF(OR(BP12&gt;0,BQ12&gt;0),VLOOKUP(A12,'Lista Suspensa'!$A$1:$F$90,6,),0)</f>
        <v>0</v>
      </c>
      <c r="BV12" s="625"/>
      <c r="BW12" s="623">
        <f t="shared" si="9"/>
        <v>0</v>
      </c>
      <c r="BX12" s="616">
        <f>IF(BV12&gt;0,VLOOKUP(A12,'Lista Suspensa'!$A$1:$F$92,3,),0)</f>
        <v>0</v>
      </c>
      <c r="BY12" s="616">
        <f>IF(OR(BV12&gt;0,BW12&gt;0),VLOOKUP(A12,'Lista Suspensa'!$A$1:$F$90,4,),0)</f>
        <v>0</v>
      </c>
      <c r="BZ12" s="616">
        <f>IF(OR(BV12&gt;0,BW12&gt;0),VLOOKUP(A12,'Lista Suspensa'!$A$1:$F$90,5,),0)</f>
        <v>0</v>
      </c>
      <c r="CA12" s="586">
        <f>IF(OR(BV12&gt;0,BW12&gt;0),VLOOKUP(A12,'Lista Suspensa'!$A$1:$F$90,6,),0)</f>
        <v>0</v>
      </c>
      <c r="CB12" s="625"/>
      <c r="CC12" s="623">
        <f t="shared" si="10"/>
        <v>0</v>
      </c>
      <c r="CD12" s="616">
        <f>IF(CB12&gt;0,VLOOKUP(A12,'Lista Suspensa'!$A$1:$F$92,3,),0)</f>
        <v>0</v>
      </c>
      <c r="CE12" s="616">
        <f>IF(OR(CB12&gt;0,CC12&gt;0),VLOOKUP(A12,'Lista Suspensa'!$A$1:$F$90,4,),0)</f>
        <v>0</v>
      </c>
      <c r="CF12" s="616">
        <f>IF(OR(CB12&gt;0,CC12&gt;0),VLOOKUP(A12,'Lista Suspensa'!$A$1:$F$90,5,),0)</f>
        <v>0</v>
      </c>
      <c r="CG12" s="586">
        <f>IF(OR(CB12&gt;0,CC12&gt;0),VLOOKUP(A12,'Lista Suspensa'!$A$1:$F$90,6,),0)</f>
        <v>0</v>
      </c>
      <c r="CH12" s="625"/>
      <c r="CI12" s="623">
        <f t="shared" si="11"/>
        <v>0</v>
      </c>
      <c r="CJ12" s="616">
        <f>IF(CH12&gt;0,VLOOKUP(A12,'Lista Suspensa'!$A$1:$F$92,3,),0)</f>
        <v>0</v>
      </c>
      <c r="CK12" s="616">
        <f>IF(OR(CH12&gt;0,CI12&gt;0),VLOOKUP(A12,'Lista Suspensa'!$A$1:$F$90,4,),0)</f>
        <v>0</v>
      </c>
      <c r="CL12" s="616">
        <f>IF(OR(CH12&gt;0,CI12&gt;0),VLOOKUP(A12,'Lista Suspensa'!$A$1:$F$90,5,),0)</f>
        <v>0</v>
      </c>
      <c r="CM12" s="637">
        <f>IF(OR(CH12&gt;0,CI12&gt;0),VLOOKUP(A12,'Lista Suspensa'!$A$1:$F$90,6,),0)</f>
        <v>0</v>
      </c>
      <c r="CN12" s="646"/>
      <c r="CO12" s="403">
        <f t="shared" si="15"/>
        <v>0</v>
      </c>
      <c r="CP12" s="756">
        <f>IF(CN12&gt;0,VLOOKUP(A12,'Lista Suspensa'!$A$1:$F$92,3,),0)</f>
        <v>0</v>
      </c>
      <c r="CQ12" s="643">
        <f>IF(OR(CN12&gt;0,CO12&gt;0),VLOOKUP(A12,'Lista Suspensa'!$A$1:$F$90,6,),0)</f>
        <v>0</v>
      </c>
      <c r="CR12" s="628"/>
      <c r="CS12" s="634"/>
      <c r="CT12" s="634"/>
      <c r="CU12" s="628"/>
      <c r="CV12" s="628"/>
      <c r="CW12" s="628"/>
      <c r="CX12" s="628"/>
      <c r="CY12" s="628"/>
      <c r="CZ12" s="628"/>
      <c r="DA12" s="628"/>
      <c r="DB12" s="628"/>
      <c r="DC12" s="628"/>
      <c r="DD12" s="628"/>
      <c r="DE12" s="628"/>
      <c r="DF12" s="628"/>
      <c r="DG12" s="628"/>
      <c r="DH12" s="628"/>
      <c r="DI12" s="583"/>
      <c r="DJ12" s="583"/>
      <c r="DK12" s="583"/>
      <c r="DL12" s="583"/>
      <c r="DM12" s="583"/>
      <c r="DN12" s="583"/>
      <c r="DO12" s="583"/>
      <c r="DP12" s="583"/>
      <c r="DQ12" s="583"/>
      <c r="DR12" s="583"/>
      <c r="DS12" s="583"/>
      <c r="DT12" s="583"/>
      <c r="DU12" s="583"/>
      <c r="DV12" s="583"/>
      <c r="DW12" s="583"/>
      <c r="DX12" s="583"/>
      <c r="DY12" s="583"/>
      <c r="DZ12" s="583"/>
      <c r="EA12" s="583"/>
      <c r="EB12" s="583"/>
      <c r="EC12" s="583"/>
      <c r="ED12" s="583"/>
      <c r="EE12" s="583"/>
      <c r="EF12" s="583"/>
      <c r="EG12" s="583"/>
      <c r="EH12" s="583"/>
      <c r="EI12" s="583"/>
      <c r="EJ12" s="583"/>
      <c r="EK12" s="583"/>
      <c r="EL12" s="583"/>
      <c r="EM12" s="583"/>
      <c r="EN12" s="583"/>
      <c r="EO12" s="583"/>
      <c r="EP12" s="583"/>
      <c r="EQ12" s="583"/>
      <c r="ER12" s="583"/>
      <c r="ES12" s="583"/>
      <c r="ET12" s="583"/>
      <c r="EU12" s="583"/>
      <c r="EV12" s="583"/>
      <c r="EW12" s="583"/>
      <c r="EX12" s="583"/>
      <c r="EY12" s="583"/>
      <c r="EZ12" s="583"/>
      <c r="FA12" s="583"/>
      <c r="FB12" s="583"/>
      <c r="FC12" s="583"/>
      <c r="FD12" s="583"/>
      <c r="FE12" s="583"/>
      <c r="FF12" s="583"/>
      <c r="FG12" s="583"/>
      <c r="FH12" s="583"/>
      <c r="FI12" s="583"/>
      <c r="FJ12" s="583"/>
      <c r="FK12" s="583"/>
      <c r="FL12" s="583"/>
      <c r="FM12" s="583"/>
      <c r="FN12" s="583"/>
      <c r="FO12" s="583"/>
      <c r="FP12" s="583"/>
      <c r="FQ12" s="583"/>
      <c r="FR12" s="583"/>
      <c r="FS12" s="583"/>
      <c r="FT12" s="583"/>
      <c r="FU12" s="583"/>
      <c r="FV12" s="583"/>
      <c r="FW12" s="583"/>
      <c r="FX12" s="583"/>
      <c r="FY12" s="583"/>
      <c r="FZ12" s="583"/>
      <c r="GA12" s="583"/>
      <c r="GB12" s="583"/>
      <c r="GC12" s="583"/>
      <c r="GD12" s="583"/>
      <c r="GE12" s="583"/>
      <c r="GF12" s="583"/>
      <c r="GG12" s="583"/>
      <c r="GH12" s="583"/>
      <c r="GI12" s="583"/>
      <c r="GJ12" s="583"/>
      <c r="GK12" s="583"/>
      <c r="GL12" s="583"/>
      <c r="GM12" s="583"/>
      <c r="GN12" s="583"/>
      <c r="GO12" s="583"/>
      <c r="GP12" s="583"/>
      <c r="GQ12" s="583"/>
      <c r="GR12" s="583"/>
      <c r="GS12" s="583"/>
      <c r="GT12" s="583"/>
      <c r="GU12" s="583"/>
      <c r="GV12" s="583"/>
      <c r="GW12" s="583"/>
      <c r="GX12" s="583"/>
      <c r="GY12" s="583"/>
      <c r="GZ12" s="583"/>
      <c r="HA12" s="583"/>
      <c r="HB12" s="583"/>
      <c r="HC12" s="583"/>
      <c r="HD12" s="583"/>
      <c r="HE12" s="583"/>
      <c r="HF12" s="583"/>
      <c r="HG12" s="583"/>
      <c r="HH12" s="583"/>
      <c r="HI12" s="583"/>
      <c r="HJ12" s="583"/>
      <c r="HK12" s="583"/>
      <c r="HL12" s="583"/>
      <c r="HM12" s="583"/>
      <c r="HN12" s="583"/>
      <c r="HO12" s="583"/>
      <c r="HP12" s="583"/>
      <c r="HQ12" s="583"/>
      <c r="HR12" s="583"/>
      <c r="HS12" s="583"/>
      <c r="HT12" s="583"/>
      <c r="HU12" s="583"/>
      <c r="HV12" s="583"/>
      <c r="HW12" s="583"/>
      <c r="HX12" s="583"/>
      <c r="HY12" s="583"/>
      <c r="HZ12" s="583"/>
      <c r="IA12" s="583"/>
      <c r="IB12" s="583"/>
      <c r="IC12" s="583"/>
      <c r="ID12" s="583"/>
      <c r="IE12" s="583"/>
      <c r="IF12" s="583"/>
      <c r="IG12" s="583"/>
      <c r="IH12" s="583"/>
      <c r="II12" s="583"/>
      <c r="IJ12" s="583"/>
      <c r="IK12" s="583"/>
      <c r="IL12" s="583"/>
      <c r="IM12" s="583"/>
      <c r="IN12" s="583"/>
      <c r="IO12" s="583"/>
      <c r="IP12" s="583"/>
      <c r="IQ12" s="583"/>
      <c r="IR12" s="583"/>
      <c r="IS12" s="583"/>
      <c r="IT12" s="583"/>
      <c r="IU12" s="583"/>
      <c r="IV12" s="583"/>
      <c r="IW12" s="583"/>
      <c r="IX12" s="583"/>
      <c r="IY12" s="583"/>
      <c r="IZ12" s="583"/>
      <c r="JA12" s="583"/>
      <c r="JB12" s="583"/>
      <c r="JC12" s="583"/>
      <c r="JD12" s="583"/>
      <c r="JE12" s="583"/>
      <c r="JF12" s="583"/>
      <c r="JG12" s="583"/>
      <c r="JH12" s="583"/>
      <c r="JI12" s="583"/>
      <c r="JJ12" s="583"/>
      <c r="JK12" s="583"/>
      <c r="JL12" s="583"/>
      <c r="JM12" s="583"/>
      <c r="JN12" s="583"/>
      <c r="JO12" s="583"/>
      <c r="JP12" s="583"/>
      <c r="JQ12" s="583"/>
      <c r="JR12" s="583"/>
      <c r="JS12" s="583"/>
      <c r="JT12" s="583"/>
      <c r="JU12" s="583"/>
      <c r="JV12" s="583"/>
      <c r="JW12" s="583"/>
      <c r="JX12" s="583"/>
      <c r="JY12" s="583"/>
      <c r="JZ12" s="583"/>
      <c r="KA12" s="583"/>
      <c r="KB12" s="583"/>
      <c r="KC12" s="583"/>
      <c r="KD12" s="583"/>
      <c r="KE12" s="583"/>
      <c r="KF12" s="583"/>
      <c r="KG12" s="583"/>
      <c r="KH12" s="583"/>
      <c r="KI12" s="583"/>
      <c r="KJ12" s="583"/>
      <c r="KK12" s="583"/>
      <c r="KL12" s="583"/>
      <c r="KM12" s="583"/>
      <c r="KN12" s="583"/>
      <c r="KO12" s="583"/>
      <c r="KP12" s="583"/>
      <c r="KQ12" s="583"/>
      <c r="KR12" s="583"/>
      <c r="KS12" s="583"/>
      <c r="KT12" s="583"/>
      <c r="KU12" s="583"/>
      <c r="KV12" s="583"/>
      <c r="KW12" s="583"/>
      <c r="KX12" s="583"/>
      <c r="KY12" s="583"/>
      <c r="KZ12" s="583"/>
      <c r="LA12" s="583"/>
      <c r="LB12" s="583"/>
      <c r="LC12" s="583"/>
      <c r="LD12" s="583"/>
      <c r="LE12" s="583"/>
      <c r="LF12" s="583"/>
      <c r="LG12" s="583"/>
      <c r="LH12" s="583"/>
      <c r="LI12" s="583"/>
      <c r="LJ12" s="583"/>
      <c r="LK12" s="583"/>
      <c r="LL12" s="583"/>
      <c r="LM12" s="583"/>
      <c r="LN12" s="583"/>
      <c r="LO12" s="583"/>
      <c r="LP12" s="583"/>
      <c r="LQ12" s="583"/>
      <c r="LR12" s="583"/>
      <c r="LS12" s="583"/>
      <c r="LT12" s="583"/>
      <c r="LU12" s="583"/>
      <c r="LV12" s="583"/>
      <c r="LW12" s="583"/>
      <c r="LX12" s="583"/>
      <c r="LY12" s="583"/>
      <c r="LZ12" s="583"/>
      <c r="MA12" s="583"/>
      <c r="MB12" s="583"/>
      <c r="MC12" s="583"/>
      <c r="MD12" s="583"/>
      <c r="ME12" s="583"/>
      <c r="MF12" s="583"/>
      <c r="MG12" s="583"/>
      <c r="MH12" s="583"/>
      <c r="MI12" s="583"/>
      <c r="MJ12" s="583"/>
      <c r="MK12" s="583"/>
      <c r="ML12" s="583"/>
      <c r="MM12" s="583"/>
      <c r="MN12" s="583"/>
      <c r="MO12" s="583"/>
      <c r="MP12" s="583"/>
      <c r="MQ12" s="583"/>
      <c r="MR12" s="583"/>
      <c r="MS12" s="583"/>
      <c r="MT12" s="583"/>
      <c r="MU12" s="583"/>
      <c r="MV12" s="583"/>
      <c r="MW12" s="583"/>
      <c r="MX12" s="583"/>
      <c r="MY12" s="583"/>
      <c r="MZ12" s="583"/>
      <c r="NA12" s="583"/>
      <c r="NB12" s="583"/>
      <c r="NC12" s="583"/>
      <c r="ND12" s="583"/>
      <c r="NE12" s="583"/>
      <c r="NF12" s="583"/>
      <c r="NG12" s="583"/>
      <c r="NH12" s="583"/>
      <c r="NI12" s="583"/>
      <c r="NJ12" s="583"/>
      <c r="NK12" s="583"/>
      <c r="NL12" s="583"/>
      <c r="NM12" s="583"/>
      <c r="NN12" s="583"/>
      <c r="NO12" s="583"/>
      <c r="NP12" s="583"/>
      <c r="NQ12" s="583"/>
      <c r="NR12" s="583"/>
      <c r="NS12" s="583"/>
      <c r="NT12" s="583"/>
      <c r="NU12" s="583"/>
      <c r="NV12" s="583"/>
      <c r="NW12" s="583"/>
      <c r="NX12" s="583"/>
      <c r="NY12" s="583"/>
      <c r="NZ12" s="583"/>
      <c r="OA12" s="583"/>
      <c r="OB12" s="583"/>
      <c r="OC12" s="583"/>
      <c r="OD12" s="583"/>
      <c r="OE12" s="583"/>
      <c r="OF12" s="583"/>
      <c r="OG12" s="583"/>
      <c r="OH12" s="583"/>
      <c r="OI12" s="583"/>
      <c r="OJ12" s="583"/>
      <c r="OK12" s="583"/>
      <c r="OL12" s="583"/>
      <c r="OM12" s="583"/>
      <c r="ON12" s="583"/>
      <c r="OO12" s="583"/>
      <c r="OP12" s="583"/>
      <c r="OQ12" s="583"/>
      <c r="OR12" s="583"/>
      <c r="OS12" s="583"/>
      <c r="OT12" s="583"/>
      <c r="OU12" s="583"/>
      <c r="OV12" s="583"/>
      <c r="OW12" s="583"/>
      <c r="OX12" s="583"/>
      <c r="OY12" s="583"/>
      <c r="OZ12" s="583"/>
      <c r="PA12" s="583"/>
      <c r="PB12" s="583"/>
      <c r="PC12" s="583"/>
      <c r="PD12" s="583"/>
      <c r="PE12" s="583"/>
      <c r="PF12" s="583"/>
      <c r="PG12" s="583"/>
      <c r="PH12" s="583"/>
      <c r="PI12" s="583"/>
      <c r="PJ12" s="583"/>
      <c r="PK12" s="583"/>
      <c r="PL12" s="583"/>
      <c r="PM12" s="583"/>
      <c r="PN12" s="583"/>
      <c r="PO12" s="583"/>
      <c r="PP12" s="583"/>
      <c r="PQ12" s="583"/>
      <c r="PR12" s="583"/>
      <c r="PS12" s="583"/>
      <c r="PT12" s="583"/>
      <c r="PU12" s="583"/>
      <c r="PV12" s="583"/>
      <c r="PW12" s="583"/>
      <c r="PX12" s="583"/>
      <c r="PY12" s="583"/>
      <c r="PZ12" s="583"/>
      <c r="QA12" s="583"/>
      <c r="QB12" s="583"/>
      <c r="QC12" s="583"/>
      <c r="QD12" s="583"/>
      <c r="QE12" s="583"/>
      <c r="QF12" s="583"/>
      <c r="QG12" s="583"/>
      <c r="QH12" s="583"/>
      <c r="QI12" s="583"/>
      <c r="QJ12" s="583"/>
      <c r="QK12" s="583"/>
      <c r="QL12" s="583"/>
      <c r="QM12" s="583"/>
      <c r="QN12" s="583"/>
      <c r="QO12" s="583"/>
      <c r="QP12" s="583"/>
      <c r="QQ12" s="583"/>
      <c r="QR12" s="583"/>
      <c r="QS12" s="583"/>
      <c r="QT12" s="583"/>
      <c r="QU12" s="583"/>
      <c r="QV12" s="583"/>
      <c r="QW12" s="583"/>
      <c r="QX12" s="583"/>
      <c r="QY12" s="583"/>
      <c r="QZ12" s="583"/>
      <c r="RA12" s="583"/>
      <c r="RB12" s="583"/>
      <c r="RC12" s="583"/>
      <c r="RD12" s="583"/>
      <c r="RE12" s="583"/>
      <c r="RF12" s="583"/>
      <c r="RG12" s="583"/>
      <c r="RH12" s="583"/>
      <c r="RI12" s="583"/>
      <c r="RJ12" s="583"/>
      <c r="RK12" s="583"/>
      <c r="RL12" s="583"/>
      <c r="RM12" s="583"/>
      <c r="RN12" s="583"/>
      <c r="RO12" s="583"/>
      <c r="RP12" s="583"/>
      <c r="RQ12" s="583"/>
      <c r="RR12" s="583"/>
      <c r="RS12" s="583"/>
      <c r="RT12" s="583"/>
      <c r="RU12" s="583"/>
      <c r="RV12" s="583"/>
      <c r="RW12" s="583"/>
      <c r="RX12" s="583"/>
      <c r="RY12" s="583"/>
      <c r="RZ12" s="583"/>
      <c r="SA12" s="583"/>
      <c r="SB12" s="583"/>
      <c r="SC12" s="583"/>
      <c r="SD12" s="583"/>
      <c r="SE12" s="583"/>
      <c r="SF12" s="583"/>
      <c r="SG12" s="583"/>
      <c r="SH12" s="583"/>
      <c r="SI12" s="583"/>
      <c r="SJ12" s="583"/>
      <c r="SK12" s="583"/>
      <c r="SL12" s="583"/>
      <c r="SM12" s="583"/>
      <c r="SN12" s="583"/>
      <c r="SO12" s="583"/>
      <c r="SP12" s="583"/>
      <c r="SQ12" s="583"/>
      <c r="SR12" s="583"/>
      <c r="SS12" s="583"/>
      <c r="ST12" s="583"/>
      <c r="SU12" s="583"/>
      <c r="SV12" s="583"/>
      <c r="SW12" s="583"/>
      <c r="SX12" s="583"/>
      <c r="SY12" s="583"/>
      <c r="SZ12" s="583"/>
      <c r="TA12" s="583"/>
      <c r="TB12" s="583"/>
      <c r="TC12" s="583"/>
      <c r="TD12" s="583"/>
      <c r="TE12" s="583"/>
      <c r="TF12" s="583"/>
      <c r="TG12" s="583"/>
      <c r="TH12" s="583"/>
      <c r="TI12" s="583"/>
      <c r="TJ12" s="583"/>
      <c r="TK12" s="583"/>
      <c r="TL12" s="583"/>
      <c r="TM12" s="583"/>
      <c r="TN12" s="583"/>
      <c r="TO12" s="583"/>
      <c r="TP12" s="583"/>
      <c r="TQ12" s="583"/>
      <c r="TR12" s="583"/>
      <c r="TS12" s="583"/>
      <c r="TT12" s="583"/>
      <c r="TU12" s="583"/>
      <c r="TV12" s="583"/>
      <c r="TW12" s="583"/>
      <c r="TX12" s="583"/>
      <c r="TY12" s="583"/>
      <c r="TZ12" s="583"/>
      <c r="UA12" s="583"/>
      <c r="UB12" s="583"/>
      <c r="UC12" s="583"/>
      <c r="UD12" s="583"/>
      <c r="UE12" s="583"/>
      <c r="UF12" s="583"/>
      <c r="UG12" s="583"/>
      <c r="UH12" s="583"/>
      <c r="UI12" s="583"/>
      <c r="UJ12" s="583"/>
      <c r="UK12" s="583"/>
      <c r="UL12" s="583"/>
      <c r="UM12" s="583"/>
      <c r="UN12" s="583"/>
      <c r="UO12" s="583"/>
      <c r="UP12" s="583"/>
      <c r="UQ12" s="583"/>
      <c r="UR12" s="583"/>
      <c r="US12" s="583"/>
      <c r="UT12" s="583"/>
      <c r="UU12" s="583"/>
      <c r="UV12" s="583"/>
      <c r="UW12" s="583"/>
      <c r="UX12" s="583"/>
      <c r="UY12" s="583"/>
      <c r="UZ12" s="583"/>
      <c r="VA12" s="583"/>
      <c r="VB12" s="583"/>
      <c r="VC12" s="583"/>
      <c r="VD12" s="583"/>
      <c r="VE12" s="583"/>
      <c r="VF12" s="583"/>
      <c r="VG12" s="583"/>
      <c r="VH12" s="583"/>
      <c r="VI12" s="583"/>
      <c r="VJ12" s="583"/>
      <c r="VK12" s="583"/>
      <c r="VL12" s="583"/>
      <c r="VM12" s="583"/>
      <c r="VN12" s="583"/>
      <c r="VO12" s="583"/>
      <c r="VP12" s="583"/>
      <c r="VQ12" s="583"/>
      <c r="VR12" s="583"/>
      <c r="VS12" s="583"/>
      <c r="VT12" s="583"/>
      <c r="VU12" s="583"/>
      <c r="VV12" s="583"/>
      <c r="VW12" s="583"/>
      <c r="VX12" s="583"/>
      <c r="VY12" s="583"/>
      <c r="VZ12" s="583"/>
      <c r="WA12" s="583"/>
      <c r="WB12" s="583"/>
      <c r="WC12" s="583"/>
      <c r="WD12" s="583"/>
      <c r="WE12" s="583"/>
      <c r="WF12" s="583"/>
      <c r="WG12" s="583"/>
      <c r="WH12" s="583"/>
      <c r="WI12" s="583"/>
      <c r="WJ12" s="583"/>
      <c r="WK12" s="583"/>
      <c r="WL12" s="583"/>
      <c r="WM12" s="583"/>
      <c r="WN12" s="583"/>
      <c r="WO12" s="583"/>
      <c r="WP12" s="583"/>
      <c r="WQ12" s="583"/>
      <c r="WR12" s="583"/>
      <c r="WS12" s="583"/>
      <c r="WT12" s="583"/>
      <c r="WU12" s="583"/>
      <c r="WV12" s="583"/>
      <c r="WW12" s="583"/>
      <c r="WX12" s="583"/>
      <c r="WY12" s="583"/>
      <c r="WZ12" s="583"/>
      <c r="XA12" s="583"/>
      <c r="XB12" s="583"/>
      <c r="XC12" s="583"/>
      <c r="XD12" s="583"/>
      <c r="XE12" s="583"/>
      <c r="XF12" s="583"/>
      <c r="XG12" s="583"/>
      <c r="XH12" s="583"/>
      <c r="XI12" s="583"/>
      <c r="XJ12" s="583"/>
      <c r="XK12" s="583"/>
      <c r="XL12" s="583"/>
      <c r="XM12" s="583"/>
      <c r="XN12" s="583"/>
      <c r="XO12" s="583"/>
      <c r="XP12" s="583"/>
      <c r="XQ12" s="583"/>
      <c r="XR12" s="583"/>
      <c r="XS12" s="583"/>
      <c r="XT12" s="583"/>
      <c r="XU12" s="583"/>
      <c r="XV12" s="583"/>
      <c r="XW12" s="583"/>
      <c r="XX12" s="583"/>
      <c r="XY12" s="583"/>
      <c r="XZ12" s="583"/>
      <c r="YA12" s="583"/>
      <c r="YB12" s="583"/>
      <c r="YC12" s="583"/>
      <c r="YD12" s="583"/>
      <c r="YE12" s="583"/>
      <c r="YF12" s="583"/>
      <c r="YG12" s="583"/>
      <c r="YH12" s="583"/>
      <c r="YI12" s="583"/>
      <c r="YJ12" s="583"/>
      <c r="YK12" s="583"/>
      <c r="YL12" s="583"/>
      <c r="YM12" s="583"/>
      <c r="YN12" s="583"/>
      <c r="YO12" s="583"/>
      <c r="YP12" s="583"/>
      <c r="YQ12" s="583"/>
      <c r="YR12" s="583"/>
      <c r="YS12" s="583"/>
      <c r="YT12" s="583"/>
      <c r="YU12" s="583"/>
      <c r="YV12" s="583"/>
      <c r="YW12" s="583"/>
      <c r="YX12" s="583"/>
      <c r="YY12" s="583"/>
      <c r="YZ12" s="583"/>
      <c r="ZA12" s="583"/>
      <c r="ZB12" s="583"/>
      <c r="ZC12" s="583"/>
      <c r="ZD12" s="583"/>
      <c r="ZE12" s="583"/>
      <c r="ZF12" s="583"/>
      <c r="ZG12" s="583"/>
      <c r="ZH12" s="583"/>
      <c r="ZI12" s="583"/>
      <c r="ZJ12" s="583"/>
      <c r="ZK12" s="583"/>
      <c r="ZL12" s="583"/>
      <c r="ZM12" s="583"/>
      <c r="ZN12" s="583"/>
      <c r="ZO12" s="583"/>
      <c r="ZP12" s="583"/>
      <c r="ZQ12" s="583"/>
      <c r="ZR12" s="583"/>
      <c r="ZS12" s="583"/>
      <c r="ZT12" s="583"/>
      <c r="ZU12" s="583"/>
      <c r="ZV12" s="583"/>
      <c r="ZW12" s="583"/>
      <c r="ZX12" s="583"/>
      <c r="ZY12" s="583"/>
      <c r="ZZ12" s="583"/>
      <c r="AAA12" s="583"/>
      <c r="AAB12" s="583"/>
      <c r="AAC12" s="583"/>
      <c r="AAD12" s="583"/>
      <c r="AAE12" s="583"/>
      <c r="AAF12" s="583"/>
      <c r="AAG12" s="583"/>
      <c r="AAH12" s="583"/>
      <c r="AAI12" s="583"/>
      <c r="AAJ12" s="583"/>
      <c r="AAK12" s="583"/>
      <c r="AAL12" s="583"/>
      <c r="AAM12" s="583"/>
      <c r="AAN12" s="583"/>
      <c r="AAO12" s="583"/>
      <c r="AAP12" s="583"/>
      <c r="AAQ12" s="583"/>
      <c r="AAR12" s="583"/>
      <c r="AAS12" s="583"/>
      <c r="AAT12" s="583"/>
      <c r="AAU12" s="583"/>
      <c r="AAV12" s="583"/>
      <c r="AAW12" s="583"/>
      <c r="AAX12" s="583"/>
      <c r="AAY12" s="583"/>
      <c r="AAZ12" s="583"/>
      <c r="ABA12" s="583"/>
      <c r="ABB12" s="583"/>
      <c r="ABC12" s="583"/>
      <c r="ABD12" s="583"/>
      <c r="ABE12" s="583"/>
      <c r="ABF12" s="583"/>
      <c r="ABG12" s="583"/>
      <c r="ABH12" s="583"/>
      <c r="ABI12" s="583"/>
      <c r="ABJ12" s="583"/>
      <c r="ABK12" s="583"/>
      <c r="ABL12" s="583"/>
      <c r="ABM12" s="583"/>
      <c r="ABN12" s="583"/>
      <c r="ABO12" s="583"/>
      <c r="ABP12" s="583"/>
      <c r="ABQ12" s="583"/>
      <c r="ABR12" s="583"/>
      <c r="ABS12" s="583"/>
      <c r="ABT12" s="583"/>
      <c r="ABU12" s="583"/>
      <c r="ABV12" s="583"/>
      <c r="ABW12" s="583"/>
      <c r="ABX12" s="583"/>
      <c r="ABY12" s="583"/>
      <c r="ABZ12" s="583"/>
      <c r="ACA12" s="583"/>
      <c r="ACB12" s="583"/>
      <c r="ACC12" s="583"/>
      <c r="ACD12" s="583"/>
      <c r="ACE12" s="583"/>
      <c r="ACF12" s="583"/>
      <c r="ACG12" s="583"/>
      <c r="ACH12" s="583"/>
      <c r="ACI12" s="583"/>
      <c r="ACJ12" s="583"/>
      <c r="ACK12" s="583"/>
      <c r="ACL12" s="583"/>
      <c r="ACM12" s="583"/>
      <c r="ACN12" s="583"/>
      <c r="ACO12" s="583"/>
      <c r="ACP12" s="583"/>
      <c r="ACQ12" s="583"/>
      <c r="ACR12" s="583"/>
      <c r="ACS12" s="583"/>
      <c r="ACT12" s="583"/>
      <c r="ACU12" s="583"/>
      <c r="ACV12" s="583"/>
      <c r="ACW12" s="583"/>
      <c r="ACX12" s="583"/>
      <c r="ACY12" s="583"/>
      <c r="ACZ12" s="583"/>
      <c r="ADA12" s="583"/>
      <c r="ADB12" s="583"/>
      <c r="ADC12" s="583"/>
      <c r="ADD12" s="583"/>
      <c r="ADE12" s="583"/>
      <c r="ADF12" s="583"/>
      <c r="ADG12" s="583"/>
      <c r="ADH12" s="583"/>
      <c r="ADI12" s="583"/>
      <c r="ADJ12" s="583"/>
      <c r="ADK12" s="583"/>
      <c r="ADL12" s="583"/>
      <c r="ADM12" s="583"/>
      <c r="ADN12" s="583"/>
      <c r="ADO12" s="583"/>
      <c r="ADP12" s="583"/>
      <c r="ADQ12" s="583"/>
      <c r="ADR12" s="583"/>
      <c r="ADS12" s="583"/>
      <c r="ADT12" s="583"/>
      <c r="ADU12" s="583"/>
      <c r="ADV12" s="583"/>
      <c r="ADW12" s="583"/>
      <c r="ADX12" s="583"/>
      <c r="ADY12" s="583"/>
      <c r="ADZ12" s="583"/>
      <c r="AEA12" s="583"/>
      <c r="AEB12" s="583"/>
      <c r="AEC12" s="583"/>
      <c r="AED12" s="583"/>
      <c r="AEE12" s="583"/>
      <c r="AEF12" s="583"/>
      <c r="AEG12" s="583"/>
      <c r="AEH12" s="583"/>
      <c r="AEI12" s="583"/>
      <c r="AEJ12" s="583"/>
      <c r="AEK12" s="583"/>
      <c r="AEL12" s="583"/>
      <c r="AEM12" s="583"/>
      <c r="AEN12" s="583"/>
      <c r="AEO12" s="583"/>
      <c r="AEP12" s="583"/>
      <c r="AEQ12" s="583"/>
      <c r="AER12" s="583"/>
      <c r="AES12" s="583"/>
      <c r="AET12" s="583"/>
      <c r="AEU12" s="583"/>
      <c r="AEV12" s="583"/>
      <c r="AEW12" s="583"/>
      <c r="AEX12" s="583"/>
      <c r="AEY12" s="583"/>
      <c r="AEZ12" s="583"/>
      <c r="AFA12" s="583"/>
      <c r="AFB12" s="583"/>
      <c r="AFC12" s="583"/>
      <c r="AFD12" s="583"/>
      <c r="AFE12" s="583"/>
      <c r="AFF12" s="583"/>
      <c r="AFG12" s="583"/>
      <c r="AFH12" s="583"/>
      <c r="AFI12" s="583"/>
      <c r="AFJ12" s="583"/>
      <c r="AFK12" s="583"/>
      <c r="AFL12" s="583"/>
      <c r="AFM12" s="583"/>
      <c r="AFN12" s="583"/>
      <c r="AFO12" s="583"/>
      <c r="AFP12" s="583"/>
      <c r="AFQ12" s="583"/>
      <c r="AFR12" s="583"/>
      <c r="AFS12" s="583"/>
      <c r="AFT12" s="583"/>
      <c r="AFU12" s="583"/>
      <c r="AFV12" s="583"/>
      <c r="AFW12" s="583"/>
      <c r="AFX12" s="583"/>
      <c r="AFY12" s="583"/>
      <c r="AFZ12" s="583"/>
      <c r="AGA12" s="583"/>
      <c r="AGB12" s="583"/>
      <c r="AGC12" s="583"/>
      <c r="AGD12" s="583"/>
      <c r="AGE12" s="583"/>
      <c r="AGF12" s="583"/>
      <c r="AGG12" s="583"/>
      <c r="AGH12" s="583"/>
      <c r="AGI12" s="583"/>
      <c r="AGJ12" s="583"/>
      <c r="AGK12" s="583"/>
      <c r="AGL12" s="583"/>
      <c r="AGM12" s="583"/>
      <c r="AGN12" s="583"/>
      <c r="AGO12" s="583"/>
      <c r="AGP12" s="583"/>
      <c r="AGQ12" s="583"/>
      <c r="AGR12" s="583"/>
      <c r="AGS12" s="583"/>
      <c r="AGT12" s="583"/>
      <c r="AGU12" s="583"/>
      <c r="AGV12" s="583"/>
      <c r="AGW12" s="583"/>
      <c r="AGX12" s="583"/>
      <c r="AGY12" s="583"/>
      <c r="AGZ12" s="583"/>
      <c r="AHA12" s="583"/>
      <c r="AHB12" s="583"/>
      <c r="AHC12" s="583"/>
      <c r="AHD12" s="583"/>
      <c r="AHE12" s="583"/>
      <c r="AHF12" s="583"/>
      <c r="AHG12" s="583"/>
      <c r="AHH12" s="583"/>
      <c r="AHI12" s="583"/>
      <c r="AHJ12" s="583"/>
      <c r="AHK12" s="583"/>
      <c r="AHL12" s="583"/>
      <c r="AHM12" s="583"/>
      <c r="AHN12" s="583"/>
      <c r="AHO12" s="583"/>
      <c r="AHP12" s="583"/>
      <c r="AHQ12" s="583"/>
      <c r="AHR12" s="583"/>
      <c r="AHS12" s="583"/>
      <c r="AHT12" s="583"/>
      <c r="AHU12" s="583"/>
      <c r="AHV12" s="583"/>
      <c r="AHW12" s="583"/>
      <c r="AHX12" s="583"/>
      <c r="AHY12" s="583"/>
      <c r="AHZ12" s="583"/>
      <c r="AIA12" s="583"/>
      <c r="AIB12" s="583"/>
      <c r="AIC12" s="583"/>
      <c r="AID12" s="583"/>
      <c r="AIE12" s="583"/>
      <c r="AIF12" s="583"/>
      <c r="AIG12" s="583"/>
      <c r="AIH12" s="583"/>
      <c r="AII12" s="583"/>
      <c r="AIJ12" s="583"/>
      <c r="AIK12" s="583"/>
      <c r="AIL12" s="583"/>
      <c r="AIM12" s="583"/>
      <c r="AIN12" s="583"/>
      <c r="AIO12" s="583"/>
      <c r="AIP12" s="583"/>
      <c r="AIQ12" s="583"/>
      <c r="AIR12" s="583"/>
      <c r="AIS12" s="583"/>
      <c r="AIT12" s="583"/>
      <c r="AIU12" s="583"/>
      <c r="AIV12" s="583"/>
      <c r="AIW12" s="583"/>
      <c r="AIX12" s="583"/>
      <c r="AIY12" s="583"/>
      <c r="AIZ12" s="583"/>
      <c r="AJA12" s="583"/>
      <c r="AJB12" s="583"/>
      <c r="AJC12" s="583"/>
      <c r="AJD12" s="583"/>
      <c r="AJE12" s="583"/>
      <c r="AJF12" s="583"/>
      <c r="AJG12" s="583"/>
      <c r="AJH12" s="583"/>
      <c r="AJI12" s="583"/>
      <c r="AJJ12" s="583"/>
      <c r="AJK12" s="583"/>
      <c r="AJL12" s="583"/>
      <c r="AJM12" s="583"/>
      <c r="AJN12" s="583"/>
      <c r="AJO12" s="583"/>
      <c r="AJP12" s="583"/>
      <c r="AJQ12" s="583"/>
      <c r="AJR12" s="583"/>
      <c r="AJS12" s="583"/>
      <c r="AJT12" s="583"/>
      <c r="AJU12" s="583"/>
      <c r="AJV12" s="583"/>
      <c r="AJW12" s="583"/>
      <c r="AJX12" s="583"/>
      <c r="AJY12" s="583"/>
      <c r="AJZ12" s="583"/>
      <c r="AKA12" s="583"/>
      <c r="AKB12" s="583"/>
      <c r="AKC12" s="583"/>
      <c r="AKD12" s="583"/>
      <c r="AKE12" s="583"/>
      <c r="AKF12" s="583"/>
      <c r="AKG12" s="583"/>
      <c r="AKH12" s="583"/>
      <c r="AKI12" s="583"/>
      <c r="AKJ12" s="583"/>
      <c r="AKK12" s="583"/>
      <c r="AKL12" s="583"/>
      <c r="AKM12" s="583"/>
      <c r="AKN12" s="583"/>
      <c r="AKO12" s="583"/>
      <c r="AKP12" s="583"/>
      <c r="AKQ12" s="583"/>
      <c r="AKR12" s="583"/>
      <c r="AKS12" s="583"/>
      <c r="AKT12" s="583"/>
      <c r="AKU12" s="583"/>
      <c r="AKV12" s="583"/>
      <c r="AKW12" s="583"/>
      <c r="AKX12" s="583"/>
      <c r="AKY12" s="583"/>
      <c r="AKZ12" s="583"/>
      <c r="ALA12" s="583"/>
      <c r="ALB12" s="583"/>
      <c r="ALC12" s="583"/>
      <c r="ALD12" s="583"/>
      <c r="ALE12" s="583"/>
      <c r="ALF12" s="583"/>
      <c r="ALG12" s="583"/>
      <c r="ALH12" s="583"/>
      <c r="ALI12" s="583"/>
      <c r="ALJ12" s="583"/>
      <c r="ALK12" s="583"/>
      <c r="ALL12" s="583"/>
      <c r="ALM12" s="583"/>
      <c r="ALN12" s="583"/>
      <c r="ALO12" s="583"/>
      <c r="ALP12" s="583"/>
      <c r="ALQ12" s="583"/>
      <c r="ALR12" s="583"/>
      <c r="ALS12" s="583"/>
      <c r="ALT12" s="583"/>
      <c r="ALU12" s="583"/>
      <c r="ALV12" s="583"/>
      <c r="ALW12" s="583"/>
      <c r="ALX12" s="583"/>
      <c r="ALY12" s="583"/>
      <c r="ALZ12" s="583"/>
      <c r="AMA12" s="583"/>
      <c r="AMB12" s="583"/>
      <c r="AMC12" s="583"/>
      <c r="AMD12" s="583"/>
      <c r="AME12" s="583"/>
      <c r="AMF12" s="583"/>
      <c r="AMG12" s="583"/>
      <c r="AMH12" s="583"/>
      <c r="AMI12" s="583"/>
      <c r="AMJ12" s="583"/>
      <c r="AMK12" s="583"/>
      <c r="AML12" s="583"/>
      <c r="AMM12" s="583"/>
      <c r="AMN12" s="583"/>
      <c r="AMO12" s="583"/>
      <c r="AMP12" s="583"/>
      <c r="AMQ12" s="583"/>
      <c r="AMR12" s="583"/>
      <c r="AMS12" s="583"/>
      <c r="AMT12" s="583"/>
      <c r="AMU12" s="583"/>
      <c r="AMV12" s="583"/>
      <c r="AMW12" s="583"/>
      <c r="AMX12" s="583"/>
      <c r="AMY12" s="583"/>
      <c r="AMZ12" s="583"/>
      <c r="ANA12" s="583"/>
      <c r="ANB12" s="583"/>
      <c r="ANC12" s="583"/>
      <c r="AND12" s="583"/>
      <c r="ANE12" s="583"/>
      <c r="ANF12" s="583"/>
      <c r="ANG12" s="583"/>
      <c r="ANH12" s="583"/>
      <c r="ANI12" s="583"/>
      <c r="ANJ12" s="583"/>
      <c r="ANK12" s="583"/>
      <c r="ANL12" s="583"/>
      <c r="ANM12" s="583"/>
      <c r="ANN12" s="583"/>
      <c r="ANO12" s="583"/>
      <c r="ANP12" s="583"/>
      <c r="ANQ12" s="583"/>
      <c r="ANR12" s="583"/>
      <c r="ANS12" s="583"/>
      <c r="ANT12" s="583"/>
      <c r="ANU12" s="583"/>
      <c r="ANV12" s="583"/>
      <c r="ANW12" s="583"/>
      <c r="ANX12" s="583"/>
      <c r="ANY12" s="583"/>
      <c r="ANZ12" s="583"/>
      <c r="AOA12" s="583"/>
      <c r="AOB12" s="583"/>
      <c r="AOC12" s="583"/>
      <c r="AOD12" s="583"/>
      <c r="AOE12" s="583"/>
      <c r="AOF12" s="583"/>
      <c r="AOG12" s="583"/>
      <c r="AOH12" s="583"/>
      <c r="AOI12" s="583"/>
      <c r="AOJ12" s="583"/>
      <c r="AOK12" s="583"/>
      <c r="AOL12" s="583"/>
      <c r="AOM12" s="583"/>
      <c r="AON12" s="583"/>
      <c r="AOO12" s="583"/>
      <c r="AOP12" s="583"/>
      <c r="AOQ12" s="583"/>
      <c r="AOR12" s="583"/>
      <c r="AOS12" s="583"/>
      <c r="AOT12" s="583"/>
      <c r="AOU12" s="583"/>
      <c r="AOV12" s="583"/>
      <c r="AOW12" s="583"/>
      <c r="AOX12" s="583"/>
      <c r="AOY12" s="583"/>
      <c r="AOZ12" s="583"/>
      <c r="APA12" s="583"/>
      <c r="APB12" s="583"/>
      <c r="APC12" s="583"/>
      <c r="APD12" s="583"/>
      <c r="APE12" s="583"/>
      <c r="APF12" s="583"/>
      <c r="APG12" s="583"/>
      <c r="APH12" s="583"/>
      <c r="API12" s="583"/>
      <c r="APJ12" s="583"/>
      <c r="APK12" s="583"/>
      <c r="APL12" s="583"/>
      <c r="APM12" s="583"/>
      <c r="APN12" s="583"/>
      <c r="APO12" s="583"/>
      <c r="APP12" s="583"/>
      <c r="APQ12" s="583"/>
      <c r="APR12" s="583"/>
      <c r="APS12" s="583"/>
      <c r="APT12" s="583"/>
      <c r="APU12" s="583"/>
      <c r="APV12" s="583"/>
      <c r="APW12" s="583"/>
      <c r="APX12" s="583"/>
      <c r="APY12" s="583"/>
      <c r="APZ12" s="583"/>
      <c r="AQA12" s="583"/>
      <c r="AQB12" s="583"/>
      <c r="AQC12" s="583"/>
      <c r="AQD12" s="583"/>
      <c r="AQE12" s="583"/>
      <c r="AQF12" s="583"/>
      <c r="AQG12" s="583"/>
      <c r="AQH12" s="583"/>
      <c r="AQI12" s="583"/>
      <c r="AQJ12" s="583"/>
      <c r="AQK12" s="583"/>
      <c r="AQL12" s="583"/>
      <c r="AQM12" s="583"/>
      <c r="AQN12" s="583"/>
      <c r="AQO12" s="583"/>
      <c r="AQP12" s="583"/>
      <c r="AQQ12" s="583"/>
      <c r="AQR12" s="583"/>
      <c r="AQS12" s="583"/>
      <c r="AQT12" s="583"/>
      <c r="AQU12" s="583"/>
      <c r="AQV12" s="583"/>
      <c r="AQW12" s="583"/>
      <c r="AQX12" s="583"/>
      <c r="AQY12" s="583"/>
      <c r="AQZ12" s="583"/>
      <c r="ARA12" s="583"/>
      <c r="ARB12" s="583"/>
      <c r="ARC12" s="583"/>
      <c r="ARD12" s="583"/>
      <c r="ARE12" s="583"/>
      <c r="ARF12" s="583"/>
      <c r="ARG12" s="583"/>
      <c r="ARH12" s="583"/>
      <c r="ARI12" s="583"/>
      <c r="ARJ12" s="583"/>
      <c r="ARK12" s="583"/>
      <c r="ARL12" s="583"/>
      <c r="ARM12" s="583"/>
      <c r="ARN12" s="583"/>
      <c r="ARO12" s="583"/>
      <c r="ARP12" s="583"/>
      <c r="ARQ12" s="583"/>
      <c r="ARR12" s="583"/>
      <c r="ARS12" s="583"/>
      <c r="ART12" s="583"/>
      <c r="ARU12" s="583"/>
      <c r="ARV12" s="583"/>
      <c r="ARW12" s="583"/>
      <c r="ARX12" s="583"/>
      <c r="ARY12" s="583"/>
      <c r="ARZ12" s="583"/>
      <c r="ASA12" s="583"/>
      <c r="ASB12" s="583"/>
      <c r="ASC12" s="583"/>
      <c r="ASD12" s="583"/>
      <c r="ASE12" s="583"/>
      <c r="ASF12" s="583"/>
      <c r="ASG12" s="583"/>
      <c r="ASH12" s="583"/>
      <c r="ASI12" s="583"/>
      <c r="ASJ12" s="583"/>
      <c r="ASK12" s="583"/>
      <c r="ASL12" s="583"/>
      <c r="ASM12" s="583"/>
      <c r="ASN12" s="583"/>
      <c r="ASO12" s="583"/>
      <c r="ASP12" s="583"/>
      <c r="ASQ12" s="583"/>
      <c r="ASR12" s="583"/>
      <c r="ASS12" s="583"/>
      <c r="AST12" s="583"/>
      <c r="ASU12" s="583"/>
      <c r="ASV12" s="583"/>
      <c r="ASW12" s="583"/>
      <c r="ASX12" s="583"/>
      <c r="ASY12" s="583"/>
      <c r="ASZ12" s="583"/>
      <c r="ATA12" s="583"/>
      <c r="ATB12" s="583"/>
      <c r="ATC12" s="583"/>
      <c r="ATD12" s="583"/>
      <c r="ATE12" s="583"/>
      <c r="ATF12" s="583"/>
      <c r="ATG12" s="583"/>
      <c r="ATH12" s="583"/>
      <c r="ATI12" s="583"/>
      <c r="ATJ12" s="583"/>
      <c r="ATK12" s="583"/>
      <c r="ATL12" s="583"/>
      <c r="ATM12" s="583"/>
      <c r="ATN12" s="583"/>
      <c r="ATO12" s="583"/>
      <c r="ATP12" s="583"/>
      <c r="ATQ12" s="583"/>
      <c r="ATR12" s="583"/>
      <c r="ATS12" s="583"/>
      <c r="ATT12" s="583"/>
      <c r="ATU12" s="583"/>
      <c r="ATV12" s="583"/>
      <c r="ATW12" s="583"/>
      <c r="ATX12" s="583"/>
      <c r="ATY12" s="583"/>
      <c r="ATZ12" s="583"/>
      <c r="AUA12" s="583"/>
      <c r="AUB12" s="583"/>
      <c r="AUC12" s="583"/>
      <c r="AUD12" s="583"/>
      <c r="AUE12" s="583"/>
      <c r="AUF12" s="583"/>
      <c r="AUG12" s="583"/>
      <c r="AUH12" s="583"/>
      <c r="AUI12" s="583"/>
      <c r="AUJ12" s="583"/>
      <c r="AUK12" s="583"/>
      <c r="AUL12" s="583"/>
      <c r="AUM12" s="583"/>
      <c r="AUN12" s="583"/>
      <c r="AUO12" s="583"/>
      <c r="AUP12" s="583"/>
      <c r="AUQ12" s="583"/>
      <c r="AUR12" s="583"/>
      <c r="AUS12" s="583"/>
      <c r="AUT12" s="583"/>
      <c r="AUU12" s="583"/>
      <c r="AUV12" s="583"/>
      <c r="AUW12" s="583"/>
      <c r="AUX12" s="583"/>
      <c r="AUY12" s="583"/>
      <c r="AUZ12" s="583"/>
      <c r="AVA12" s="583"/>
      <c r="AVB12" s="583"/>
      <c r="AVC12" s="583"/>
      <c r="AVD12" s="583"/>
      <c r="AVE12" s="583"/>
      <c r="AVF12" s="583"/>
      <c r="AVG12" s="583"/>
      <c r="AVH12" s="583"/>
      <c r="AVI12" s="583"/>
      <c r="AVJ12" s="583"/>
      <c r="AVK12" s="583"/>
      <c r="AVL12" s="583"/>
      <c r="AVM12" s="583"/>
      <c r="AVN12" s="583"/>
      <c r="AVO12" s="583"/>
      <c r="AVP12" s="583"/>
      <c r="AVQ12" s="583"/>
      <c r="AVR12" s="583"/>
      <c r="AVS12" s="583"/>
      <c r="AVT12" s="583"/>
      <c r="AVU12" s="583"/>
      <c r="AVV12" s="583"/>
      <c r="AVW12" s="583"/>
      <c r="AVX12" s="583"/>
      <c r="AVY12" s="583"/>
      <c r="AVZ12" s="583"/>
      <c r="AWA12" s="583"/>
      <c r="AWB12" s="583"/>
      <c r="AWC12" s="583"/>
      <c r="AWD12" s="583"/>
      <c r="AWE12" s="583"/>
      <c r="AWF12" s="583"/>
      <c r="AWG12" s="583"/>
      <c r="AWH12" s="583"/>
      <c r="AWI12" s="583"/>
      <c r="AWJ12" s="583"/>
      <c r="AWK12" s="583"/>
      <c r="AWL12" s="583"/>
      <c r="AWM12" s="583"/>
      <c r="AWN12" s="583"/>
      <c r="AWO12" s="583"/>
      <c r="AWP12" s="583"/>
      <c r="AWQ12" s="583"/>
      <c r="AWR12" s="583"/>
      <c r="AWS12" s="583"/>
      <c r="AWT12" s="583"/>
      <c r="AWU12" s="583"/>
      <c r="AWV12" s="583"/>
      <c r="AWW12" s="583"/>
      <c r="AWX12" s="583"/>
      <c r="AWY12" s="583"/>
      <c r="AWZ12" s="583"/>
      <c r="AXA12" s="583"/>
      <c r="AXB12" s="583"/>
      <c r="AXC12" s="583"/>
      <c r="AXD12" s="583"/>
      <c r="AXE12" s="583"/>
      <c r="AXF12" s="583"/>
      <c r="AXG12" s="583"/>
      <c r="AXH12" s="583"/>
      <c r="AXI12" s="583"/>
      <c r="AXJ12" s="583"/>
      <c r="AXK12" s="583"/>
      <c r="AXL12" s="583"/>
      <c r="AXM12" s="583"/>
      <c r="AXN12" s="583"/>
      <c r="AXO12" s="583"/>
      <c r="AXP12" s="583"/>
      <c r="AXQ12" s="583"/>
      <c r="AXR12" s="583"/>
      <c r="AXS12" s="583"/>
      <c r="AXT12" s="583"/>
      <c r="AXU12" s="583"/>
      <c r="AXV12" s="583"/>
      <c r="AXW12" s="583"/>
      <c r="AXX12" s="583"/>
      <c r="AXY12" s="583"/>
      <c r="AXZ12" s="583"/>
      <c r="AYA12" s="583"/>
      <c r="AYB12" s="583"/>
      <c r="AYC12" s="583"/>
      <c r="AYD12" s="583"/>
      <c r="AYE12" s="583"/>
      <c r="AYF12" s="583"/>
      <c r="AYG12" s="583"/>
      <c r="AYH12" s="583"/>
      <c r="AYI12" s="583"/>
      <c r="AYJ12" s="583"/>
      <c r="AYK12" s="583"/>
      <c r="AYL12" s="583"/>
      <c r="AYM12" s="583"/>
      <c r="AYN12" s="583"/>
      <c r="AYO12" s="583"/>
      <c r="AYP12" s="583"/>
      <c r="AYQ12" s="583"/>
      <c r="AYR12" s="583"/>
      <c r="AYS12" s="583"/>
      <c r="AYT12" s="583"/>
      <c r="AYU12" s="583"/>
      <c r="AYV12" s="583"/>
      <c r="AYW12" s="583"/>
      <c r="AYX12" s="583"/>
      <c r="AYY12" s="583"/>
      <c r="AYZ12" s="583"/>
      <c r="AZA12" s="583"/>
      <c r="AZB12" s="583"/>
      <c r="AZC12" s="583"/>
      <c r="AZD12" s="583"/>
      <c r="AZE12" s="583"/>
      <c r="AZF12" s="583"/>
      <c r="AZG12" s="583"/>
      <c r="AZH12" s="583"/>
      <c r="AZI12" s="583"/>
      <c r="AZJ12" s="583"/>
      <c r="AZK12" s="583"/>
      <c r="AZL12" s="583"/>
      <c r="AZM12" s="583"/>
      <c r="AZN12" s="583"/>
      <c r="AZO12" s="583"/>
      <c r="AZP12" s="583"/>
      <c r="AZQ12" s="583"/>
      <c r="AZR12" s="583"/>
      <c r="AZS12" s="583"/>
      <c r="AZT12" s="583"/>
      <c r="AZU12" s="583"/>
      <c r="AZV12" s="583"/>
      <c r="AZW12" s="583"/>
      <c r="AZX12" s="583"/>
      <c r="AZY12" s="583"/>
      <c r="AZZ12" s="583"/>
      <c r="BAA12" s="583"/>
      <c r="BAB12" s="583"/>
      <c r="BAC12" s="583"/>
      <c r="BAD12" s="583"/>
      <c r="BAE12" s="583"/>
      <c r="BAF12" s="583"/>
      <c r="BAG12" s="583"/>
      <c r="BAH12" s="583"/>
      <c r="BAI12" s="583"/>
      <c r="BAJ12" s="583"/>
      <c r="BAK12" s="583"/>
      <c r="BAL12" s="583"/>
      <c r="BAM12" s="583"/>
      <c r="BAN12" s="583"/>
      <c r="BAO12" s="583"/>
      <c r="BAP12" s="583"/>
      <c r="BAQ12" s="583"/>
      <c r="BAR12" s="583"/>
      <c r="BAS12" s="583"/>
      <c r="BAT12" s="583"/>
      <c r="BAU12" s="583"/>
      <c r="BAV12" s="583"/>
      <c r="BAW12" s="583"/>
      <c r="BAX12" s="583"/>
      <c r="BAY12" s="583"/>
      <c r="BAZ12" s="583"/>
      <c r="BBA12" s="583"/>
      <c r="BBB12" s="583"/>
      <c r="BBC12" s="583"/>
      <c r="BBD12" s="583"/>
      <c r="BBE12" s="583"/>
      <c r="BBF12" s="583"/>
      <c r="BBG12" s="583"/>
      <c r="BBH12" s="583"/>
      <c r="BBI12" s="583"/>
      <c r="BBJ12" s="583"/>
      <c r="BBK12" s="583"/>
      <c r="BBL12" s="583"/>
      <c r="BBM12" s="583"/>
      <c r="BBN12" s="583"/>
      <c r="BBO12" s="583"/>
      <c r="BBP12" s="583"/>
      <c r="BBQ12" s="583"/>
      <c r="BBR12" s="583"/>
      <c r="BBS12" s="583"/>
      <c r="BBT12" s="583"/>
      <c r="BBU12" s="583"/>
      <c r="BBV12" s="583"/>
      <c r="BBW12" s="583"/>
      <c r="BBX12" s="583"/>
      <c r="BBY12" s="583"/>
      <c r="BBZ12" s="583"/>
      <c r="BCA12" s="583"/>
      <c r="BCB12" s="583"/>
      <c r="BCC12" s="583"/>
      <c r="BCD12" s="583"/>
      <c r="BCE12" s="583"/>
      <c r="BCF12" s="583"/>
      <c r="BCG12" s="583"/>
      <c r="BCH12" s="583"/>
      <c r="BCI12" s="583"/>
      <c r="BCJ12" s="583"/>
      <c r="BCK12" s="583"/>
      <c r="BCL12" s="583"/>
      <c r="BCM12" s="583"/>
      <c r="BCN12" s="583"/>
      <c r="BCO12" s="583"/>
      <c r="BCP12" s="583"/>
      <c r="BCQ12" s="583"/>
      <c r="BCR12" s="583"/>
      <c r="BCS12" s="583"/>
      <c r="BCT12" s="583"/>
      <c r="BCU12" s="583"/>
      <c r="BCV12" s="583"/>
      <c r="BCW12" s="583"/>
      <c r="BCX12" s="583"/>
      <c r="BCY12" s="583"/>
      <c r="BCZ12" s="583"/>
      <c r="BDA12" s="583"/>
      <c r="BDB12" s="583"/>
      <c r="BDC12" s="583"/>
      <c r="BDD12" s="583"/>
      <c r="BDE12" s="583"/>
      <c r="BDF12" s="583"/>
      <c r="BDG12" s="583"/>
      <c r="BDH12" s="583"/>
      <c r="BDI12" s="583"/>
      <c r="BDJ12" s="583"/>
      <c r="BDK12" s="583"/>
      <c r="BDL12" s="583"/>
      <c r="BDM12" s="583"/>
      <c r="BDN12" s="583"/>
      <c r="BDO12" s="583"/>
      <c r="BDP12" s="583"/>
      <c r="BDQ12" s="583"/>
      <c r="BDR12" s="583"/>
      <c r="BDS12" s="583"/>
      <c r="BDT12" s="583"/>
      <c r="BDU12" s="583"/>
      <c r="BDV12" s="583"/>
      <c r="BDW12" s="583"/>
      <c r="BDX12" s="583"/>
      <c r="BDY12" s="583"/>
      <c r="BDZ12" s="583"/>
      <c r="BEA12" s="583"/>
      <c r="BEB12" s="583"/>
      <c r="BEC12" s="583"/>
      <c r="BED12" s="583"/>
      <c r="BEE12" s="583"/>
      <c r="BEF12" s="583"/>
      <c r="BEG12" s="583"/>
      <c r="BEH12" s="583"/>
      <c r="BEI12" s="583"/>
      <c r="BEJ12" s="583"/>
      <c r="BEK12" s="583"/>
      <c r="BEL12" s="583"/>
      <c r="BEM12" s="583"/>
      <c r="BEN12" s="583"/>
      <c r="BEO12" s="583"/>
      <c r="BEP12" s="583"/>
      <c r="BEQ12" s="583"/>
      <c r="BER12" s="583"/>
      <c r="BES12" s="583"/>
      <c r="BET12" s="583"/>
      <c r="BEU12" s="583"/>
      <c r="BEV12" s="583"/>
      <c r="BEW12" s="583"/>
      <c r="BEX12" s="583"/>
      <c r="BEY12" s="583"/>
      <c r="BEZ12" s="583"/>
      <c r="BFA12" s="583"/>
      <c r="BFB12" s="583"/>
      <c r="BFC12" s="583"/>
      <c r="BFD12" s="583"/>
      <c r="BFE12" s="583"/>
      <c r="BFF12" s="583"/>
      <c r="BFG12" s="583"/>
      <c r="BFH12" s="583"/>
      <c r="BFI12" s="583"/>
      <c r="BFJ12" s="583"/>
      <c r="BFK12" s="583"/>
      <c r="BFL12" s="583"/>
      <c r="BFM12" s="583"/>
      <c r="BFN12" s="583"/>
      <c r="BFO12" s="583"/>
      <c r="BFP12" s="583"/>
      <c r="BFQ12" s="583"/>
      <c r="BFR12" s="583"/>
      <c r="BFS12" s="583"/>
      <c r="BFT12" s="583"/>
      <c r="BFU12" s="583"/>
      <c r="BFV12" s="583"/>
      <c r="BFW12" s="583"/>
      <c r="BFX12" s="583"/>
      <c r="BFY12" s="583"/>
      <c r="BFZ12" s="583"/>
      <c r="BGA12" s="583"/>
      <c r="BGB12" s="583"/>
      <c r="BGC12" s="583"/>
      <c r="BGD12" s="583"/>
      <c r="BGE12" s="583"/>
      <c r="BGF12" s="583"/>
      <c r="BGG12" s="583"/>
      <c r="BGH12" s="583"/>
      <c r="BGI12" s="583"/>
      <c r="BGJ12" s="583"/>
      <c r="BGK12" s="583"/>
      <c r="BGL12" s="583"/>
      <c r="BGM12" s="583"/>
      <c r="BGN12" s="583"/>
      <c r="BGO12" s="583"/>
      <c r="BGP12" s="583"/>
      <c r="BGQ12" s="583"/>
      <c r="BGR12" s="583"/>
      <c r="BGS12" s="583"/>
      <c r="BGT12" s="583"/>
      <c r="BGU12" s="583"/>
      <c r="BGV12" s="583"/>
      <c r="BGW12" s="583"/>
      <c r="BGX12" s="583"/>
      <c r="BGY12" s="583"/>
      <c r="BGZ12" s="583"/>
      <c r="BHA12" s="583"/>
      <c r="BHB12" s="583"/>
      <c r="BHC12" s="583"/>
      <c r="BHD12" s="583"/>
      <c r="BHE12" s="583"/>
      <c r="BHF12" s="583"/>
      <c r="BHG12" s="583"/>
      <c r="BHH12" s="583"/>
      <c r="BHI12" s="583"/>
      <c r="BHJ12" s="583"/>
      <c r="BHK12" s="583"/>
      <c r="BHL12" s="583"/>
      <c r="BHM12" s="583"/>
      <c r="BHN12" s="583"/>
      <c r="BHO12" s="583"/>
      <c r="BHP12" s="583"/>
      <c r="BHQ12" s="583"/>
      <c r="BHR12" s="583"/>
      <c r="BHS12" s="583"/>
      <c r="BHT12" s="583"/>
      <c r="BHU12" s="583"/>
      <c r="BHV12" s="583"/>
      <c r="BHW12" s="583"/>
      <c r="BHX12" s="583"/>
      <c r="BHY12" s="583"/>
      <c r="BHZ12" s="583"/>
      <c r="BIA12" s="583"/>
      <c r="BIB12" s="583"/>
      <c r="BIC12" s="583"/>
      <c r="BID12" s="583"/>
      <c r="BIE12" s="583"/>
      <c r="BIF12" s="583"/>
      <c r="BIG12" s="583"/>
      <c r="BIH12" s="583"/>
      <c r="BII12" s="583"/>
      <c r="BIJ12" s="583"/>
      <c r="BIK12" s="583"/>
      <c r="BIL12" s="583"/>
      <c r="BIM12" s="583"/>
      <c r="BIN12" s="583"/>
      <c r="BIO12" s="583"/>
      <c r="BIP12" s="583"/>
      <c r="BIQ12" s="583"/>
      <c r="BIR12" s="583"/>
      <c r="BIS12" s="583"/>
      <c r="BIT12" s="583"/>
      <c r="BIU12" s="583"/>
      <c r="BIV12" s="583"/>
      <c r="BIW12" s="583"/>
      <c r="BIX12" s="583"/>
      <c r="BIY12" s="583"/>
      <c r="BIZ12" s="583"/>
      <c r="BJA12" s="583"/>
      <c r="BJB12" s="583"/>
      <c r="BJC12" s="583"/>
      <c r="BJD12" s="583"/>
      <c r="BJE12" s="583"/>
      <c r="BJF12" s="583"/>
      <c r="BJG12" s="583"/>
      <c r="BJH12" s="583"/>
      <c r="BJI12" s="583"/>
      <c r="BJJ12" s="583"/>
      <c r="BJK12" s="583"/>
      <c r="BJL12" s="583"/>
      <c r="BJM12" s="583"/>
      <c r="BJN12" s="583"/>
      <c r="BJO12" s="583"/>
      <c r="BJP12" s="583"/>
      <c r="BJQ12" s="583"/>
      <c r="BJR12" s="583"/>
      <c r="BJS12" s="583"/>
      <c r="BJT12" s="583"/>
      <c r="BJU12" s="583"/>
      <c r="BJV12" s="583"/>
      <c r="BJW12" s="583"/>
      <c r="BJX12" s="583"/>
      <c r="BJY12" s="583"/>
      <c r="BJZ12" s="583"/>
      <c r="BKA12" s="583"/>
      <c r="BKB12" s="583"/>
      <c r="BKC12" s="583"/>
      <c r="BKD12" s="583"/>
      <c r="BKE12" s="583"/>
      <c r="BKF12" s="583"/>
      <c r="BKG12" s="583"/>
      <c r="BKH12" s="583"/>
      <c r="BKI12" s="583"/>
      <c r="BKJ12" s="583"/>
      <c r="BKK12" s="583"/>
      <c r="BKL12" s="583"/>
      <c r="BKM12" s="583"/>
      <c r="BKN12" s="583"/>
      <c r="BKO12" s="583"/>
      <c r="BKP12" s="583"/>
      <c r="BKQ12" s="583"/>
      <c r="BKR12" s="583"/>
      <c r="BKS12" s="583"/>
      <c r="BKT12" s="583"/>
      <c r="BKU12" s="583"/>
      <c r="BKV12" s="583"/>
      <c r="BKW12" s="583"/>
      <c r="BKX12" s="583"/>
      <c r="BKY12" s="583"/>
      <c r="BKZ12" s="583"/>
      <c r="BLA12" s="583"/>
      <c r="BLB12" s="583"/>
      <c r="BLC12" s="583"/>
      <c r="BLD12" s="583"/>
      <c r="BLE12" s="583"/>
      <c r="BLF12" s="583"/>
      <c r="BLG12" s="583"/>
      <c r="BLH12" s="583"/>
      <c r="BLI12" s="583"/>
      <c r="BLJ12" s="583"/>
      <c r="BLK12" s="583"/>
      <c r="BLL12" s="583"/>
      <c r="BLM12" s="583"/>
      <c r="BLN12" s="583"/>
      <c r="BLO12" s="583"/>
      <c r="BLP12" s="583"/>
      <c r="BLQ12" s="583"/>
      <c r="BLR12" s="583"/>
      <c r="BLS12" s="583"/>
      <c r="BLT12" s="583"/>
      <c r="BLU12" s="583"/>
      <c r="BLV12" s="583"/>
      <c r="BLW12" s="583"/>
      <c r="BLX12" s="583"/>
      <c r="BLY12" s="583"/>
      <c r="BLZ12" s="583"/>
      <c r="BMA12" s="583"/>
      <c r="BMB12" s="583"/>
      <c r="BMC12" s="583"/>
      <c r="BMD12" s="583"/>
      <c r="BME12" s="583"/>
      <c r="BMF12" s="583"/>
      <c r="BMG12" s="583"/>
      <c r="BMH12" s="583"/>
      <c r="BMI12" s="583"/>
      <c r="BMJ12" s="583"/>
      <c r="BMK12" s="583"/>
      <c r="BML12" s="583"/>
      <c r="BMM12" s="583"/>
      <c r="BMN12" s="583"/>
      <c r="BMO12" s="583"/>
      <c r="BMP12" s="583"/>
      <c r="BMQ12" s="583"/>
      <c r="BMR12" s="583"/>
      <c r="BMS12" s="583"/>
      <c r="BMT12" s="583"/>
      <c r="BMU12" s="583"/>
      <c r="BMV12" s="583"/>
      <c r="BMW12" s="583"/>
      <c r="BMX12" s="583"/>
      <c r="BMY12" s="583"/>
      <c r="BMZ12" s="583"/>
      <c r="BNA12" s="583"/>
      <c r="BNB12" s="583"/>
      <c r="BNC12" s="583"/>
      <c r="BND12" s="583"/>
      <c r="BNE12" s="583"/>
      <c r="BNF12" s="583"/>
      <c r="BNG12" s="583"/>
      <c r="BNH12" s="583"/>
      <c r="BNI12" s="583"/>
      <c r="BNJ12" s="583"/>
      <c r="BNK12" s="583"/>
      <c r="BNL12" s="583"/>
      <c r="BNM12" s="583"/>
      <c r="BNN12" s="583"/>
      <c r="BNO12" s="583"/>
      <c r="BNP12" s="583"/>
      <c r="BNQ12" s="583"/>
      <c r="BNR12" s="583"/>
      <c r="BNS12" s="583"/>
      <c r="BNT12" s="583"/>
      <c r="BNU12" s="583"/>
      <c r="BNV12" s="583"/>
      <c r="BNW12" s="583"/>
      <c r="BNX12" s="583"/>
      <c r="BNY12" s="583"/>
      <c r="BNZ12" s="583"/>
      <c r="BOA12" s="583"/>
      <c r="BOB12" s="583"/>
      <c r="BOC12" s="583"/>
      <c r="BOD12" s="583"/>
      <c r="BOE12" s="583"/>
      <c r="BOF12" s="583"/>
      <c r="BOG12" s="583"/>
      <c r="BOH12" s="583"/>
      <c r="BOI12" s="583"/>
      <c r="BOJ12" s="583"/>
      <c r="BOK12" s="583"/>
      <c r="BOL12" s="583"/>
      <c r="BOM12" s="583"/>
      <c r="BON12" s="583"/>
      <c r="BOO12" s="583"/>
      <c r="BOP12" s="583"/>
      <c r="BOQ12" s="583"/>
      <c r="BOR12" s="583"/>
      <c r="BOS12" s="583"/>
      <c r="BOT12" s="583"/>
      <c r="BOU12" s="583"/>
      <c r="BOV12" s="583"/>
      <c r="BOW12" s="583"/>
      <c r="BOX12" s="583"/>
      <c r="BOY12" s="583"/>
      <c r="BOZ12" s="583"/>
      <c r="BPA12" s="583"/>
      <c r="BPB12" s="583"/>
      <c r="BPC12" s="583"/>
      <c r="BPD12" s="583"/>
      <c r="BPE12" s="583"/>
      <c r="BPF12" s="583"/>
      <c r="BPG12" s="583"/>
      <c r="BPH12" s="583"/>
      <c r="BPI12" s="583"/>
      <c r="BPJ12" s="583"/>
      <c r="BPK12" s="583"/>
      <c r="BPL12" s="583"/>
      <c r="BPM12" s="583"/>
      <c r="BPN12" s="583"/>
      <c r="BPO12" s="583"/>
      <c r="BPP12" s="583"/>
      <c r="BPQ12" s="583"/>
      <c r="BPR12" s="583"/>
      <c r="BPS12" s="583"/>
      <c r="BPT12" s="583"/>
      <c r="BPU12" s="583"/>
      <c r="BPV12" s="583"/>
      <c r="BPW12" s="583"/>
      <c r="BPX12" s="583"/>
      <c r="BPY12" s="583"/>
      <c r="BPZ12" s="583"/>
      <c r="BQA12" s="583"/>
      <c r="BQB12" s="583"/>
      <c r="BQC12" s="583"/>
      <c r="BQD12" s="583"/>
      <c r="BQE12" s="583"/>
      <c r="BQF12" s="583"/>
      <c r="BQG12" s="583"/>
      <c r="BQH12" s="583"/>
      <c r="BQI12" s="583"/>
      <c r="BQJ12" s="583"/>
      <c r="BQK12" s="583"/>
      <c r="BQL12" s="583"/>
      <c r="BQM12" s="583"/>
      <c r="BQN12" s="583"/>
      <c r="BQO12" s="583"/>
      <c r="BQP12" s="583"/>
      <c r="BQQ12" s="583"/>
      <c r="BQR12" s="583"/>
      <c r="BQS12" s="583"/>
      <c r="BQT12" s="583"/>
      <c r="BQU12" s="583"/>
      <c r="BQV12" s="583"/>
      <c r="BQW12" s="583"/>
      <c r="BQX12" s="583"/>
      <c r="BQY12" s="583"/>
      <c r="BQZ12" s="583"/>
      <c r="BRA12" s="583"/>
      <c r="BRB12" s="583"/>
      <c r="BRC12" s="583"/>
      <c r="BRD12" s="583"/>
      <c r="BRE12" s="583"/>
      <c r="BRF12" s="583"/>
      <c r="BRG12" s="583"/>
      <c r="BRH12" s="583"/>
      <c r="BRI12" s="583"/>
      <c r="BRJ12" s="583"/>
      <c r="BRK12" s="583"/>
      <c r="BRL12" s="583"/>
      <c r="BRM12" s="583"/>
      <c r="BRN12" s="583"/>
      <c r="BRO12" s="583"/>
      <c r="BRP12" s="583"/>
      <c r="BRQ12" s="583"/>
      <c r="BRR12" s="583"/>
      <c r="BRS12" s="583"/>
      <c r="BRT12" s="583"/>
      <c r="BRU12" s="583"/>
      <c r="BRV12" s="583"/>
      <c r="BRW12" s="583"/>
      <c r="BRX12" s="583"/>
      <c r="BRY12" s="583"/>
      <c r="BRZ12" s="583"/>
      <c r="BSA12" s="583"/>
      <c r="BSB12" s="583"/>
      <c r="BSC12" s="583"/>
      <c r="BSD12" s="583"/>
      <c r="BSE12" s="583"/>
      <c r="BSF12" s="583"/>
      <c r="BSG12" s="583"/>
      <c r="BSH12" s="583"/>
      <c r="BSI12" s="583"/>
      <c r="BSJ12" s="583"/>
      <c r="BSK12" s="583"/>
      <c r="BSL12" s="583"/>
      <c r="BSM12" s="583"/>
      <c r="BSN12" s="583"/>
      <c r="BSO12" s="583"/>
      <c r="BSP12" s="583"/>
      <c r="BSQ12" s="583"/>
      <c r="BSR12" s="583"/>
      <c r="BSS12" s="583"/>
      <c r="BST12" s="583"/>
      <c r="BSU12" s="583"/>
      <c r="BSV12" s="583"/>
      <c r="BSW12" s="583"/>
      <c r="BSX12" s="583"/>
      <c r="BSY12" s="583"/>
      <c r="BSZ12" s="583"/>
      <c r="BTA12" s="583"/>
      <c r="BTB12" s="583"/>
      <c r="BTC12" s="583"/>
      <c r="BTD12" s="583"/>
      <c r="BTE12" s="583"/>
      <c r="BTF12" s="583"/>
      <c r="BTG12" s="583"/>
      <c r="BTH12" s="583"/>
      <c r="BTI12" s="583"/>
      <c r="BTJ12" s="583"/>
      <c r="BTK12" s="583"/>
      <c r="BTL12" s="583"/>
      <c r="BTM12" s="583"/>
      <c r="BTN12" s="583"/>
      <c r="BTO12" s="583"/>
      <c r="BTP12" s="583"/>
      <c r="BTQ12" s="583"/>
      <c r="BTR12" s="583"/>
      <c r="BTS12" s="583"/>
      <c r="BTT12" s="583"/>
      <c r="BTU12" s="583"/>
      <c r="BTV12" s="583"/>
      <c r="BTW12" s="583"/>
      <c r="BTX12" s="583"/>
      <c r="BTY12" s="583"/>
      <c r="BTZ12" s="583"/>
      <c r="BUA12" s="583"/>
      <c r="BUB12" s="583"/>
      <c r="BUC12" s="583"/>
      <c r="BUD12" s="583"/>
      <c r="BUE12" s="583"/>
      <c r="BUF12" s="583"/>
      <c r="BUG12" s="583"/>
      <c r="BUH12" s="583"/>
      <c r="BUI12" s="583"/>
      <c r="BUJ12" s="583"/>
      <c r="BUK12" s="583"/>
      <c r="BUL12" s="583"/>
      <c r="BUM12" s="583"/>
      <c r="BUN12" s="583"/>
      <c r="BUO12" s="583"/>
      <c r="BUP12" s="583"/>
      <c r="BUQ12" s="583"/>
      <c r="BUR12" s="583"/>
      <c r="BUS12" s="583"/>
      <c r="BUT12" s="583"/>
      <c r="BUU12" s="583"/>
      <c r="BUV12" s="583"/>
      <c r="BUW12" s="583"/>
      <c r="BUX12" s="583"/>
      <c r="BUY12" s="583"/>
      <c r="BUZ12" s="583"/>
      <c r="BVA12" s="583"/>
      <c r="BVB12" s="583"/>
      <c r="BVC12" s="583"/>
      <c r="BVD12" s="583"/>
      <c r="BVE12" s="583"/>
      <c r="BVF12" s="583"/>
      <c r="BVG12" s="583"/>
      <c r="BVH12" s="583"/>
      <c r="BVI12" s="583"/>
      <c r="BVJ12" s="583"/>
      <c r="BVK12" s="583"/>
      <c r="BVL12" s="583"/>
      <c r="BVM12" s="583"/>
      <c r="BVN12" s="583"/>
      <c r="BVO12" s="583"/>
      <c r="BVP12" s="583"/>
      <c r="BVQ12" s="583"/>
      <c r="BVR12" s="583"/>
      <c r="BVS12" s="583"/>
      <c r="BVT12" s="583"/>
      <c r="BVU12" s="583"/>
      <c r="BVV12" s="583"/>
      <c r="BVW12" s="583"/>
      <c r="BVX12" s="583"/>
      <c r="BVY12" s="583"/>
      <c r="BVZ12" s="583"/>
      <c r="BWA12" s="583"/>
      <c r="BWB12" s="583"/>
      <c r="BWC12" s="583"/>
      <c r="BWD12" s="583"/>
      <c r="BWE12" s="583"/>
      <c r="BWF12" s="583"/>
      <c r="BWG12" s="583"/>
      <c r="BWH12" s="583"/>
      <c r="BWI12" s="583"/>
      <c r="BWJ12" s="583"/>
      <c r="BWK12" s="583"/>
      <c r="BWL12" s="583"/>
      <c r="BWM12" s="583"/>
      <c r="BWN12" s="583"/>
      <c r="BWO12" s="583"/>
      <c r="BWP12" s="583"/>
      <c r="BWQ12" s="583"/>
      <c r="BWR12" s="583"/>
      <c r="BWS12" s="583"/>
      <c r="BWT12" s="583"/>
      <c r="BWU12" s="583"/>
      <c r="BWV12" s="583"/>
      <c r="BWW12" s="583"/>
      <c r="BWX12" s="583"/>
      <c r="BWY12" s="583"/>
      <c r="BWZ12" s="583"/>
      <c r="BXA12" s="583"/>
      <c r="BXB12" s="583"/>
      <c r="BXC12" s="583"/>
      <c r="BXD12" s="583"/>
      <c r="BXE12" s="583"/>
      <c r="BXF12" s="583"/>
      <c r="BXG12" s="583"/>
      <c r="BXH12" s="583"/>
      <c r="BXI12" s="583"/>
      <c r="BXJ12" s="583"/>
      <c r="BXK12" s="583"/>
      <c r="BXL12" s="583"/>
      <c r="BXM12" s="583"/>
      <c r="BXN12" s="583"/>
      <c r="BXO12" s="583"/>
      <c r="BXP12" s="583"/>
      <c r="BXQ12" s="583"/>
      <c r="BXR12" s="583"/>
      <c r="BXS12" s="583"/>
      <c r="BXT12" s="583"/>
      <c r="BXU12" s="583"/>
      <c r="BXV12" s="583"/>
      <c r="BXW12" s="583"/>
      <c r="BXX12" s="583"/>
      <c r="BXY12" s="583"/>
      <c r="BXZ12" s="583"/>
      <c r="BYA12" s="583"/>
      <c r="BYB12" s="583"/>
      <c r="BYC12" s="583"/>
      <c r="BYD12" s="583"/>
      <c r="BYE12" s="583"/>
      <c r="BYF12" s="583"/>
      <c r="BYG12" s="583"/>
      <c r="BYH12" s="583"/>
      <c r="BYI12" s="583"/>
      <c r="BYJ12" s="583"/>
      <c r="BYK12" s="583"/>
      <c r="BYL12" s="583"/>
      <c r="BYM12" s="583"/>
      <c r="BYN12" s="583"/>
      <c r="BYO12" s="583"/>
      <c r="BYP12" s="583"/>
      <c r="BYQ12" s="583"/>
      <c r="BYR12" s="583"/>
      <c r="BYS12" s="583"/>
      <c r="BYT12" s="583"/>
      <c r="BYU12" s="583"/>
      <c r="BYV12" s="583"/>
      <c r="BYW12" s="583"/>
      <c r="BYX12" s="583"/>
      <c r="BYY12" s="583"/>
      <c r="BYZ12" s="583"/>
      <c r="BZA12" s="583"/>
      <c r="BZB12" s="583"/>
      <c r="BZC12" s="583"/>
      <c r="BZD12" s="583"/>
      <c r="BZE12" s="583"/>
      <c r="BZF12" s="583"/>
      <c r="BZG12" s="583"/>
      <c r="BZH12" s="583"/>
      <c r="BZI12" s="583"/>
      <c r="BZJ12" s="583"/>
      <c r="BZK12" s="583"/>
      <c r="BZL12" s="583"/>
      <c r="BZM12" s="583"/>
      <c r="BZN12" s="583"/>
      <c r="BZO12" s="583"/>
      <c r="BZP12" s="583"/>
      <c r="BZQ12" s="583"/>
      <c r="BZR12" s="583"/>
      <c r="BZS12" s="583"/>
      <c r="BZT12" s="583"/>
      <c r="BZU12" s="583"/>
      <c r="BZV12" s="583"/>
      <c r="BZW12" s="583"/>
      <c r="BZX12" s="583"/>
      <c r="BZY12" s="583"/>
      <c r="BZZ12" s="583"/>
      <c r="CAA12" s="583"/>
      <c r="CAB12" s="583"/>
      <c r="CAC12" s="583"/>
      <c r="CAD12" s="583"/>
      <c r="CAE12" s="583"/>
      <c r="CAF12" s="583"/>
      <c r="CAG12" s="583"/>
      <c r="CAH12" s="583"/>
      <c r="CAI12" s="583"/>
      <c r="CAJ12" s="583"/>
      <c r="CAK12" s="583"/>
      <c r="CAL12" s="583"/>
      <c r="CAM12" s="583"/>
      <c r="CAN12" s="583"/>
      <c r="CAO12" s="583"/>
      <c r="CAP12" s="583"/>
      <c r="CAQ12" s="583"/>
      <c r="CAR12" s="583"/>
      <c r="CAS12" s="583"/>
      <c r="CAT12" s="583"/>
      <c r="CAU12" s="583"/>
      <c r="CAV12" s="583"/>
      <c r="CAW12" s="583"/>
      <c r="CAX12" s="583"/>
      <c r="CAY12" s="583"/>
      <c r="CAZ12" s="583"/>
      <c r="CBA12" s="583"/>
      <c r="CBB12" s="583"/>
      <c r="CBC12" s="583"/>
      <c r="CBD12" s="583"/>
      <c r="CBE12" s="583"/>
      <c r="CBF12" s="583"/>
      <c r="CBG12" s="583"/>
      <c r="CBH12" s="583"/>
      <c r="CBI12" s="583"/>
      <c r="CBJ12" s="583"/>
      <c r="CBK12" s="583"/>
      <c r="CBL12" s="583"/>
      <c r="CBM12" s="583"/>
      <c r="CBN12" s="583"/>
      <c r="CBO12" s="583"/>
      <c r="CBP12" s="583"/>
      <c r="CBQ12" s="583"/>
      <c r="CBR12" s="583"/>
      <c r="CBS12" s="583"/>
      <c r="CBT12" s="583"/>
      <c r="CBU12" s="583"/>
      <c r="CBV12" s="583"/>
      <c r="CBW12" s="583"/>
      <c r="CBX12" s="583"/>
      <c r="CBY12" s="583"/>
      <c r="CBZ12" s="583"/>
    </row>
    <row r="13" spans="1:2106">
      <c r="A13" s="611"/>
      <c r="B13" s="617"/>
      <c r="C13" s="613">
        <f t="shared" si="0"/>
        <v>0</v>
      </c>
      <c r="D13" s="613">
        <f>IF(B13&gt;0,VLOOKUP(A13,'Lista Suspensa'!$A$1:$F$92,3,),0)</f>
        <v>0</v>
      </c>
      <c r="E13" s="613">
        <f>IF(OR(B13&gt;0,C13&gt;0),VLOOKUP(A13,'Lista Suspensa'!$A$1:$F$90,4,),0)</f>
        <v>0</v>
      </c>
      <c r="F13" s="613">
        <f>IF(OR(B13&gt;0,C13&gt;0),VLOOKUP(A13,'Lista Suspensa'!$A$1:$F$90,5,),0)</f>
        <v>0</v>
      </c>
      <c r="G13" s="402">
        <f>IF(OR(B13&gt;0,C13&gt;0),VLOOKUP(A13,'Lista Suspensa'!$A$1:$F$90,6,),0)</f>
        <v>0</v>
      </c>
      <c r="H13" s="617"/>
      <c r="I13" s="613">
        <f t="shared" si="12"/>
        <v>0</v>
      </c>
      <c r="J13" s="613">
        <f>IF(H13&gt;0,VLOOKUP(A13,'Lista Suspensa'!$A$1:$F$92,3,),0)</f>
        <v>0</v>
      </c>
      <c r="K13" s="613">
        <f>IF(OR(H13&gt;0,I13&gt;0),VLOOKUP(A13,'Lista Suspensa'!$A$1:$F$90,4,),0)</f>
        <v>0</v>
      </c>
      <c r="L13" s="613">
        <f>IF(OR(H13&gt;0,I13&gt;0),VLOOKUP(A13,'Lista Suspensa'!$A$1:$F$90,5,),0)</f>
        <v>0</v>
      </c>
      <c r="M13" s="402">
        <f>IF(OR(H13&gt;0,I13&gt;0),VLOOKUP(A13,'Lista Suspensa'!$A$1:$F$90,6,),0)</f>
        <v>0</v>
      </c>
      <c r="N13" s="617"/>
      <c r="O13" s="613">
        <f t="shared" si="1"/>
        <v>0</v>
      </c>
      <c r="P13" s="613">
        <f>IF(N13&gt;0,VLOOKUP(A13,'Lista Suspensa'!$A$1:$F$92,3,),0)</f>
        <v>0</v>
      </c>
      <c r="Q13" s="613">
        <f>IF(OR(N13&gt;0,O13&gt;0),VLOOKUP(A13,'Lista Suspensa'!$A$1:$F$90,4,),0)</f>
        <v>0</v>
      </c>
      <c r="R13" s="613">
        <f>IF(OR(N13&gt;0,O13&gt;0),VLOOKUP(A13,'Lista Suspensa'!$A$1:$F$90,5,),0)</f>
        <v>0</v>
      </c>
      <c r="S13" s="402">
        <f>IF(OR(N13&gt;0,O13&gt;0),VLOOKUP(A13,'Lista Suspensa'!$A$1:$F$90,6,),0)</f>
        <v>0</v>
      </c>
      <c r="T13" s="617"/>
      <c r="U13" s="613">
        <f t="shared" si="2"/>
        <v>0</v>
      </c>
      <c r="V13" s="613">
        <f>IF(T13&gt;0,VLOOKUP(A13,'Lista Suspensa'!$A$1:$F$92,3,),0)</f>
        <v>0</v>
      </c>
      <c r="W13" s="613">
        <f>IF(OR(T13&gt;0,U13&gt;0),VLOOKUP(A13,'Lista Suspensa'!$A$1:$F$90,4,),0)</f>
        <v>0</v>
      </c>
      <c r="X13" s="613">
        <f>IF(OR(T13&gt;0,U13&gt;0),VLOOKUP(A13,'Lista Suspensa'!$A$1:$F$90,5,),0)</f>
        <v>0</v>
      </c>
      <c r="Y13" s="402">
        <f>IF(OR(T13&gt;0,U13&gt;0),VLOOKUP(A13,'Lista Suspensa'!$A$1:$F$90,6,),0)</f>
        <v>0</v>
      </c>
      <c r="Z13" s="617"/>
      <c r="AA13" s="613">
        <f t="shared" si="3"/>
        <v>0</v>
      </c>
      <c r="AB13" s="613">
        <f>IF(Z13&gt;0,VLOOKUP(A13,'Lista Suspensa'!$A$1:$F$92,3,),0)</f>
        <v>0</v>
      </c>
      <c r="AC13" s="613">
        <f>IF(OR(Z13&gt;0,AA13&gt;0),VLOOKUP(A13,'Lista Suspensa'!$A$1:$F$90,4,),0)</f>
        <v>0</v>
      </c>
      <c r="AD13" s="613">
        <f>IF(OR(Z13&gt;0,AA13&gt;0),VLOOKUP(A13,'Lista Suspensa'!$A$1:$F$90,5,),0)</f>
        <v>0</v>
      </c>
      <c r="AE13" s="402">
        <f>IF(OR(Z13&gt;0,AA13&gt;0),VLOOKUP(A13,'Lista Suspensa'!$A$1:$F$90,6,),0)</f>
        <v>0</v>
      </c>
      <c r="AF13" s="617"/>
      <c r="AG13" s="613">
        <f t="shared" si="13"/>
        <v>0</v>
      </c>
      <c r="AH13" s="613">
        <f>IF(AF13&gt;0,VLOOKUP(A13,'Lista Suspensa'!$A$1:$F$92,3,),0)</f>
        <v>0</v>
      </c>
      <c r="AI13" s="613">
        <f>IF(OR(AF13&gt;0,AG13&gt;0),VLOOKUP(A13,'Lista Suspensa'!$A$1:$F$90,4,),0)</f>
        <v>0</v>
      </c>
      <c r="AJ13" s="613">
        <f>IF(OR(AF13&gt;0,AG13&gt;0),VLOOKUP(A13,'Lista Suspensa'!$A$1:$F$90,5,),0)</f>
        <v>0</v>
      </c>
      <c r="AK13" s="402">
        <f>IF(OR(AF13&gt;0,AG13&gt;0),VLOOKUP(A13,'Lista Suspensa'!$A$1:$F$90,6,),0)</f>
        <v>0</v>
      </c>
      <c r="AL13" s="617"/>
      <c r="AM13" s="613">
        <f t="shared" si="4"/>
        <v>0</v>
      </c>
      <c r="AN13" s="613">
        <f>IF(AL13&gt;0,VLOOKUP(A13,'Lista Suspensa'!$A$1:$F$92,3,),0)</f>
        <v>0</v>
      </c>
      <c r="AO13" s="613">
        <f>IF(OR(AL13&gt;0,AM13&gt;0),VLOOKUP(A13,'Lista Suspensa'!$A$1:$F$90,4,),0)</f>
        <v>0</v>
      </c>
      <c r="AP13" s="613">
        <f>IF(OR(AL13&gt;0,AM13&gt;0),VLOOKUP(A13,'Lista Suspensa'!$A$1:$F$90,5,),0)</f>
        <v>0</v>
      </c>
      <c r="AQ13" s="402">
        <f>IF(OR(AL13&gt;0,AM13&gt;0),VLOOKUP(A13,'Lista Suspensa'!$A$1:$F$90,6,),0)</f>
        <v>0</v>
      </c>
      <c r="AR13" s="617"/>
      <c r="AS13" s="613">
        <f t="shared" si="14"/>
        <v>0</v>
      </c>
      <c r="AT13" s="613">
        <f>IF(AR13&gt;0,VLOOKUP(A13,'Lista Suspensa'!$A$1:$F$92,3,),0)</f>
        <v>0</v>
      </c>
      <c r="AU13" s="613">
        <f>IF(OR(AR13&gt;0,AS13&gt;0),VLOOKUP(A13,'Lista Suspensa'!$A$1:$F$90,4,),0)</f>
        <v>0</v>
      </c>
      <c r="AV13" s="613">
        <f>IF(OR(AR13&gt;0,AS13&gt;0),VLOOKUP(A13,'Lista Suspensa'!$A$1:$F$90,5,),0)</f>
        <v>0</v>
      </c>
      <c r="AW13" s="37">
        <f>IF(OR(AR13&gt;0,AS13&gt;0),VLOOKUP(A13,'Lista Suspensa'!$A$1:$F$90,6,),0)</f>
        <v>0</v>
      </c>
      <c r="AX13" s="617"/>
      <c r="AY13" s="613">
        <f t="shared" si="5"/>
        <v>0</v>
      </c>
      <c r="AZ13" s="613">
        <f>IF(AX13&gt;0,VLOOKUP(A13,'Lista Suspensa'!$A$1:$F$92,3,),0)</f>
        <v>0</v>
      </c>
      <c r="BA13" s="613">
        <f>IF(OR(AX13&gt;0,AY13&gt;0),VLOOKUP(A13,'Lista Suspensa'!$A$1:$F$90,4,),0)</f>
        <v>0</v>
      </c>
      <c r="BB13" s="613">
        <f>IF(OR(AX13&gt;0,AY13&gt;0),VLOOKUP(A13,'Lista Suspensa'!$A$1:$F$90,5,),0)</f>
        <v>0</v>
      </c>
      <c r="BC13" s="37">
        <f>IF(OR(AX13&gt;0,AY13&gt;0),VLOOKUP(A13,'Lista Suspensa'!$A$1:$F$90,6,),0)</f>
        <v>0</v>
      </c>
      <c r="BD13" s="617"/>
      <c r="BE13" s="613">
        <f t="shared" si="6"/>
        <v>0</v>
      </c>
      <c r="BF13" s="613">
        <f>IF(BD13&gt;0,VLOOKUP(A13,'Lista Suspensa'!$A$1:$F$92,3,),0)</f>
        <v>0</v>
      </c>
      <c r="BG13" s="613">
        <f>IF(OR(BD13&gt;0,BE13&gt;0),VLOOKUP(A13,'Lista Suspensa'!$A$1:$F$90,4,),0)</f>
        <v>0</v>
      </c>
      <c r="BH13" s="613">
        <f>IF(OR(BD13&gt;0,BE13&gt;0),VLOOKUP(A13,'Lista Suspensa'!$A$1:$F$90,5,),0)</f>
        <v>0</v>
      </c>
      <c r="BI13" s="37">
        <f>IF(OR(BD13&gt;0,BE13&gt;0),VLOOKUP(A13,'Lista Suspensa'!$A$1:$F$90,6,),0)</f>
        <v>0</v>
      </c>
      <c r="BJ13" s="617"/>
      <c r="BK13" s="613">
        <f t="shared" si="7"/>
        <v>0</v>
      </c>
      <c r="BL13" s="613">
        <f>IF(BJ13&gt;0,VLOOKUP(A13,'Lista Suspensa'!$A$1:$F$92,3,),0)</f>
        <v>0</v>
      </c>
      <c r="BM13" s="613">
        <f>IF(OR(BJ13&gt;0,BK13&gt;0),VLOOKUP(A13,'Lista Suspensa'!$A$1:$F$90,4,),0)</f>
        <v>0</v>
      </c>
      <c r="BN13" s="613">
        <f>IF(OR(BJ13&gt;0,BK13&gt;0),VLOOKUP(A13,'Lista Suspensa'!$A$1:$F$90,5,),0)</f>
        <v>0</v>
      </c>
      <c r="BO13" s="37">
        <f>IF(OR(BJ13&gt;0,BK13&gt;0),VLOOKUP(A13,'Lista Suspensa'!$A$1:$F$90,6,),0)</f>
        <v>0</v>
      </c>
      <c r="BP13" s="617"/>
      <c r="BQ13" s="613">
        <f t="shared" si="8"/>
        <v>0</v>
      </c>
      <c r="BR13" s="613">
        <f>IF(BP13&gt;0,VLOOKUP(A13,'Lista Suspensa'!$A$1:$F$92,3,),0)</f>
        <v>0</v>
      </c>
      <c r="BS13" s="613">
        <f>IF(OR(BP13&gt;0,BQ13&gt;0),VLOOKUP(A13,'Lista Suspensa'!$A$1:$F$90,4,),0)</f>
        <v>0</v>
      </c>
      <c r="BT13" s="613">
        <f>IF(OR(BP13&gt;0,BQ13&gt;0),VLOOKUP(A13,'Lista Suspensa'!$A$1:$F$90,5,),0)</f>
        <v>0</v>
      </c>
      <c r="BU13" s="37">
        <f>IF(OR(BP13&gt;0,BQ13&gt;0),VLOOKUP(A13,'Lista Suspensa'!$A$1:$F$90,6,),0)</f>
        <v>0</v>
      </c>
      <c r="BV13" s="617"/>
      <c r="BW13" s="613">
        <f t="shared" si="9"/>
        <v>0</v>
      </c>
      <c r="BX13" s="613">
        <f>IF(BV13&gt;0,VLOOKUP(A13,'Lista Suspensa'!$A$1:$F$92,3,),0)</f>
        <v>0</v>
      </c>
      <c r="BY13" s="613">
        <f>IF(OR(BV13&gt;0,BW13&gt;0),VLOOKUP(A13,'Lista Suspensa'!$A$1:$F$90,4,),0)</f>
        <v>0</v>
      </c>
      <c r="BZ13" s="613">
        <f>IF(OR(BV13&gt;0,BW13&gt;0),VLOOKUP(A13,'Lista Suspensa'!$A$1:$F$90,5,),0)</f>
        <v>0</v>
      </c>
      <c r="CA13" s="37">
        <f>IF(OR(BV13&gt;0,BW13&gt;0),VLOOKUP(A13,'Lista Suspensa'!$A$1:$F$90,6,),0)</f>
        <v>0</v>
      </c>
      <c r="CB13" s="617"/>
      <c r="CC13" s="613">
        <f t="shared" si="10"/>
        <v>0</v>
      </c>
      <c r="CD13" s="613">
        <f>IF(CB13&gt;0,VLOOKUP(A13,'Lista Suspensa'!$A$1:$F$92,3,),0)</f>
        <v>0</v>
      </c>
      <c r="CE13" s="613">
        <f>IF(OR(CB13&gt;0,CC13&gt;0),VLOOKUP(A13,'Lista Suspensa'!$A$1:$F$90,4,),0)</f>
        <v>0</v>
      </c>
      <c r="CF13" s="613">
        <f>IF(OR(CB13&gt;0,CC13&gt;0),VLOOKUP(A13,'Lista Suspensa'!$A$1:$F$90,5,),0)</f>
        <v>0</v>
      </c>
      <c r="CG13" s="37">
        <f>IF(OR(CB13&gt;0,CC13&gt;0),VLOOKUP(A13,'Lista Suspensa'!$A$1:$F$90,6,),0)</f>
        <v>0</v>
      </c>
      <c r="CH13" s="617"/>
      <c r="CI13" s="613">
        <f t="shared" si="11"/>
        <v>0</v>
      </c>
      <c r="CJ13" s="613">
        <f>IF(CH13&gt;0,VLOOKUP(A13,'Lista Suspensa'!$A$1:$F$92,3,),0)</f>
        <v>0</v>
      </c>
      <c r="CK13" s="613">
        <f>IF(OR(CH13&gt;0,CI13&gt;0),VLOOKUP(A13,'Lista Suspensa'!$A$1:$F$90,4,),0)</f>
        <v>0</v>
      </c>
      <c r="CL13" s="613">
        <f>IF(OR(CH13&gt;0,CI13&gt;0),VLOOKUP(A13,'Lista Suspensa'!$A$1:$F$90,5,),0)</f>
        <v>0</v>
      </c>
      <c r="CM13" s="636">
        <f>IF(OR(CH13&gt;0,CI13&gt;0),VLOOKUP(A13,'Lista Suspensa'!$A$1:$F$90,6,),0)</f>
        <v>0</v>
      </c>
      <c r="CN13" s="645"/>
      <c r="CO13" s="403">
        <f t="shared" si="15"/>
        <v>0</v>
      </c>
      <c r="CP13" s="756">
        <f>IF(CN13&gt;0,VLOOKUP(A13,'Lista Suspensa'!$A$1:$F$92,3,),0)</f>
        <v>0</v>
      </c>
      <c r="CQ13" s="641">
        <f>IF(OR(CN13&gt;0,CO13&gt;0),VLOOKUP(A13,'Lista Suspensa'!$A$1:$F$90,6,),0)</f>
        <v>0</v>
      </c>
      <c r="CR13" s="628"/>
      <c r="CS13" s="628"/>
      <c r="CT13" s="628"/>
      <c r="CU13" s="628"/>
      <c r="CV13" s="628"/>
      <c r="CW13" s="628"/>
      <c r="CX13" s="628"/>
      <c r="CY13" s="628"/>
      <c r="CZ13" s="628"/>
      <c r="DA13" s="628"/>
      <c r="DB13" s="628"/>
      <c r="DC13" s="628"/>
      <c r="DD13" s="628"/>
      <c r="DE13" s="628"/>
      <c r="DF13" s="628"/>
      <c r="DG13" s="628"/>
      <c r="DH13" s="628"/>
    </row>
    <row r="14" spans="1:2106" s="588" customFormat="1" ht="15.75" customHeight="1">
      <c r="A14" s="614"/>
      <c r="B14" s="619"/>
      <c r="C14" s="616">
        <f t="shared" si="0"/>
        <v>0</v>
      </c>
      <c r="D14" s="616">
        <f>IF(B14&gt;0,VLOOKUP(A14,'Lista Suspensa'!$A$1:$F$92,3,),0)</f>
        <v>0</v>
      </c>
      <c r="E14" s="616">
        <f>IF(OR(B14&gt;0,C14&gt;0),VLOOKUP(A14,'Lista Suspensa'!$A$1:$F$90,4,),0)</f>
        <v>0</v>
      </c>
      <c r="F14" s="616">
        <f>IF(OR(B14&gt;0,C14&gt;0),VLOOKUP(A14,'Lista Suspensa'!$A$1:$F$90,5,),0)</f>
        <v>0</v>
      </c>
      <c r="G14" s="587">
        <f>IF(OR(B14&gt;0,C14&gt;0),VLOOKUP(A14,'Lista Suspensa'!$A$1:$F$90,6,),0)</f>
        <v>0</v>
      </c>
      <c r="H14" s="618"/>
      <c r="I14" s="623">
        <f t="shared" si="12"/>
        <v>0</v>
      </c>
      <c r="J14" s="616">
        <f>IF(H14&gt;0,VLOOKUP(A14,'Lista Suspensa'!$A$1:$F$92,3,),0)</f>
        <v>0</v>
      </c>
      <c r="K14" s="616">
        <f>IF(OR(H14&gt;0,I14&gt;0),VLOOKUP(A14,'Lista Suspensa'!$A$1:$F$90,4,),0)</f>
        <v>0</v>
      </c>
      <c r="L14" s="616">
        <f>IF(OR(H14&gt;0,I14&gt;0),VLOOKUP(A14,'Lista Suspensa'!$A$1:$F$90,5,),0)</f>
        <v>0</v>
      </c>
      <c r="M14" s="587">
        <f>IF(OR(H14&gt;0,I14&gt;0),VLOOKUP(A14,'Lista Suspensa'!$A$1:$F$90,6,),0)</f>
        <v>0</v>
      </c>
      <c r="N14" s="618"/>
      <c r="O14" s="623">
        <f t="shared" si="1"/>
        <v>0</v>
      </c>
      <c r="P14" s="616">
        <f>IF(N14&gt;0,VLOOKUP(A14,'Lista Suspensa'!$A$1:$F$92,3,),0)</f>
        <v>0</v>
      </c>
      <c r="Q14" s="616">
        <f>IF(OR(N14&gt;0,O14&gt;0),VLOOKUP(A14,'Lista Suspensa'!$A$1:$F$90,4,),0)</f>
        <v>0</v>
      </c>
      <c r="R14" s="616">
        <f>IF(OR(N14&gt;0,O14&gt;0),VLOOKUP(A14,'Lista Suspensa'!$A$1:$F$90,5,),0)</f>
        <v>0</v>
      </c>
      <c r="S14" s="587">
        <f>IF(OR(N14&gt;0,O14&gt;0),VLOOKUP(A14,'Lista Suspensa'!$A$1:$F$90,6,),0)</f>
        <v>0</v>
      </c>
      <c r="T14" s="618"/>
      <c r="U14" s="623">
        <f t="shared" si="2"/>
        <v>0</v>
      </c>
      <c r="V14" s="616">
        <f>IF(T14&gt;0,VLOOKUP(A14,'Lista Suspensa'!$A$1:$F$92,3,),0)</f>
        <v>0</v>
      </c>
      <c r="W14" s="616">
        <f>IF(OR(T14&gt;0,U14&gt;0),VLOOKUP(A14,'Lista Suspensa'!$A$1:$F$90,4,),0)</f>
        <v>0</v>
      </c>
      <c r="X14" s="616">
        <f>IF(OR(T14&gt;0,U14&gt;0),VLOOKUP(A14,'Lista Suspensa'!$A$1:$F$90,5,),0)</f>
        <v>0</v>
      </c>
      <c r="Y14" s="587">
        <f>IF(OR(T14&gt;0,U14&gt;0),VLOOKUP(A14,'Lista Suspensa'!$A$1:$F$90,6,),0)</f>
        <v>0</v>
      </c>
      <c r="Z14" s="619"/>
      <c r="AA14" s="623">
        <f t="shared" si="3"/>
        <v>0</v>
      </c>
      <c r="AB14" s="616">
        <f>IF(Z14&gt;0,VLOOKUP(A14,'Lista Suspensa'!$A$1:$F$92,3,),0)</f>
        <v>0</v>
      </c>
      <c r="AC14" s="616">
        <f>IF(OR(Z14&gt;0,AA14&gt;0),VLOOKUP(A14,'Lista Suspensa'!$A$1:$F$90,4,),0)</f>
        <v>0</v>
      </c>
      <c r="AD14" s="616">
        <f>IF(OR(Z14&gt;0,AA14&gt;0),VLOOKUP(A14,'Lista Suspensa'!$A$1:$F$90,5,),0)</f>
        <v>0</v>
      </c>
      <c r="AE14" s="587">
        <f>IF(OR(Z14&gt;0,AA14&gt;0),VLOOKUP(A14,'Lista Suspensa'!$A$1:$F$90,6,),0)</f>
        <v>0</v>
      </c>
      <c r="AF14" s="619"/>
      <c r="AG14" s="623">
        <f t="shared" si="13"/>
        <v>0</v>
      </c>
      <c r="AH14" s="616">
        <f>IF(AF14&gt;0,VLOOKUP(A14,'Lista Suspensa'!$A$1:$F$92,3,),0)</f>
        <v>0</v>
      </c>
      <c r="AI14" s="616">
        <f>IF(OR(AF14&gt;0,AG14&gt;0),VLOOKUP(A14,'Lista Suspensa'!$A$1:$F$90,4,),0)</f>
        <v>0</v>
      </c>
      <c r="AJ14" s="616">
        <f>IF(OR(AF14&gt;0,AG14&gt;0),VLOOKUP(A14,'Lista Suspensa'!$A$1:$F$90,5,),0)</f>
        <v>0</v>
      </c>
      <c r="AK14" s="587">
        <f>IF(OR(AF14&gt;0,AG14&gt;0),VLOOKUP(A14,'Lista Suspensa'!$A$1:$F$90,6,),0)</f>
        <v>0</v>
      </c>
      <c r="AL14" s="618"/>
      <c r="AM14" s="623">
        <f t="shared" si="4"/>
        <v>0</v>
      </c>
      <c r="AN14" s="616">
        <f>IF(AL14&gt;0,VLOOKUP(A14,'Lista Suspensa'!$A$1:$F$92,3,),0)</f>
        <v>0</v>
      </c>
      <c r="AO14" s="616">
        <f>IF(OR(AL14&gt;0,AM14&gt;0),VLOOKUP(A14,'Lista Suspensa'!$A$1:$F$90,4,),0)</f>
        <v>0</v>
      </c>
      <c r="AP14" s="616">
        <f>IF(OR(AL14&gt;0,AM14&gt;0),VLOOKUP(A14,'Lista Suspensa'!$A$1:$F$90,5,),0)</f>
        <v>0</v>
      </c>
      <c r="AQ14" s="587">
        <f>IF(OR(AL14&gt;0,AM14&gt;0),VLOOKUP(A14,'Lista Suspensa'!$A$1:$F$90,6,),0)</f>
        <v>0</v>
      </c>
      <c r="AR14" s="618"/>
      <c r="AS14" s="623">
        <f t="shared" si="14"/>
        <v>0</v>
      </c>
      <c r="AT14" s="616">
        <f>IF(AR14&gt;0,VLOOKUP(A14,'Lista Suspensa'!$A$1:$F$92,3,),0)</f>
        <v>0</v>
      </c>
      <c r="AU14" s="616">
        <f>IF(OR(AR14&gt;0,AS14&gt;0),VLOOKUP(A14,'Lista Suspensa'!$A$1:$F$90,4,),0)</f>
        <v>0</v>
      </c>
      <c r="AV14" s="616">
        <f>IF(OR(AR14&gt;0,AS14&gt;0),VLOOKUP(A14,'Lista Suspensa'!$A$1:$F$90,5,),0)</f>
        <v>0</v>
      </c>
      <c r="AW14" s="586">
        <f>IF(OR(AR14&gt;0,AS14&gt;0),VLOOKUP(A14,'Lista Suspensa'!$A$1:$F$90,6,),0)</f>
        <v>0</v>
      </c>
      <c r="AX14" s="618"/>
      <c r="AY14" s="623">
        <f t="shared" si="5"/>
        <v>0</v>
      </c>
      <c r="AZ14" s="616">
        <f>IF(AX14&gt;0,VLOOKUP(A14,'Lista Suspensa'!$A$1:$F$92,3,),0)</f>
        <v>0</v>
      </c>
      <c r="BA14" s="616">
        <f>IF(OR(AX14&gt;0,AY14&gt;0),VLOOKUP(A14,'Lista Suspensa'!$A$1:$F$90,4,),0)</f>
        <v>0</v>
      </c>
      <c r="BB14" s="616">
        <f>IF(OR(AX14&gt;0,AY14&gt;0),VLOOKUP(A14,'Lista Suspensa'!$A$1:$F$90,5,),0)</f>
        <v>0</v>
      </c>
      <c r="BC14" s="586">
        <f>IF(OR(AX14&gt;0,AY14&gt;0),VLOOKUP(A14,'Lista Suspensa'!$A$1:$F$90,6,),0)</f>
        <v>0</v>
      </c>
      <c r="BD14" s="618"/>
      <c r="BE14" s="623">
        <f t="shared" si="6"/>
        <v>0</v>
      </c>
      <c r="BF14" s="616">
        <f>IF(BD14&gt;0,VLOOKUP(A14,'Lista Suspensa'!$A$1:$F$92,3,),0)</f>
        <v>0</v>
      </c>
      <c r="BG14" s="616">
        <f>IF(OR(BD14&gt;0,BE14&gt;0),VLOOKUP(A14,'Lista Suspensa'!$A$1:$F$90,4,),0)</f>
        <v>0</v>
      </c>
      <c r="BH14" s="616">
        <f>IF(OR(BD14&gt;0,BE14&gt;0),VLOOKUP(A14,'Lista Suspensa'!$A$1:$F$90,5,),0)</f>
        <v>0</v>
      </c>
      <c r="BI14" s="586">
        <f>IF(OR(BD14&gt;0,BE14&gt;0),VLOOKUP(A14,'Lista Suspensa'!$A$1:$F$90,6,),0)</f>
        <v>0</v>
      </c>
      <c r="BJ14" s="618"/>
      <c r="BK14" s="623">
        <f t="shared" si="7"/>
        <v>0</v>
      </c>
      <c r="BL14" s="616">
        <f>IF(BJ14&gt;0,VLOOKUP(A14,'Lista Suspensa'!$A$1:$F$92,3,),0)</f>
        <v>0</v>
      </c>
      <c r="BM14" s="616">
        <f>IF(OR(BJ14&gt;0,BK14&gt;0),VLOOKUP(A14,'Lista Suspensa'!$A$1:$F$90,4,),0)</f>
        <v>0</v>
      </c>
      <c r="BN14" s="616">
        <f>IF(OR(BJ14&gt;0,BK14&gt;0),VLOOKUP(A14,'Lista Suspensa'!$A$1:$F$90,5,),0)</f>
        <v>0</v>
      </c>
      <c r="BO14" s="586">
        <f>IF(OR(BJ14&gt;0,BK14&gt;0),VLOOKUP(A14,'Lista Suspensa'!$A$1:$F$90,6,),0)</f>
        <v>0</v>
      </c>
      <c r="BP14" s="618"/>
      <c r="BQ14" s="623">
        <f t="shared" si="8"/>
        <v>0</v>
      </c>
      <c r="BR14" s="616">
        <f>IF(BP14&gt;0,VLOOKUP(A14,'Lista Suspensa'!$A$1:$F$92,3,),0)</f>
        <v>0</v>
      </c>
      <c r="BS14" s="616">
        <f>IF(OR(BP14&gt;0,BQ14&gt;0),VLOOKUP(A14,'Lista Suspensa'!$A$1:$F$90,4,),0)</f>
        <v>0</v>
      </c>
      <c r="BT14" s="616">
        <f>IF(OR(BP14&gt;0,BQ14&gt;0),VLOOKUP(A14,'Lista Suspensa'!$A$1:$F$90,5,),0)</f>
        <v>0</v>
      </c>
      <c r="BU14" s="586">
        <f>IF(OR(BP14&gt;0,BQ14&gt;0),VLOOKUP(A14,'Lista Suspensa'!$A$1:$F$90,6,),0)</f>
        <v>0</v>
      </c>
      <c r="BV14" s="618"/>
      <c r="BW14" s="623">
        <f t="shared" si="9"/>
        <v>0</v>
      </c>
      <c r="BX14" s="616">
        <f>IF(BV14&gt;0,VLOOKUP(A14,'Lista Suspensa'!$A$1:$F$92,3,),0)</f>
        <v>0</v>
      </c>
      <c r="BY14" s="616">
        <f>IF(OR(BV14&gt;0,BW14&gt;0),VLOOKUP(A14,'Lista Suspensa'!$A$1:$F$90,4,),0)</f>
        <v>0</v>
      </c>
      <c r="BZ14" s="616">
        <f>IF(OR(BV14&gt;0,BW14&gt;0),VLOOKUP(A14,'Lista Suspensa'!$A$1:$F$90,5,),0)</f>
        <v>0</v>
      </c>
      <c r="CA14" s="586">
        <f>IF(OR(BV14&gt;0,BW14&gt;0),VLOOKUP(A14,'Lista Suspensa'!$A$1:$F$90,6,),0)</f>
        <v>0</v>
      </c>
      <c r="CB14" s="618"/>
      <c r="CC14" s="623">
        <f t="shared" si="10"/>
        <v>0</v>
      </c>
      <c r="CD14" s="616">
        <f>IF(CB14&gt;0,VLOOKUP(A14,'Lista Suspensa'!$A$1:$F$92,3,),0)</f>
        <v>0</v>
      </c>
      <c r="CE14" s="616">
        <f>IF(OR(CB14&gt;0,CC14&gt;0),VLOOKUP(A14,'Lista Suspensa'!$A$1:$F$90,4,),0)</f>
        <v>0</v>
      </c>
      <c r="CF14" s="616">
        <f>IF(OR(CB14&gt;0,CC14&gt;0),VLOOKUP(A14,'Lista Suspensa'!$A$1:$F$90,5,),0)</f>
        <v>0</v>
      </c>
      <c r="CG14" s="586">
        <f>IF(OR(CB14&gt;0,CC14&gt;0),VLOOKUP(A14,'Lista Suspensa'!$A$1:$F$90,6,),0)</f>
        <v>0</v>
      </c>
      <c r="CH14" s="618"/>
      <c r="CI14" s="623">
        <f t="shared" si="11"/>
        <v>0</v>
      </c>
      <c r="CJ14" s="616">
        <f>IF(CH14&gt;0,VLOOKUP(A14,'Lista Suspensa'!$A$1:$F$92,3,),0)</f>
        <v>0</v>
      </c>
      <c r="CK14" s="616">
        <f>IF(OR(CH14&gt;0,CI14&gt;0),VLOOKUP(A14,'Lista Suspensa'!$A$1:$F$90,4,),0)</f>
        <v>0</v>
      </c>
      <c r="CL14" s="616">
        <f>IF(OR(CH14&gt;0,CI14&gt;0),VLOOKUP(A14,'Lista Suspensa'!$A$1:$F$90,5,),0)</f>
        <v>0</v>
      </c>
      <c r="CM14" s="637">
        <f>IF(OR(CH14&gt;0,CI14&gt;0),VLOOKUP(A14,'Lista Suspensa'!$A$1:$F$90,6,),0)</f>
        <v>0</v>
      </c>
      <c r="CN14" s="646"/>
      <c r="CO14" s="403">
        <f t="shared" si="15"/>
        <v>0</v>
      </c>
      <c r="CP14" s="756">
        <f>IF(CN14&gt;0,VLOOKUP(A14,'Lista Suspensa'!$A$1:$F$92,3,),0)</f>
        <v>0</v>
      </c>
      <c r="CQ14" s="643">
        <f>IF(OR(CN14&gt;0,CO14&gt;0),VLOOKUP(A14,'Lista Suspensa'!$A$1:$F$90,6,),0)</f>
        <v>0</v>
      </c>
      <c r="CR14" s="628"/>
      <c r="CS14" s="628"/>
      <c r="CT14" s="628"/>
      <c r="CU14" s="628"/>
      <c r="CV14" s="628"/>
      <c r="CW14" s="628"/>
      <c r="CX14" s="628"/>
      <c r="CY14" s="628"/>
      <c r="CZ14" s="628"/>
      <c r="DA14" s="628"/>
      <c r="DB14" s="628"/>
      <c r="DC14" s="628"/>
      <c r="DD14" s="628"/>
      <c r="DE14" s="628"/>
      <c r="DF14" s="628"/>
      <c r="DG14" s="628"/>
      <c r="DH14" s="628"/>
      <c r="DI14" s="583"/>
      <c r="DJ14" s="583"/>
      <c r="DK14" s="583"/>
      <c r="DL14" s="583"/>
      <c r="DM14" s="583"/>
      <c r="DN14" s="583"/>
      <c r="DO14" s="583"/>
      <c r="DP14" s="583"/>
      <c r="DQ14" s="583"/>
      <c r="DR14" s="583"/>
      <c r="DS14" s="583"/>
      <c r="DT14" s="583"/>
      <c r="DU14" s="583"/>
      <c r="DV14" s="583"/>
      <c r="DW14" s="583"/>
      <c r="DX14" s="583"/>
      <c r="DY14" s="583"/>
      <c r="DZ14" s="583"/>
      <c r="EA14" s="583"/>
      <c r="EB14" s="583"/>
      <c r="EC14" s="583"/>
      <c r="ED14" s="583"/>
      <c r="EE14" s="583"/>
      <c r="EF14" s="583"/>
      <c r="EG14" s="583"/>
      <c r="EH14" s="583"/>
      <c r="EI14" s="583"/>
      <c r="EJ14" s="583"/>
      <c r="EK14" s="583"/>
      <c r="EL14" s="583"/>
      <c r="EM14" s="583"/>
      <c r="EN14" s="583"/>
      <c r="EO14" s="583"/>
      <c r="EP14" s="583"/>
      <c r="EQ14" s="583"/>
      <c r="ER14" s="583"/>
      <c r="ES14" s="583"/>
      <c r="ET14" s="583"/>
      <c r="EU14" s="583"/>
      <c r="EV14" s="583"/>
      <c r="EW14" s="583"/>
      <c r="EX14" s="583"/>
      <c r="EY14" s="583"/>
      <c r="EZ14" s="583"/>
      <c r="FA14" s="583"/>
      <c r="FB14" s="583"/>
      <c r="FC14" s="583"/>
      <c r="FD14" s="583"/>
      <c r="FE14" s="583"/>
      <c r="FF14" s="583"/>
      <c r="FG14" s="583"/>
      <c r="FH14" s="583"/>
      <c r="FI14" s="583"/>
      <c r="FJ14" s="583"/>
      <c r="FK14" s="583"/>
      <c r="FL14" s="583"/>
      <c r="FM14" s="583"/>
      <c r="FN14" s="583"/>
      <c r="FO14" s="583"/>
      <c r="FP14" s="583"/>
      <c r="FQ14" s="583"/>
      <c r="FR14" s="583"/>
      <c r="FS14" s="583"/>
      <c r="FT14" s="583"/>
      <c r="FU14" s="583"/>
      <c r="FV14" s="583"/>
      <c r="FW14" s="583"/>
      <c r="FX14" s="583"/>
      <c r="FY14" s="583"/>
      <c r="FZ14" s="583"/>
      <c r="GA14" s="583"/>
      <c r="GB14" s="583"/>
      <c r="GC14" s="583"/>
      <c r="GD14" s="583"/>
      <c r="GE14" s="583"/>
      <c r="GF14" s="583"/>
      <c r="GG14" s="583"/>
      <c r="GH14" s="583"/>
      <c r="GI14" s="583"/>
      <c r="GJ14" s="583"/>
      <c r="GK14" s="583"/>
      <c r="GL14" s="583"/>
      <c r="GM14" s="583"/>
      <c r="GN14" s="583"/>
      <c r="GO14" s="583"/>
      <c r="GP14" s="583"/>
      <c r="GQ14" s="583"/>
      <c r="GR14" s="583"/>
      <c r="GS14" s="583"/>
      <c r="GT14" s="583"/>
      <c r="GU14" s="583"/>
      <c r="GV14" s="583"/>
      <c r="GW14" s="583"/>
      <c r="GX14" s="583"/>
      <c r="GY14" s="583"/>
      <c r="GZ14" s="583"/>
      <c r="HA14" s="583"/>
      <c r="HB14" s="583"/>
      <c r="HC14" s="583"/>
      <c r="HD14" s="583"/>
      <c r="HE14" s="583"/>
      <c r="HF14" s="583"/>
      <c r="HG14" s="583"/>
      <c r="HH14" s="583"/>
      <c r="HI14" s="583"/>
      <c r="HJ14" s="583"/>
      <c r="HK14" s="583"/>
      <c r="HL14" s="583"/>
      <c r="HM14" s="583"/>
      <c r="HN14" s="583"/>
      <c r="HO14" s="583"/>
      <c r="HP14" s="583"/>
      <c r="HQ14" s="583"/>
      <c r="HR14" s="583"/>
      <c r="HS14" s="583"/>
      <c r="HT14" s="583"/>
      <c r="HU14" s="583"/>
      <c r="HV14" s="583"/>
      <c r="HW14" s="583"/>
      <c r="HX14" s="583"/>
      <c r="HY14" s="583"/>
      <c r="HZ14" s="583"/>
      <c r="IA14" s="583"/>
      <c r="IB14" s="583"/>
      <c r="IC14" s="583"/>
      <c r="ID14" s="583"/>
      <c r="IE14" s="583"/>
      <c r="IF14" s="583"/>
      <c r="IG14" s="583"/>
      <c r="IH14" s="583"/>
      <c r="II14" s="583"/>
      <c r="IJ14" s="583"/>
      <c r="IK14" s="583"/>
      <c r="IL14" s="583"/>
      <c r="IM14" s="583"/>
      <c r="IN14" s="583"/>
      <c r="IO14" s="583"/>
      <c r="IP14" s="583"/>
      <c r="IQ14" s="583"/>
      <c r="IR14" s="583"/>
      <c r="IS14" s="583"/>
      <c r="IT14" s="583"/>
      <c r="IU14" s="583"/>
      <c r="IV14" s="583"/>
      <c r="IW14" s="583"/>
      <c r="IX14" s="583"/>
      <c r="IY14" s="583"/>
      <c r="IZ14" s="583"/>
      <c r="JA14" s="583"/>
      <c r="JB14" s="583"/>
      <c r="JC14" s="583"/>
      <c r="JD14" s="583"/>
      <c r="JE14" s="583"/>
      <c r="JF14" s="583"/>
      <c r="JG14" s="583"/>
      <c r="JH14" s="583"/>
      <c r="JI14" s="583"/>
      <c r="JJ14" s="583"/>
      <c r="JK14" s="583"/>
      <c r="JL14" s="583"/>
      <c r="JM14" s="583"/>
      <c r="JN14" s="583"/>
      <c r="JO14" s="583"/>
      <c r="JP14" s="583"/>
      <c r="JQ14" s="583"/>
      <c r="JR14" s="583"/>
      <c r="JS14" s="583"/>
      <c r="JT14" s="583"/>
      <c r="JU14" s="583"/>
      <c r="JV14" s="583"/>
      <c r="JW14" s="583"/>
      <c r="JX14" s="583"/>
      <c r="JY14" s="583"/>
      <c r="JZ14" s="583"/>
      <c r="KA14" s="583"/>
      <c r="KB14" s="583"/>
      <c r="KC14" s="583"/>
      <c r="KD14" s="583"/>
      <c r="KE14" s="583"/>
      <c r="KF14" s="583"/>
      <c r="KG14" s="583"/>
      <c r="KH14" s="583"/>
      <c r="KI14" s="583"/>
      <c r="KJ14" s="583"/>
      <c r="KK14" s="583"/>
      <c r="KL14" s="583"/>
      <c r="KM14" s="583"/>
      <c r="KN14" s="583"/>
      <c r="KO14" s="583"/>
      <c r="KP14" s="583"/>
      <c r="KQ14" s="583"/>
      <c r="KR14" s="583"/>
      <c r="KS14" s="583"/>
      <c r="KT14" s="583"/>
      <c r="KU14" s="583"/>
      <c r="KV14" s="583"/>
      <c r="KW14" s="583"/>
      <c r="KX14" s="583"/>
      <c r="KY14" s="583"/>
      <c r="KZ14" s="583"/>
      <c r="LA14" s="583"/>
      <c r="LB14" s="583"/>
      <c r="LC14" s="583"/>
      <c r="LD14" s="583"/>
      <c r="LE14" s="583"/>
      <c r="LF14" s="583"/>
      <c r="LG14" s="583"/>
      <c r="LH14" s="583"/>
      <c r="LI14" s="583"/>
      <c r="LJ14" s="583"/>
      <c r="LK14" s="583"/>
      <c r="LL14" s="583"/>
      <c r="LM14" s="583"/>
      <c r="LN14" s="583"/>
      <c r="LO14" s="583"/>
      <c r="LP14" s="583"/>
      <c r="LQ14" s="583"/>
      <c r="LR14" s="583"/>
      <c r="LS14" s="583"/>
      <c r="LT14" s="583"/>
      <c r="LU14" s="583"/>
      <c r="LV14" s="583"/>
      <c r="LW14" s="583"/>
      <c r="LX14" s="583"/>
      <c r="LY14" s="583"/>
      <c r="LZ14" s="583"/>
      <c r="MA14" s="583"/>
      <c r="MB14" s="583"/>
      <c r="MC14" s="583"/>
      <c r="MD14" s="583"/>
      <c r="ME14" s="583"/>
      <c r="MF14" s="583"/>
      <c r="MG14" s="583"/>
      <c r="MH14" s="583"/>
      <c r="MI14" s="583"/>
      <c r="MJ14" s="583"/>
      <c r="MK14" s="583"/>
      <c r="ML14" s="583"/>
      <c r="MM14" s="583"/>
      <c r="MN14" s="583"/>
      <c r="MO14" s="583"/>
      <c r="MP14" s="583"/>
      <c r="MQ14" s="583"/>
      <c r="MR14" s="583"/>
      <c r="MS14" s="583"/>
      <c r="MT14" s="583"/>
      <c r="MU14" s="583"/>
      <c r="MV14" s="583"/>
      <c r="MW14" s="583"/>
      <c r="MX14" s="583"/>
      <c r="MY14" s="583"/>
      <c r="MZ14" s="583"/>
      <c r="NA14" s="583"/>
      <c r="NB14" s="583"/>
      <c r="NC14" s="583"/>
      <c r="ND14" s="583"/>
      <c r="NE14" s="583"/>
      <c r="NF14" s="583"/>
      <c r="NG14" s="583"/>
      <c r="NH14" s="583"/>
      <c r="NI14" s="583"/>
      <c r="NJ14" s="583"/>
      <c r="NK14" s="583"/>
      <c r="NL14" s="583"/>
      <c r="NM14" s="583"/>
      <c r="NN14" s="583"/>
      <c r="NO14" s="583"/>
      <c r="NP14" s="583"/>
      <c r="NQ14" s="583"/>
      <c r="NR14" s="583"/>
      <c r="NS14" s="583"/>
      <c r="NT14" s="583"/>
      <c r="NU14" s="583"/>
      <c r="NV14" s="583"/>
      <c r="NW14" s="583"/>
      <c r="NX14" s="583"/>
      <c r="NY14" s="583"/>
      <c r="NZ14" s="583"/>
      <c r="OA14" s="583"/>
      <c r="OB14" s="583"/>
      <c r="OC14" s="583"/>
      <c r="OD14" s="583"/>
      <c r="OE14" s="583"/>
      <c r="OF14" s="583"/>
      <c r="OG14" s="583"/>
      <c r="OH14" s="583"/>
      <c r="OI14" s="583"/>
      <c r="OJ14" s="583"/>
      <c r="OK14" s="583"/>
      <c r="OL14" s="583"/>
      <c r="OM14" s="583"/>
      <c r="ON14" s="583"/>
      <c r="OO14" s="583"/>
      <c r="OP14" s="583"/>
      <c r="OQ14" s="583"/>
      <c r="OR14" s="583"/>
      <c r="OS14" s="583"/>
      <c r="OT14" s="583"/>
      <c r="OU14" s="583"/>
      <c r="OV14" s="583"/>
      <c r="OW14" s="583"/>
      <c r="OX14" s="583"/>
      <c r="OY14" s="583"/>
      <c r="OZ14" s="583"/>
      <c r="PA14" s="583"/>
      <c r="PB14" s="583"/>
      <c r="PC14" s="583"/>
      <c r="PD14" s="583"/>
      <c r="PE14" s="583"/>
      <c r="PF14" s="583"/>
      <c r="PG14" s="583"/>
      <c r="PH14" s="583"/>
      <c r="PI14" s="583"/>
      <c r="PJ14" s="583"/>
      <c r="PK14" s="583"/>
      <c r="PL14" s="583"/>
      <c r="PM14" s="583"/>
      <c r="PN14" s="583"/>
      <c r="PO14" s="583"/>
      <c r="PP14" s="583"/>
      <c r="PQ14" s="583"/>
      <c r="PR14" s="583"/>
      <c r="PS14" s="583"/>
      <c r="PT14" s="583"/>
      <c r="PU14" s="583"/>
      <c r="PV14" s="583"/>
      <c r="PW14" s="583"/>
      <c r="PX14" s="583"/>
      <c r="PY14" s="583"/>
      <c r="PZ14" s="583"/>
      <c r="QA14" s="583"/>
      <c r="QB14" s="583"/>
      <c r="QC14" s="583"/>
      <c r="QD14" s="583"/>
      <c r="QE14" s="583"/>
      <c r="QF14" s="583"/>
      <c r="QG14" s="583"/>
      <c r="QH14" s="583"/>
      <c r="QI14" s="583"/>
      <c r="QJ14" s="583"/>
      <c r="QK14" s="583"/>
      <c r="QL14" s="583"/>
      <c r="QM14" s="583"/>
      <c r="QN14" s="583"/>
      <c r="QO14" s="583"/>
      <c r="QP14" s="583"/>
      <c r="QQ14" s="583"/>
      <c r="QR14" s="583"/>
      <c r="QS14" s="583"/>
      <c r="QT14" s="583"/>
      <c r="QU14" s="583"/>
      <c r="QV14" s="583"/>
      <c r="QW14" s="583"/>
      <c r="QX14" s="583"/>
      <c r="QY14" s="583"/>
      <c r="QZ14" s="583"/>
      <c r="RA14" s="583"/>
      <c r="RB14" s="583"/>
      <c r="RC14" s="583"/>
      <c r="RD14" s="583"/>
      <c r="RE14" s="583"/>
      <c r="RF14" s="583"/>
      <c r="RG14" s="583"/>
      <c r="RH14" s="583"/>
      <c r="RI14" s="583"/>
      <c r="RJ14" s="583"/>
      <c r="RK14" s="583"/>
      <c r="RL14" s="583"/>
      <c r="RM14" s="583"/>
      <c r="RN14" s="583"/>
      <c r="RO14" s="583"/>
      <c r="RP14" s="583"/>
      <c r="RQ14" s="583"/>
      <c r="RR14" s="583"/>
      <c r="RS14" s="583"/>
      <c r="RT14" s="583"/>
      <c r="RU14" s="583"/>
      <c r="RV14" s="583"/>
      <c r="RW14" s="583"/>
      <c r="RX14" s="583"/>
      <c r="RY14" s="583"/>
      <c r="RZ14" s="583"/>
      <c r="SA14" s="583"/>
      <c r="SB14" s="583"/>
      <c r="SC14" s="583"/>
      <c r="SD14" s="583"/>
      <c r="SE14" s="583"/>
      <c r="SF14" s="583"/>
      <c r="SG14" s="583"/>
      <c r="SH14" s="583"/>
      <c r="SI14" s="583"/>
      <c r="SJ14" s="583"/>
      <c r="SK14" s="583"/>
      <c r="SL14" s="583"/>
      <c r="SM14" s="583"/>
      <c r="SN14" s="583"/>
      <c r="SO14" s="583"/>
      <c r="SP14" s="583"/>
      <c r="SQ14" s="583"/>
      <c r="SR14" s="583"/>
      <c r="SS14" s="583"/>
      <c r="ST14" s="583"/>
      <c r="SU14" s="583"/>
      <c r="SV14" s="583"/>
      <c r="SW14" s="583"/>
      <c r="SX14" s="583"/>
      <c r="SY14" s="583"/>
      <c r="SZ14" s="583"/>
      <c r="TA14" s="583"/>
      <c r="TB14" s="583"/>
      <c r="TC14" s="583"/>
      <c r="TD14" s="583"/>
      <c r="TE14" s="583"/>
      <c r="TF14" s="583"/>
      <c r="TG14" s="583"/>
      <c r="TH14" s="583"/>
      <c r="TI14" s="583"/>
      <c r="TJ14" s="583"/>
      <c r="TK14" s="583"/>
      <c r="TL14" s="583"/>
      <c r="TM14" s="583"/>
      <c r="TN14" s="583"/>
      <c r="TO14" s="583"/>
      <c r="TP14" s="583"/>
      <c r="TQ14" s="583"/>
      <c r="TR14" s="583"/>
      <c r="TS14" s="583"/>
      <c r="TT14" s="583"/>
      <c r="TU14" s="583"/>
      <c r="TV14" s="583"/>
      <c r="TW14" s="583"/>
      <c r="TX14" s="583"/>
      <c r="TY14" s="583"/>
      <c r="TZ14" s="583"/>
      <c r="UA14" s="583"/>
      <c r="UB14" s="583"/>
      <c r="UC14" s="583"/>
      <c r="UD14" s="583"/>
      <c r="UE14" s="583"/>
      <c r="UF14" s="583"/>
      <c r="UG14" s="583"/>
      <c r="UH14" s="583"/>
      <c r="UI14" s="583"/>
      <c r="UJ14" s="583"/>
      <c r="UK14" s="583"/>
      <c r="UL14" s="583"/>
      <c r="UM14" s="583"/>
      <c r="UN14" s="583"/>
      <c r="UO14" s="583"/>
      <c r="UP14" s="583"/>
      <c r="UQ14" s="583"/>
      <c r="UR14" s="583"/>
      <c r="US14" s="583"/>
      <c r="UT14" s="583"/>
      <c r="UU14" s="583"/>
      <c r="UV14" s="583"/>
      <c r="UW14" s="583"/>
      <c r="UX14" s="583"/>
      <c r="UY14" s="583"/>
      <c r="UZ14" s="583"/>
      <c r="VA14" s="583"/>
      <c r="VB14" s="583"/>
      <c r="VC14" s="583"/>
      <c r="VD14" s="583"/>
      <c r="VE14" s="583"/>
      <c r="VF14" s="583"/>
      <c r="VG14" s="583"/>
      <c r="VH14" s="583"/>
      <c r="VI14" s="583"/>
      <c r="VJ14" s="583"/>
      <c r="VK14" s="583"/>
      <c r="VL14" s="583"/>
      <c r="VM14" s="583"/>
      <c r="VN14" s="583"/>
      <c r="VO14" s="583"/>
      <c r="VP14" s="583"/>
      <c r="VQ14" s="583"/>
      <c r="VR14" s="583"/>
      <c r="VS14" s="583"/>
      <c r="VT14" s="583"/>
      <c r="VU14" s="583"/>
      <c r="VV14" s="583"/>
      <c r="VW14" s="583"/>
      <c r="VX14" s="583"/>
      <c r="VY14" s="583"/>
      <c r="VZ14" s="583"/>
      <c r="WA14" s="583"/>
      <c r="WB14" s="583"/>
      <c r="WC14" s="583"/>
      <c r="WD14" s="583"/>
      <c r="WE14" s="583"/>
      <c r="WF14" s="583"/>
      <c r="WG14" s="583"/>
      <c r="WH14" s="583"/>
      <c r="WI14" s="583"/>
      <c r="WJ14" s="583"/>
      <c r="WK14" s="583"/>
      <c r="WL14" s="583"/>
      <c r="WM14" s="583"/>
      <c r="WN14" s="583"/>
      <c r="WO14" s="583"/>
      <c r="WP14" s="583"/>
      <c r="WQ14" s="583"/>
      <c r="WR14" s="583"/>
      <c r="WS14" s="583"/>
      <c r="WT14" s="583"/>
      <c r="WU14" s="583"/>
      <c r="WV14" s="583"/>
      <c r="WW14" s="583"/>
      <c r="WX14" s="583"/>
      <c r="WY14" s="583"/>
      <c r="WZ14" s="583"/>
      <c r="XA14" s="583"/>
      <c r="XB14" s="583"/>
      <c r="XC14" s="583"/>
      <c r="XD14" s="583"/>
      <c r="XE14" s="583"/>
      <c r="XF14" s="583"/>
      <c r="XG14" s="583"/>
      <c r="XH14" s="583"/>
      <c r="XI14" s="583"/>
      <c r="XJ14" s="583"/>
      <c r="XK14" s="583"/>
      <c r="XL14" s="583"/>
      <c r="XM14" s="583"/>
      <c r="XN14" s="583"/>
      <c r="XO14" s="583"/>
      <c r="XP14" s="583"/>
      <c r="XQ14" s="583"/>
      <c r="XR14" s="583"/>
      <c r="XS14" s="583"/>
      <c r="XT14" s="583"/>
      <c r="XU14" s="583"/>
      <c r="XV14" s="583"/>
      <c r="XW14" s="583"/>
      <c r="XX14" s="583"/>
      <c r="XY14" s="583"/>
      <c r="XZ14" s="583"/>
      <c r="YA14" s="583"/>
      <c r="YB14" s="583"/>
      <c r="YC14" s="583"/>
      <c r="YD14" s="583"/>
      <c r="YE14" s="583"/>
      <c r="YF14" s="583"/>
      <c r="YG14" s="583"/>
      <c r="YH14" s="583"/>
      <c r="YI14" s="583"/>
      <c r="YJ14" s="583"/>
      <c r="YK14" s="583"/>
      <c r="YL14" s="583"/>
      <c r="YM14" s="583"/>
      <c r="YN14" s="583"/>
      <c r="YO14" s="583"/>
      <c r="YP14" s="583"/>
      <c r="YQ14" s="583"/>
      <c r="YR14" s="583"/>
      <c r="YS14" s="583"/>
      <c r="YT14" s="583"/>
      <c r="YU14" s="583"/>
      <c r="YV14" s="583"/>
      <c r="YW14" s="583"/>
      <c r="YX14" s="583"/>
      <c r="YY14" s="583"/>
      <c r="YZ14" s="583"/>
      <c r="ZA14" s="583"/>
      <c r="ZB14" s="583"/>
      <c r="ZC14" s="583"/>
      <c r="ZD14" s="583"/>
      <c r="ZE14" s="583"/>
      <c r="ZF14" s="583"/>
      <c r="ZG14" s="583"/>
      <c r="ZH14" s="583"/>
      <c r="ZI14" s="583"/>
      <c r="ZJ14" s="583"/>
      <c r="ZK14" s="583"/>
      <c r="ZL14" s="583"/>
      <c r="ZM14" s="583"/>
      <c r="ZN14" s="583"/>
      <c r="ZO14" s="583"/>
      <c r="ZP14" s="583"/>
      <c r="ZQ14" s="583"/>
      <c r="ZR14" s="583"/>
      <c r="ZS14" s="583"/>
      <c r="ZT14" s="583"/>
      <c r="ZU14" s="583"/>
      <c r="ZV14" s="583"/>
      <c r="ZW14" s="583"/>
      <c r="ZX14" s="583"/>
      <c r="ZY14" s="583"/>
      <c r="ZZ14" s="583"/>
      <c r="AAA14" s="583"/>
      <c r="AAB14" s="583"/>
      <c r="AAC14" s="583"/>
      <c r="AAD14" s="583"/>
      <c r="AAE14" s="583"/>
      <c r="AAF14" s="583"/>
      <c r="AAG14" s="583"/>
      <c r="AAH14" s="583"/>
      <c r="AAI14" s="583"/>
      <c r="AAJ14" s="583"/>
      <c r="AAK14" s="583"/>
      <c r="AAL14" s="583"/>
      <c r="AAM14" s="583"/>
      <c r="AAN14" s="583"/>
      <c r="AAO14" s="583"/>
      <c r="AAP14" s="583"/>
      <c r="AAQ14" s="583"/>
      <c r="AAR14" s="583"/>
      <c r="AAS14" s="583"/>
      <c r="AAT14" s="583"/>
      <c r="AAU14" s="583"/>
      <c r="AAV14" s="583"/>
      <c r="AAW14" s="583"/>
      <c r="AAX14" s="583"/>
      <c r="AAY14" s="583"/>
      <c r="AAZ14" s="583"/>
      <c r="ABA14" s="583"/>
      <c r="ABB14" s="583"/>
      <c r="ABC14" s="583"/>
      <c r="ABD14" s="583"/>
      <c r="ABE14" s="583"/>
      <c r="ABF14" s="583"/>
      <c r="ABG14" s="583"/>
      <c r="ABH14" s="583"/>
      <c r="ABI14" s="583"/>
      <c r="ABJ14" s="583"/>
      <c r="ABK14" s="583"/>
      <c r="ABL14" s="583"/>
      <c r="ABM14" s="583"/>
      <c r="ABN14" s="583"/>
      <c r="ABO14" s="583"/>
      <c r="ABP14" s="583"/>
      <c r="ABQ14" s="583"/>
      <c r="ABR14" s="583"/>
      <c r="ABS14" s="583"/>
      <c r="ABT14" s="583"/>
      <c r="ABU14" s="583"/>
      <c r="ABV14" s="583"/>
      <c r="ABW14" s="583"/>
      <c r="ABX14" s="583"/>
      <c r="ABY14" s="583"/>
      <c r="ABZ14" s="583"/>
      <c r="ACA14" s="583"/>
      <c r="ACB14" s="583"/>
      <c r="ACC14" s="583"/>
      <c r="ACD14" s="583"/>
      <c r="ACE14" s="583"/>
      <c r="ACF14" s="583"/>
      <c r="ACG14" s="583"/>
      <c r="ACH14" s="583"/>
      <c r="ACI14" s="583"/>
      <c r="ACJ14" s="583"/>
      <c r="ACK14" s="583"/>
      <c r="ACL14" s="583"/>
      <c r="ACM14" s="583"/>
      <c r="ACN14" s="583"/>
      <c r="ACO14" s="583"/>
      <c r="ACP14" s="583"/>
      <c r="ACQ14" s="583"/>
      <c r="ACR14" s="583"/>
      <c r="ACS14" s="583"/>
      <c r="ACT14" s="583"/>
      <c r="ACU14" s="583"/>
      <c r="ACV14" s="583"/>
      <c r="ACW14" s="583"/>
      <c r="ACX14" s="583"/>
      <c r="ACY14" s="583"/>
      <c r="ACZ14" s="583"/>
      <c r="ADA14" s="583"/>
      <c r="ADB14" s="583"/>
      <c r="ADC14" s="583"/>
      <c r="ADD14" s="583"/>
      <c r="ADE14" s="583"/>
      <c r="ADF14" s="583"/>
      <c r="ADG14" s="583"/>
      <c r="ADH14" s="583"/>
      <c r="ADI14" s="583"/>
      <c r="ADJ14" s="583"/>
      <c r="ADK14" s="583"/>
      <c r="ADL14" s="583"/>
      <c r="ADM14" s="583"/>
      <c r="ADN14" s="583"/>
      <c r="ADO14" s="583"/>
      <c r="ADP14" s="583"/>
      <c r="ADQ14" s="583"/>
      <c r="ADR14" s="583"/>
      <c r="ADS14" s="583"/>
      <c r="ADT14" s="583"/>
      <c r="ADU14" s="583"/>
      <c r="ADV14" s="583"/>
      <c r="ADW14" s="583"/>
      <c r="ADX14" s="583"/>
      <c r="ADY14" s="583"/>
      <c r="ADZ14" s="583"/>
      <c r="AEA14" s="583"/>
      <c r="AEB14" s="583"/>
      <c r="AEC14" s="583"/>
      <c r="AED14" s="583"/>
      <c r="AEE14" s="583"/>
      <c r="AEF14" s="583"/>
      <c r="AEG14" s="583"/>
      <c r="AEH14" s="583"/>
      <c r="AEI14" s="583"/>
      <c r="AEJ14" s="583"/>
      <c r="AEK14" s="583"/>
      <c r="AEL14" s="583"/>
      <c r="AEM14" s="583"/>
      <c r="AEN14" s="583"/>
      <c r="AEO14" s="583"/>
      <c r="AEP14" s="583"/>
      <c r="AEQ14" s="583"/>
      <c r="AER14" s="583"/>
      <c r="AES14" s="583"/>
      <c r="AET14" s="583"/>
      <c r="AEU14" s="583"/>
      <c r="AEV14" s="583"/>
      <c r="AEW14" s="583"/>
      <c r="AEX14" s="583"/>
      <c r="AEY14" s="583"/>
      <c r="AEZ14" s="583"/>
      <c r="AFA14" s="583"/>
      <c r="AFB14" s="583"/>
      <c r="AFC14" s="583"/>
      <c r="AFD14" s="583"/>
      <c r="AFE14" s="583"/>
      <c r="AFF14" s="583"/>
      <c r="AFG14" s="583"/>
      <c r="AFH14" s="583"/>
      <c r="AFI14" s="583"/>
      <c r="AFJ14" s="583"/>
      <c r="AFK14" s="583"/>
      <c r="AFL14" s="583"/>
      <c r="AFM14" s="583"/>
      <c r="AFN14" s="583"/>
      <c r="AFO14" s="583"/>
      <c r="AFP14" s="583"/>
      <c r="AFQ14" s="583"/>
      <c r="AFR14" s="583"/>
      <c r="AFS14" s="583"/>
      <c r="AFT14" s="583"/>
      <c r="AFU14" s="583"/>
      <c r="AFV14" s="583"/>
      <c r="AFW14" s="583"/>
      <c r="AFX14" s="583"/>
      <c r="AFY14" s="583"/>
      <c r="AFZ14" s="583"/>
      <c r="AGA14" s="583"/>
      <c r="AGB14" s="583"/>
      <c r="AGC14" s="583"/>
      <c r="AGD14" s="583"/>
      <c r="AGE14" s="583"/>
      <c r="AGF14" s="583"/>
      <c r="AGG14" s="583"/>
      <c r="AGH14" s="583"/>
      <c r="AGI14" s="583"/>
      <c r="AGJ14" s="583"/>
      <c r="AGK14" s="583"/>
      <c r="AGL14" s="583"/>
      <c r="AGM14" s="583"/>
      <c r="AGN14" s="583"/>
      <c r="AGO14" s="583"/>
      <c r="AGP14" s="583"/>
      <c r="AGQ14" s="583"/>
      <c r="AGR14" s="583"/>
      <c r="AGS14" s="583"/>
      <c r="AGT14" s="583"/>
      <c r="AGU14" s="583"/>
      <c r="AGV14" s="583"/>
      <c r="AGW14" s="583"/>
      <c r="AGX14" s="583"/>
      <c r="AGY14" s="583"/>
      <c r="AGZ14" s="583"/>
      <c r="AHA14" s="583"/>
      <c r="AHB14" s="583"/>
      <c r="AHC14" s="583"/>
      <c r="AHD14" s="583"/>
      <c r="AHE14" s="583"/>
      <c r="AHF14" s="583"/>
      <c r="AHG14" s="583"/>
      <c r="AHH14" s="583"/>
      <c r="AHI14" s="583"/>
      <c r="AHJ14" s="583"/>
      <c r="AHK14" s="583"/>
      <c r="AHL14" s="583"/>
      <c r="AHM14" s="583"/>
      <c r="AHN14" s="583"/>
      <c r="AHO14" s="583"/>
      <c r="AHP14" s="583"/>
      <c r="AHQ14" s="583"/>
      <c r="AHR14" s="583"/>
      <c r="AHS14" s="583"/>
      <c r="AHT14" s="583"/>
      <c r="AHU14" s="583"/>
      <c r="AHV14" s="583"/>
      <c r="AHW14" s="583"/>
      <c r="AHX14" s="583"/>
      <c r="AHY14" s="583"/>
      <c r="AHZ14" s="583"/>
      <c r="AIA14" s="583"/>
      <c r="AIB14" s="583"/>
      <c r="AIC14" s="583"/>
      <c r="AID14" s="583"/>
      <c r="AIE14" s="583"/>
      <c r="AIF14" s="583"/>
      <c r="AIG14" s="583"/>
      <c r="AIH14" s="583"/>
      <c r="AII14" s="583"/>
      <c r="AIJ14" s="583"/>
      <c r="AIK14" s="583"/>
      <c r="AIL14" s="583"/>
      <c r="AIM14" s="583"/>
      <c r="AIN14" s="583"/>
      <c r="AIO14" s="583"/>
      <c r="AIP14" s="583"/>
      <c r="AIQ14" s="583"/>
      <c r="AIR14" s="583"/>
      <c r="AIS14" s="583"/>
      <c r="AIT14" s="583"/>
      <c r="AIU14" s="583"/>
      <c r="AIV14" s="583"/>
      <c r="AIW14" s="583"/>
      <c r="AIX14" s="583"/>
      <c r="AIY14" s="583"/>
      <c r="AIZ14" s="583"/>
      <c r="AJA14" s="583"/>
      <c r="AJB14" s="583"/>
      <c r="AJC14" s="583"/>
      <c r="AJD14" s="583"/>
      <c r="AJE14" s="583"/>
      <c r="AJF14" s="583"/>
      <c r="AJG14" s="583"/>
      <c r="AJH14" s="583"/>
      <c r="AJI14" s="583"/>
      <c r="AJJ14" s="583"/>
      <c r="AJK14" s="583"/>
      <c r="AJL14" s="583"/>
      <c r="AJM14" s="583"/>
      <c r="AJN14" s="583"/>
      <c r="AJO14" s="583"/>
      <c r="AJP14" s="583"/>
      <c r="AJQ14" s="583"/>
      <c r="AJR14" s="583"/>
      <c r="AJS14" s="583"/>
      <c r="AJT14" s="583"/>
      <c r="AJU14" s="583"/>
      <c r="AJV14" s="583"/>
      <c r="AJW14" s="583"/>
      <c r="AJX14" s="583"/>
      <c r="AJY14" s="583"/>
      <c r="AJZ14" s="583"/>
      <c r="AKA14" s="583"/>
      <c r="AKB14" s="583"/>
      <c r="AKC14" s="583"/>
      <c r="AKD14" s="583"/>
      <c r="AKE14" s="583"/>
      <c r="AKF14" s="583"/>
      <c r="AKG14" s="583"/>
      <c r="AKH14" s="583"/>
      <c r="AKI14" s="583"/>
      <c r="AKJ14" s="583"/>
      <c r="AKK14" s="583"/>
      <c r="AKL14" s="583"/>
      <c r="AKM14" s="583"/>
      <c r="AKN14" s="583"/>
      <c r="AKO14" s="583"/>
      <c r="AKP14" s="583"/>
      <c r="AKQ14" s="583"/>
      <c r="AKR14" s="583"/>
      <c r="AKS14" s="583"/>
      <c r="AKT14" s="583"/>
      <c r="AKU14" s="583"/>
      <c r="AKV14" s="583"/>
      <c r="AKW14" s="583"/>
      <c r="AKX14" s="583"/>
      <c r="AKY14" s="583"/>
      <c r="AKZ14" s="583"/>
      <c r="ALA14" s="583"/>
      <c r="ALB14" s="583"/>
      <c r="ALC14" s="583"/>
      <c r="ALD14" s="583"/>
      <c r="ALE14" s="583"/>
      <c r="ALF14" s="583"/>
      <c r="ALG14" s="583"/>
      <c r="ALH14" s="583"/>
      <c r="ALI14" s="583"/>
      <c r="ALJ14" s="583"/>
      <c r="ALK14" s="583"/>
      <c r="ALL14" s="583"/>
      <c r="ALM14" s="583"/>
      <c r="ALN14" s="583"/>
      <c r="ALO14" s="583"/>
      <c r="ALP14" s="583"/>
      <c r="ALQ14" s="583"/>
      <c r="ALR14" s="583"/>
      <c r="ALS14" s="583"/>
      <c r="ALT14" s="583"/>
      <c r="ALU14" s="583"/>
      <c r="ALV14" s="583"/>
      <c r="ALW14" s="583"/>
      <c r="ALX14" s="583"/>
      <c r="ALY14" s="583"/>
      <c r="ALZ14" s="583"/>
      <c r="AMA14" s="583"/>
      <c r="AMB14" s="583"/>
      <c r="AMC14" s="583"/>
      <c r="AMD14" s="583"/>
      <c r="AME14" s="583"/>
      <c r="AMF14" s="583"/>
      <c r="AMG14" s="583"/>
      <c r="AMH14" s="583"/>
      <c r="AMI14" s="583"/>
      <c r="AMJ14" s="583"/>
      <c r="AMK14" s="583"/>
      <c r="AML14" s="583"/>
      <c r="AMM14" s="583"/>
      <c r="AMN14" s="583"/>
      <c r="AMO14" s="583"/>
      <c r="AMP14" s="583"/>
      <c r="AMQ14" s="583"/>
      <c r="AMR14" s="583"/>
      <c r="AMS14" s="583"/>
      <c r="AMT14" s="583"/>
      <c r="AMU14" s="583"/>
      <c r="AMV14" s="583"/>
      <c r="AMW14" s="583"/>
      <c r="AMX14" s="583"/>
      <c r="AMY14" s="583"/>
      <c r="AMZ14" s="583"/>
      <c r="ANA14" s="583"/>
      <c r="ANB14" s="583"/>
      <c r="ANC14" s="583"/>
      <c r="AND14" s="583"/>
      <c r="ANE14" s="583"/>
      <c r="ANF14" s="583"/>
      <c r="ANG14" s="583"/>
      <c r="ANH14" s="583"/>
      <c r="ANI14" s="583"/>
      <c r="ANJ14" s="583"/>
      <c r="ANK14" s="583"/>
      <c r="ANL14" s="583"/>
      <c r="ANM14" s="583"/>
      <c r="ANN14" s="583"/>
      <c r="ANO14" s="583"/>
      <c r="ANP14" s="583"/>
      <c r="ANQ14" s="583"/>
      <c r="ANR14" s="583"/>
      <c r="ANS14" s="583"/>
      <c r="ANT14" s="583"/>
      <c r="ANU14" s="583"/>
      <c r="ANV14" s="583"/>
      <c r="ANW14" s="583"/>
      <c r="ANX14" s="583"/>
      <c r="ANY14" s="583"/>
      <c r="ANZ14" s="583"/>
      <c r="AOA14" s="583"/>
      <c r="AOB14" s="583"/>
      <c r="AOC14" s="583"/>
      <c r="AOD14" s="583"/>
      <c r="AOE14" s="583"/>
      <c r="AOF14" s="583"/>
      <c r="AOG14" s="583"/>
      <c r="AOH14" s="583"/>
      <c r="AOI14" s="583"/>
      <c r="AOJ14" s="583"/>
      <c r="AOK14" s="583"/>
      <c r="AOL14" s="583"/>
      <c r="AOM14" s="583"/>
      <c r="AON14" s="583"/>
      <c r="AOO14" s="583"/>
      <c r="AOP14" s="583"/>
      <c r="AOQ14" s="583"/>
      <c r="AOR14" s="583"/>
      <c r="AOS14" s="583"/>
      <c r="AOT14" s="583"/>
      <c r="AOU14" s="583"/>
      <c r="AOV14" s="583"/>
      <c r="AOW14" s="583"/>
      <c r="AOX14" s="583"/>
      <c r="AOY14" s="583"/>
      <c r="AOZ14" s="583"/>
      <c r="APA14" s="583"/>
      <c r="APB14" s="583"/>
      <c r="APC14" s="583"/>
      <c r="APD14" s="583"/>
      <c r="APE14" s="583"/>
      <c r="APF14" s="583"/>
      <c r="APG14" s="583"/>
      <c r="APH14" s="583"/>
      <c r="API14" s="583"/>
      <c r="APJ14" s="583"/>
      <c r="APK14" s="583"/>
      <c r="APL14" s="583"/>
      <c r="APM14" s="583"/>
      <c r="APN14" s="583"/>
      <c r="APO14" s="583"/>
      <c r="APP14" s="583"/>
      <c r="APQ14" s="583"/>
      <c r="APR14" s="583"/>
      <c r="APS14" s="583"/>
      <c r="APT14" s="583"/>
      <c r="APU14" s="583"/>
      <c r="APV14" s="583"/>
      <c r="APW14" s="583"/>
      <c r="APX14" s="583"/>
      <c r="APY14" s="583"/>
      <c r="APZ14" s="583"/>
      <c r="AQA14" s="583"/>
      <c r="AQB14" s="583"/>
      <c r="AQC14" s="583"/>
      <c r="AQD14" s="583"/>
      <c r="AQE14" s="583"/>
      <c r="AQF14" s="583"/>
      <c r="AQG14" s="583"/>
      <c r="AQH14" s="583"/>
      <c r="AQI14" s="583"/>
      <c r="AQJ14" s="583"/>
      <c r="AQK14" s="583"/>
      <c r="AQL14" s="583"/>
      <c r="AQM14" s="583"/>
      <c r="AQN14" s="583"/>
      <c r="AQO14" s="583"/>
      <c r="AQP14" s="583"/>
      <c r="AQQ14" s="583"/>
      <c r="AQR14" s="583"/>
      <c r="AQS14" s="583"/>
      <c r="AQT14" s="583"/>
      <c r="AQU14" s="583"/>
      <c r="AQV14" s="583"/>
      <c r="AQW14" s="583"/>
      <c r="AQX14" s="583"/>
      <c r="AQY14" s="583"/>
      <c r="AQZ14" s="583"/>
      <c r="ARA14" s="583"/>
      <c r="ARB14" s="583"/>
      <c r="ARC14" s="583"/>
      <c r="ARD14" s="583"/>
      <c r="ARE14" s="583"/>
      <c r="ARF14" s="583"/>
      <c r="ARG14" s="583"/>
      <c r="ARH14" s="583"/>
      <c r="ARI14" s="583"/>
      <c r="ARJ14" s="583"/>
      <c r="ARK14" s="583"/>
      <c r="ARL14" s="583"/>
      <c r="ARM14" s="583"/>
      <c r="ARN14" s="583"/>
      <c r="ARO14" s="583"/>
      <c r="ARP14" s="583"/>
      <c r="ARQ14" s="583"/>
      <c r="ARR14" s="583"/>
      <c r="ARS14" s="583"/>
      <c r="ART14" s="583"/>
      <c r="ARU14" s="583"/>
      <c r="ARV14" s="583"/>
      <c r="ARW14" s="583"/>
      <c r="ARX14" s="583"/>
      <c r="ARY14" s="583"/>
      <c r="ARZ14" s="583"/>
      <c r="ASA14" s="583"/>
      <c r="ASB14" s="583"/>
      <c r="ASC14" s="583"/>
      <c r="ASD14" s="583"/>
      <c r="ASE14" s="583"/>
      <c r="ASF14" s="583"/>
      <c r="ASG14" s="583"/>
      <c r="ASH14" s="583"/>
      <c r="ASI14" s="583"/>
      <c r="ASJ14" s="583"/>
      <c r="ASK14" s="583"/>
      <c r="ASL14" s="583"/>
      <c r="ASM14" s="583"/>
      <c r="ASN14" s="583"/>
      <c r="ASO14" s="583"/>
      <c r="ASP14" s="583"/>
      <c r="ASQ14" s="583"/>
      <c r="ASR14" s="583"/>
      <c r="ASS14" s="583"/>
      <c r="AST14" s="583"/>
      <c r="ASU14" s="583"/>
      <c r="ASV14" s="583"/>
      <c r="ASW14" s="583"/>
      <c r="ASX14" s="583"/>
      <c r="ASY14" s="583"/>
      <c r="ASZ14" s="583"/>
      <c r="ATA14" s="583"/>
      <c r="ATB14" s="583"/>
      <c r="ATC14" s="583"/>
      <c r="ATD14" s="583"/>
      <c r="ATE14" s="583"/>
      <c r="ATF14" s="583"/>
      <c r="ATG14" s="583"/>
      <c r="ATH14" s="583"/>
      <c r="ATI14" s="583"/>
      <c r="ATJ14" s="583"/>
      <c r="ATK14" s="583"/>
      <c r="ATL14" s="583"/>
      <c r="ATM14" s="583"/>
      <c r="ATN14" s="583"/>
      <c r="ATO14" s="583"/>
      <c r="ATP14" s="583"/>
      <c r="ATQ14" s="583"/>
      <c r="ATR14" s="583"/>
      <c r="ATS14" s="583"/>
      <c r="ATT14" s="583"/>
      <c r="ATU14" s="583"/>
      <c r="ATV14" s="583"/>
      <c r="ATW14" s="583"/>
      <c r="ATX14" s="583"/>
      <c r="ATY14" s="583"/>
      <c r="ATZ14" s="583"/>
      <c r="AUA14" s="583"/>
      <c r="AUB14" s="583"/>
      <c r="AUC14" s="583"/>
      <c r="AUD14" s="583"/>
      <c r="AUE14" s="583"/>
      <c r="AUF14" s="583"/>
      <c r="AUG14" s="583"/>
      <c r="AUH14" s="583"/>
      <c r="AUI14" s="583"/>
      <c r="AUJ14" s="583"/>
      <c r="AUK14" s="583"/>
      <c r="AUL14" s="583"/>
      <c r="AUM14" s="583"/>
      <c r="AUN14" s="583"/>
      <c r="AUO14" s="583"/>
      <c r="AUP14" s="583"/>
      <c r="AUQ14" s="583"/>
      <c r="AUR14" s="583"/>
      <c r="AUS14" s="583"/>
      <c r="AUT14" s="583"/>
      <c r="AUU14" s="583"/>
      <c r="AUV14" s="583"/>
      <c r="AUW14" s="583"/>
      <c r="AUX14" s="583"/>
      <c r="AUY14" s="583"/>
      <c r="AUZ14" s="583"/>
      <c r="AVA14" s="583"/>
      <c r="AVB14" s="583"/>
      <c r="AVC14" s="583"/>
      <c r="AVD14" s="583"/>
      <c r="AVE14" s="583"/>
      <c r="AVF14" s="583"/>
      <c r="AVG14" s="583"/>
      <c r="AVH14" s="583"/>
      <c r="AVI14" s="583"/>
      <c r="AVJ14" s="583"/>
      <c r="AVK14" s="583"/>
      <c r="AVL14" s="583"/>
      <c r="AVM14" s="583"/>
      <c r="AVN14" s="583"/>
      <c r="AVO14" s="583"/>
      <c r="AVP14" s="583"/>
      <c r="AVQ14" s="583"/>
      <c r="AVR14" s="583"/>
      <c r="AVS14" s="583"/>
      <c r="AVT14" s="583"/>
      <c r="AVU14" s="583"/>
      <c r="AVV14" s="583"/>
      <c r="AVW14" s="583"/>
      <c r="AVX14" s="583"/>
      <c r="AVY14" s="583"/>
      <c r="AVZ14" s="583"/>
      <c r="AWA14" s="583"/>
      <c r="AWB14" s="583"/>
      <c r="AWC14" s="583"/>
      <c r="AWD14" s="583"/>
      <c r="AWE14" s="583"/>
      <c r="AWF14" s="583"/>
      <c r="AWG14" s="583"/>
      <c r="AWH14" s="583"/>
      <c r="AWI14" s="583"/>
      <c r="AWJ14" s="583"/>
      <c r="AWK14" s="583"/>
      <c r="AWL14" s="583"/>
      <c r="AWM14" s="583"/>
      <c r="AWN14" s="583"/>
      <c r="AWO14" s="583"/>
      <c r="AWP14" s="583"/>
      <c r="AWQ14" s="583"/>
      <c r="AWR14" s="583"/>
      <c r="AWS14" s="583"/>
      <c r="AWT14" s="583"/>
      <c r="AWU14" s="583"/>
      <c r="AWV14" s="583"/>
      <c r="AWW14" s="583"/>
      <c r="AWX14" s="583"/>
      <c r="AWY14" s="583"/>
      <c r="AWZ14" s="583"/>
      <c r="AXA14" s="583"/>
      <c r="AXB14" s="583"/>
      <c r="AXC14" s="583"/>
      <c r="AXD14" s="583"/>
      <c r="AXE14" s="583"/>
      <c r="AXF14" s="583"/>
      <c r="AXG14" s="583"/>
      <c r="AXH14" s="583"/>
      <c r="AXI14" s="583"/>
      <c r="AXJ14" s="583"/>
      <c r="AXK14" s="583"/>
      <c r="AXL14" s="583"/>
      <c r="AXM14" s="583"/>
      <c r="AXN14" s="583"/>
      <c r="AXO14" s="583"/>
      <c r="AXP14" s="583"/>
      <c r="AXQ14" s="583"/>
      <c r="AXR14" s="583"/>
      <c r="AXS14" s="583"/>
      <c r="AXT14" s="583"/>
      <c r="AXU14" s="583"/>
      <c r="AXV14" s="583"/>
      <c r="AXW14" s="583"/>
      <c r="AXX14" s="583"/>
      <c r="AXY14" s="583"/>
      <c r="AXZ14" s="583"/>
      <c r="AYA14" s="583"/>
      <c r="AYB14" s="583"/>
      <c r="AYC14" s="583"/>
      <c r="AYD14" s="583"/>
      <c r="AYE14" s="583"/>
      <c r="AYF14" s="583"/>
      <c r="AYG14" s="583"/>
      <c r="AYH14" s="583"/>
      <c r="AYI14" s="583"/>
      <c r="AYJ14" s="583"/>
      <c r="AYK14" s="583"/>
      <c r="AYL14" s="583"/>
      <c r="AYM14" s="583"/>
      <c r="AYN14" s="583"/>
      <c r="AYO14" s="583"/>
      <c r="AYP14" s="583"/>
      <c r="AYQ14" s="583"/>
      <c r="AYR14" s="583"/>
      <c r="AYS14" s="583"/>
      <c r="AYT14" s="583"/>
      <c r="AYU14" s="583"/>
      <c r="AYV14" s="583"/>
      <c r="AYW14" s="583"/>
      <c r="AYX14" s="583"/>
      <c r="AYY14" s="583"/>
      <c r="AYZ14" s="583"/>
      <c r="AZA14" s="583"/>
      <c r="AZB14" s="583"/>
      <c r="AZC14" s="583"/>
      <c r="AZD14" s="583"/>
      <c r="AZE14" s="583"/>
      <c r="AZF14" s="583"/>
      <c r="AZG14" s="583"/>
      <c r="AZH14" s="583"/>
      <c r="AZI14" s="583"/>
      <c r="AZJ14" s="583"/>
      <c r="AZK14" s="583"/>
      <c r="AZL14" s="583"/>
      <c r="AZM14" s="583"/>
      <c r="AZN14" s="583"/>
      <c r="AZO14" s="583"/>
      <c r="AZP14" s="583"/>
      <c r="AZQ14" s="583"/>
      <c r="AZR14" s="583"/>
      <c r="AZS14" s="583"/>
      <c r="AZT14" s="583"/>
      <c r="AZU14" s="583"/>
      <c r="AZV14" s="583"/>
      <c r="AZW14" s="583"/>
      <c r="AZX14" s="583"/>
      <c r="AZY14" s="583"/>
      <c r="AZZ14" s="583"/>
      <c r="BAA14" s="583"/>
      <c r="BAB14" s="583"/>
      <c r="BAC14" s="583"/>
      <c r="BAD14" s="583"/>
      <c r="BAE14" s="583"/>
      <c r="BAF14" s="583"/>
      <c r="BAG14" s="583"/>
      <c r="BAH14" s="583"/>
      <c r="BAI14" s="583"/>
      <c r="BAJ14" s="583"/>
      <c r="BAK14" s="583"/>
      <c r="BAL14" s="583"/>
      <c r="BAM14" s="583"/>
      <c r="BAN14" s="583"/>
      <c r="BAO14" s="583"/>
      <c r="BAP14" s="583"/>
      <c r="BAQ14" s="583"/>
      <c r="BAR14" s="583"/>
      <c r="BAS14" s="583"/>
      <c r="BAT14" s="583"/>
      <c r="BAU14" s="583"/>
      <c r="BAV14" s="583"/>
      <c r="BAW14" s="583"/>
      <c r="BAX14" s="583"/>
      <c r="BAY14" s="583"/>
      <c r="BAZ14" s="583"/>
      <c r="BBA14" s="583"/>
      <c r="BBB14" s="583"/>
      <c r="BBC14" s="583"/>
      <c r="BBD14" s="583"/>
      <c r="BBE14" s="583"/>
      <c r="BBF14" s="583"/>
      <c r="BBG14" s="583"/>
      <c r="BBH14" s="583"/>
      <c r="BBI14" s="583"/>
      <c r="BBJ14" s="583"/>
      <c r="BBK14" s="583"/>
      <c r="BBL14" s="583"/>
      <c r="BBM14" s="583"/>
      <c r="BBN14" s="583"/>
      <c r="BBO14" s="583"/>
      <c r="BBP14" s="583"/>
      <c r="BBQ14" s="583"/>
      <c r="BBR14" s="583"/>
      <c r="BBS14" s="583"/>
      <c r="BBT14" s="583"/>
      <c r="BBU14" s="583"/>
      <c r="BBV14" s="583"/>
      <c r="BBW14" s="583"/>
      <c r="BBX14" s="583"/>
      <c r="BBY14" s="583"/>
      <c r="BBZ14" s="583"/>
      <c r="BCA14" s="583"/>
      <c r="BCB14" s="583"/>
      <c r="BCC14" s="583"/>
      <c r="BCD14" s="583"/>
      <c r="BCE14" s="583"/>
      <c r="BCF14" s="583"/>
      <c r="BCG14" s="583"/>
      <c r="BCH14" s="583"/>
      <c r="BCI14" s="583"/>
      <c r="BCJ14" s="583"/>
      <c r="BCK14" s="583"/>
      <c r="BCL14" s="583"/>
      <c r="BCM14" s="583"/>
      <c r="BCN14" s="583"/>
      <c r="BCO14" s="583"/>
      <c r="BCP14" s="583"/>
      <c r="BCQ14" s="583"/>
      <c r="BCR14" s="583"/>
      <c r="BCS14" s="583"/>
      <c r="BCT14" s="583"/>
      <c r="BCU14" s="583"/>
      <c r="BCV14" s="583"/>
      <c r="BCW14" s="583"/>
      <c r="BCX14" s="583"/>
      <c r="BCY14" s="583"/>
      <c r="BCZ14" s="583"/>
      <c r="BDA14" s="583"/>
      <c r="BDB14" s="583"/>
      <c r="BDC14" s="583"/>
      <c r="BDD14" s="583"/>
      <c r="BDE14" s="583"/>
      <c r="BDF14" s="583"/>
      <c r="BDG14" s="583"/>
      <c r="BDH14" s="583"/>
      <c r="BDI14" s="583"/>
      <c r="BDJ14" s="583"/>
      <c r="BDK14" s="583"/>
      <c r="BDL14" s="583"/>
      <c r="BDM14" s="583"/>
      <c r="BDN14" s="583"/>
      <c r="BDO14" s="583"/>
      <c r="BDP14" s="583"/>
      <c r="BDQ14" s="583"/>
      <c r="BDR14" s="583"/>
      <c r="BDS14" s="583"/>
      <c r="BDT14" s="583"/>
      <c r="BDU14" s="583"/>
      <c r="BDV14" s="583"/>
      <c r="BDW14" s="583"/>
      <c r="BDX14" s="583"/>
      <c r="BDY14" s="583"/>
      <c r="BDZ14" s="583"/>
      <c r="BEA14" s="583"/>
      <c r="BEB14" s="583"/>
      <c r="BEC14" s="583"/>
      <c r="BED14" s="583"/>
      <c r="BEE14" s="583"/>
      <c r="BEF14" s="583"/>
      <c r="BEG14" s="583"/>
      <c r="BEH14" s="583"/>
      <c r="BEI14" s="583"/>
      <c r="BEJ14" s="583"/>
      <c r="BEK14" s="583"/>
      <c r="BEL14" s="583"/>
      <c r="BEM14" s="583"/>
      <c r="BEN14" s="583"/>
      <c r="BEO14" s="583"/>
      <c r="BEP14" s="583"/>
      <c r="BEQ14" s="583"/>
      <c r="BER14" s="583"/>
      <c r="BES14" s="583"/>
      <c r="BET14" s="583"/>
      <c r="BEU14" s="583"/>
      <c r="BEV14" s="583"/>
      <c r="BEW14" s="583"/>
      <c r="BEX14" s="583"/>
      <c r="BEY14" s="583"/>
      <c r="BEZ14" s="583"/>
      <c r="BFA14" s="583"/>
      <c r="BFB14" s="583"/>
      <c r="BFC14" s="583"/>
      <c r="BFD14" s="583"/>
      <c r="BFE14" s="583"/>
      <c r="BFF14" s="583"/>
      <c r="BFG14" s="583"/>
      <c r="BFH14" s="583"/>
      <c r="BFI14" s="583"/>
      <c r="BFJ14" s="583"/>
      <c r="BFK14" s="583"/>
      <c r="BFL14" s="583"/>
      <c r="BFM14" s="583"/>
      <c r="BFN14" s="583"/>
      <c r="BFO14" s="583"/>
      <c r="BFP14" s="583"/>
      <c r="BFQ14" s="583"/>
      <c r="BFR14" s="583"/>
      <c r="BFS14" s="583"/>
      <c r="BFT14" s="583"/>
      <c r="BFU14" s="583"/>
      <c r="BFV14" s="583"/>
      <c r="BFW14" s="583"/>
      <c r="BFX14" s="583"/>
      <c r="BFY14" s="583"/>
      <c r="BFZ14" s="583"/>
      <c r="BGA14" s="583"/>
      <c r="BGB14" s="583"/>
      <c r="BGC14" s="583"/>
      <c r="BGD14" s="583"/>
      <c r="BGE14" s="583"/>
      <c r="BGF14" s="583"/>
      <c r="BGG14" s="583"/>
      <c r="BGH14" s="583"/>
      <c r="BGI14" s="583"/>
      <c r="BGJ14" s="583"/>
      <c r="BGK14" s="583"/>
      <c r="BGL14" s="583"/>
      <c r="BGM14" s="583"/>
      <c r="BGN14" s="583"/>
      <c r="BGO14" s="583"/>
      <c r="BGP14" s="583"/>
      <c r="BGQ14" s="583"/>
      <c r="BGR14" s="583"/>
      <c r="BGS14" s="583"/>
      <c r="BGT14" s="583"/>
      <c r="BGU14" s="583"/>
      <c r="BGV14" s="583"/>
      <c r="BGW14" s="583"/>
      <c r="BGX14" s="583"/>
      <c r="BGY14" s="583"/>
      <c r="BGZ14" s="583"/>
      <c r="BHA14" s="583"/>
      <c r="BHB14" s="583"/>
      <c r="BHC14" s="583"/>
      <c r="BHD14" s="583"/>
      <c r="BHE14" s="583"/>
      <c r="BHF14" s="583"/>
      <c r="BHG14" s="583"/>
      <c r="BHH14" s="583"/>
      <c r="BHI14" s="583"/>
      <c r="BHJ14" s="583"/>
      <c r="BHK14" s="583"/>
      <c r="BHL14" s="583"/>
      <c r="BHM14" s="583"/>
      <c r="BHN14" s="583"/>
      <c r="BHO14" s="583"/>
      <c r="BHP14" s="583"/>
      <c r="BHQ14" s="583"/>
      <c r="BHR14" s="583"/>
      <c r="BHS14" s="583"/>
      <c r="BHT14" s="583"/>
      <c r="BHU14" s="583"/>
      <c r="BHV14" s="583"/>
      <c r="BHW14" s="583"/>
      <c r="BHX14" s="583"/>
      <c r="BHY14" s="583"/>
      <c r="BHZ14" s="583"/>
      <c r="BIA14" s="583"/>
      <c r="BIB14" s="583"/>
      <c r="BIC14" s="583"/>
      <c r="BID14" s="583"/>
      <c r="BIE14" s="583"/>
      <c r="BIF14" s="583"/>
      <c r="BIG14" s="583"/>
      <c r="BIH14" s="583"/>
      <c r="BII14" s="583"/>
      <c r="BIJ14" s="583"/>
      <c r="BIK14" s="583"/>
      <c r="BIL14" s="583"/>
      <c r="BIM14" s="583"/>
      <c r="BIN14" s="583"/>
      <c r="BIO14" s="583"/>
      <c r="BIP14" s="583"/>
      <c r="BIQ14" s="583"/>
      <c r="BIR14" s="583"/>
      <c r="BIS14" s="583"/>
      <c r="BIT14" s="583"/>
      <c r="BIU14" s="583"/>
      <c r="BIV14" s="583"/>
      <c r="BIW14" s="583"/>
      <c r="BIX14" s="583"/>
      <c r="BIY14" s="583"/>
      <c r="BIZ14" s="583"/>
      <c r="BJA14" s="583"/>
      <c r="BJB14" s="583"/>
      <c r="BJC14" s="583"/>
      <c r="BJD14" s="583"/>
      <c r="BJE14" s="583"/>
      <c r="BJF14" s="583"/>
      <c r="BJG14" s="583"/>
      <c r="BJH14" s="583"/>
      <c r="BJI14" s="583"/>
      <c r="BJJ14" s="583"/>
      <c r="BJK14" s="583"/>
      <c r="BJL14" s="583"/>
      <c r="BJM14" s="583"/>
      <c r="BJN14" s="583"/>
      <c r="BJO14" s="583"/>
      <c r="BJP14" s="583"/>
      <c r="BJQ14" s="583"/>
      <c r="BJR14" s="583"/>
      <c r="BJS14" s="583"/>
      <c r="BJT14" s="583"/>
      <c r="BJU14" s="583"/>
      <c r="BJV14" s="583"/>
      <c r="BJW14" s="583"/>
      <c r="BJX14" s="583"/>
      <c r="BJY14" s="583"/>
      <c r="BJZ14" s="583"/>
      <c r="BKA14" s="583"/>
      <c r="BKB14" s="583"/>
      <c r="BKC14" s="583"/>
      <c r="BKD14" s="583"/>
      <c r="BKE14" s="583"/>
      <c r="BKF14" s="583"/>
      <c r="BKG14" s="583"/>
      <c r="BKH14" s="583"/>
      <c r="BKI14" s="583"/>
      <c r="BKJ14" s="583"/>
      <c r="BKK14" s="583"/>
      <c r="BKL14" s="583"/>
      <c r="BKM14" s="583"/>
      <c r="BKN14" s="583"/>
      <c r="BKO14" s="583"/>
      <c r="BKP14" s="583"/>
      <c r="BKQ14" s="583"/>
      <c r="BKR14" s="583"/>
      <c r="BKS14" s="583"/>
      <c r="BKT14" s="583"/>
      <c r="BKU14" s="583"/>
      <c r="BKV14" s="583"/>
      <c r="BKW14" s="583"/>
      <c r="BKX14" s="583"/>
      <c r="BKY14" s="583"/>
      <c r="BKZ14" s="583"/>
      <c r="BLA14" s="583"/>
      <c r="BLB14" s="583"/>
      <c r="BLC14" s="583"/>
      <c r="BLD14" s="583"/>
      <c r="BLE14" s="583"/>
      <c r="BLF14" s="583"/>
      <c r="BLG14" s="583"/>
      <c r="BLH14" s="583"/>
      <c r="BLI14" s="583"/>
      <c r="BLJ14" s="583"/>
      <c r="BLK14" s="583"/>
      <c r="BLL14" s="583"/>
      <c r="BLM14" s="583"/>
      <c r="BLN14" s="583"/>
      <c r="BLO14" s="583"/>
      <c r="BLP14" s="583"/>
      <c r="BLQ14" s="583"/>
      <c r="BLR14" s="583"/>
      <c r="BLS14" s="583"/>
      <c r="BLT14" s="583"/>
      <c r="BLU14" s="583"/>
      <c r="BLV14" s="583"/>
      <c r="BLW14" s="583"/>
      <c r="BLX14" s="583"/>
      <c r="BLY14" s="583"/>
      <c r="BLZ14" s="583"/>
      <c r="BMA14" s="583"/>
      <c r="BMB14" s="583"/>
      <c r="BMC14" s="583"/>
      <c r="BMD14" s="583"/>
      <c r="BME14" s="583"/>
      <c r="BMF14" s="583"/>
      <c r="BMG14" s="583"/>
      <c r="BMH14" s="583"/>
      <c r="BMI14" s="583"/>
      <c r="BMJ14" s="583"/>
      <c r="BMK14" s="583"/>
      <c r="BML14" s="583"/>
      <c r="BMM14" s="583"/>
      <c r="BMN14" s="583"/>
      <c r="BMO14" s="583"/>
      <c r="BMP14" s="583"/>
      <c r="BMQ14" s="583"/>
      <c r="BMR14" s="583"/>
      <c r="BMS14" s="583"/>
      <c r="BMT14" s="583"/>
      <c r="BMU14" s="583"/>
      <c r="BMV14" s="583"/>
      <c r="BMW14" s="583"/>
      <c r="BMX14" s="583"/>
      <c r="BMY14" s="583"/>
      <c r="BMZ14" s="583"/>
      <c r="BNA14" s="583"/>
      <c r="BNB14" s="583"/>
      <c r="BNC14" s="583"/>
      <c r="BND14" s="583"/>
      <c r="BNE14" s="583"/>
      <c r="BNF14" s="583"/>
      <c r="BNG14" s="583"/>
      <c r="BNH14" s="583"/>
      <c r="BNI14" s="583"/>
      <c r="BNJ14" s="583"/>
      <c r="BNK14" s="583"/>
      <c r="BNL14" s="583"/>
      <c r="BNM14" s="583"/>
      <c r="BNN14" s="583"/>
      <c r="BNO14" s="583"/>
      <c r="BNP14" s="583"/>
      <c r="BNQ14" s="583"/>
      <c r="BNR14" s="583"/>
      <c r="BNS14" s="583"/>
      <c r="BNT14" s="583"/>
      <c r="BNU14" s="583"/>
      <c r="BNV14" s="583"/>
      <c r="BNW14" s="583"/>
      <c r="BNX14" s="583"/>
      <c r="BNY14" s="583"/>
      <c r="BNZ14" s="583"/>
      <c r="BOA14" s="583"/>
      <c r="BOB14" s="583"/>
      <c r="BOC14" s="583"/>
      <c r="BOD14" s="583"/>
      <c r="BOE14" s="583"/>
      <c r="BOF14" s="583"/>
      <c r="BOG14" s="583"/>
      <c r="BOH14" s="583"/>
      <c r="BOI14" s="583"/>
      <c r="BOJ14" s="583"/>
      <c r="BOK14" s="583"/>
      <c r="BOL14" s="583"/>
      <c r="BOM14" s="583"/>
      <c r="BON14" s="583"/>
      <c r="BOO14" s="583"/>
      <c r="BOP14" s="583"/>
      <c r="BOQ14" s="583"/>
      <c r="BOR14" s="583"/>
      <c r="BOS14" s="583"/>
      <c r="BOT14" s="583"/>
      <c r="BOU14" s="583"/>
      <c r="BOV14" s="583"/>
      <c r="BOW14" s="583"/>
      <c r="BOX14" s="583"/>
      <c r="BOY14" s="583"/>
      <c r="BOZ14" s="583"/>
      <c r="BPA14" s="583"/>
      <c r="BPB14" s="583"/>
      <c r="BPC14" s="583"/>
      <c r="BPD14" s="583"/>
      <c r="BPE14" s="583"/>
      <c r="BPF14" s="583"/>
      <c r="BPG14" s="583"/>
      <c r="BPH14" s="583"/>
      <c r="BPI14" s="583"/>
      <c r="BPJ14" s="583"/>
      <c r="BPK14" s="583"/>
      <c r="BPL14" s="583"/>
      <c r="BPM14" s="583"/>
      <c r="BPN14" s="583"/>
      <c r="BPO14" s="583"/>
      <c r="BPP14" s="583"/>
      <c r="BPQ14" s="583"/>
      <c r="BPR14" s="583"/>
      <c r="BPS14" s="583"/>
      <c r="BPT14" s="583"/>
      <c r="BPU14" s="583"/>
      <c r="BPV14" s="583"/>
      <c r="BPW14" s="583"/>
      <c r="BPX14" s="583"/>
      <c r="BPY14" s="583"/>
      <c r="BPZ14" s="583"/>
      <c r="BQA14" s="583"/>
      <c r="BQB14" s="583"/>
      <c r="BQC14" s="583"/>
      <c r="BQD14" s="583"/>
      <c r="BQE14" s="583"/>
      <c r="BQF14" s="583"/>
      <c r="BQG14" s="583"/>
      <c r="BQH14" s="583"/>
      <c r="BQI14" s="583"/>
      <c r="BQJ14" s="583"/>
      <c r="BQK14" s="583"/>
      <c r="BQL14" s="583"/>
      <c r="BQM14" s="583"/>
      <c r="BQN14" s="583"/>
      <c r="BQO14" s="583"/>
      <c r="BQP14" s="583"/>
      <c r="BQQ14" s="583"/>
      <c r="BQR14" s="583"/>
      <c r="BQS14" s="583"/>
      <c r="BQT14" s="583"/>
      <c r="BQU14" s="583"/>
      <c r="BQV14" s="583"/>
      <c r="BQW14" s="583"/>
      <c r="BQX14" s="583"/>
      <c r="BQY14" s="583"/>
      <c r="BQZ14" s="583"/>
      <c r="BRA14" s="583"/>
      <c r="BRB14" s="583"/>
      <c r="BRC14" s="583"/>
      <c r="BRD14" s="583"/>
      <c r="BRE14" s="583"/>
      <c r="BRF14" s="583"/>
      <c r="BRG14" s="583"/>
      <c r="BRH14" s="583"/>
      <c r="BRI14" s="583"/>
      <c r="BRJ14" s="583"/>
      <c r="BRK14" s="583"/>
      <c r="BRL14" s="583"/>
      <c r="BRM14" s="583"/>
      <c r="BRN14" s="583"/>
      <c r="BRO14" s="583"/>
      <c r="BRP14" s="583"/>
      <c r="BRQ14" s="583"/>
      <c r="BRR14" s="583"/>
      <c r="BRS14" s="583"/>
      <c r="BRT14" s="583"/>
      <c r="BRU14" s="583"/>
      <c r="BRV14" s="583"/>
      <c r="BRW14" s="583"/>
      <c r="BRX14" s="583"/>
      <c r="BRY14" s="583"/>
      <c r="BRZ14" s="583"/>
      <c r="BSA14" s="583"/>
      <c r="BSB14" s="583"/>
      <c r="BSC14" s="583"/>
      <c r="BSD14" s="583"/>
      <c r="BSE14" s="583"/>
      <c r="BSF14" s="583"/>
      <c r="BSG14" s="583"/>
      <c r="BSH14" s="583"/>
      <c r="BSI14" s="583"/>
      <c r="BSJ14" s="583"/>
      <c r="BSK14" s="583"/>
      <c r="BSL14" s="583"/>
      <c r="BSM14" s="583"/>
      <c r="BSN14" s="583"/>
      <c r="BSO14" s="583"/>
      <c r="BSP14" s="583"/>
      <c r="BSQ14" s="583"/>
      <c r="BSR14" s="583"/>
      <c r="BSS14" s="583"/>
      <c r="BST14" s="583"/>
      <c r="BSU14" s="583"/>
      <c r="BSV14" s="583"/>
      <c r="BSW14" s="583"/>
      <c r="BSX14" s="583"/>
      <c r="BSY14" s="583"/>
      <c r="BSZ14" s="583"/>
      <c r="BTA14" s="583"/>
      <c r="BTB14" s="583"/>
      <c r="BTC14" s="583"/>
      <c r="BTD14" s="583"/>
      <c r="BTE14" s="583"/>
      <c r="BTF14" s="583"/>
      <c r="BTG14" s="583"/>
      <c r="BTH14" s="583"/>
      <c r="BTI14" s="583"/>
      <c r="BTJ14" s="583"/>
      <c r="BTK14" s="583"/>
      <c r="BTL14" s="583"/>
      <c r="BTM14" s="583"/>
      <c r="BTN14" s="583"/>
      <c r="BTO14" s="583"/>
      <c r="BTP14" s="583"/>
      <c r="BTQ14" s="583"/>
      <c r="BTR14" s="583"/>
      <c r="BTS14" s="583"/>
      <c r="BTT14" s="583"/>
      <c r="BTU14" s="583"/>
      <c r="BTV14" s="583"/>
      <c r="BTW14" s="583"/>
      <c r="BTX14" s="583"/>
      <c r="BTY14" s="583"/>
      <c r="BTZ14" s="583"/>
      <c r="BUA14" s="583"/>
      <c r="BUB14" s="583"/>
      <c r="BUC14" s="583"/>
      <c r="BUD14" s="583"/>
      <c r="BUE14" s="583"/>
      <c r="BUF14" s="583"/>
      <c r="BUG14" s="583"/>
      <c r="BUH14" s="583"/>
      <c r="BUI14" s="583"/>
      <c r="BUJ14" s="583"/>
      <c r="BUK14" s="583"/>
      <c r="BUL14" s="583"/>
      <c r="BUM14" s="583"/>
      <c r="BUN14" s="583"/>
      <c r="BUO14" s="583"/>
      <c r="BUP14" s="583"/>
      <c r="BUQ14" s="583"/>
      <c r="BUR14" s="583"/>
      <c r="BUS14" s="583"/>
      <c r="BUT14" s="583"/>
      <c r="BUU14" s="583"/>
      <c r="BUV14" s="583"/>
      <c r="BUW14" s="583"/>
      <c r="BUX14" s="583"/>
      <c r="BUY14" s="583"/>
      <c r="BUZ14" s="583"/>
      <c r="BVA14" s="583"/>
      <c r="BVB14" s="583"/>
      <c r="BVC14" s="583"/>
      <c r="BVD14" s="583"/>
      <c r="BVE14" s="583"/>
      <c r="BVF14" s="583"/>
      <c r="BVG14" s="583"/>
      <c r="BVH14" s="583"/>
      <c r="BVI14" s="583"/>
      <c r="BVJ14" s="583"/>
      <c r="BVK14" s="583"/>
      <c r="BVL14" s="583"/>
      <c r="BVM14" s="583"/>
      <c r="BVN14" s="583"/>
      <c r="BVO14" s="583"/>
      <c r="BVP14" s="583"/>
      <c r="BVQ14" s="583"/>
      <c r="BVR14" s="583"/>
      <c r="BVS14" s="583"/>
      <c r="BVT14" s="583"/>
      <c r="BVU14" s="583"/>
      <c r="BVV14" s="583"/>
      <c r="BVW14" s="583"/>
      <c r="BVX14" s="583"/>
      <c r="BVY14" s="583"/>
      <c r="BVZ14" s="583"/>
      <c r="BWA14" s="583"/>
      <c r="BWB14" s="583"/>
      <c r="BWC14" s="583"/>
      <c r="BWD14" s="583"/>
      <c r="BWE14" s="583"/>
      <c r="BWF14" s="583"/>
      <c r="BWG14" s="583"/>
      <c r="BWH14" s="583"/>
      <c r="BWI14" s="583"/>
      <c r="BWJ14" s="583"/>
      <c r="BWK14" s="583"/>
      <c r="BWL14" s="583"/>
      <c r="BWM14" s="583"/>
      <c r="BWN14" s="583"/>
      <c r="BWO14" s="583"/>
      <c r="BWP14" s="583"/>
      <c r="BWQ14" s="583"/>
      <c r="BWR14" s="583"/>
      <c r="BWS14" s="583"/>
      <c r="BWT14" s="583"/>
      <c r="BWU14" s="583"/>
      <c r="BWV14" s="583"/>
      <c r="BWW14" s="583"/>
      <c r="BWX14" s="583"/>
      <c r="BWY14" s="583"/>
      <c r="BWZ14" s="583"/>
      <c r="BXA14" s="583"/>
      <c r="BXB14" s="583"/>
      <c r="BXC14" s="583"/>
      <c r="BXD14" s="583"/>
      <c r="BXE14" s="583"/>
      <c r="BXF14" s="583"/>
      <c r="BXG14" s="583"/>
      <c r="BXH14" s="583"/>
      <c r="BXI14" s="583"/>
      <c r="BXJ14" s="583"/>
      <c r="BXK14" s="583"/>
      <c r="BXL14" s="583"/>
      <c r="BXM14" s="583"/>
      <c r="BXN14" s="583"/>
      <c r="BXO14" s="583"/>
      <c r="BXP14" s="583"/>
      <c r="BXQ14" s="583"/>
      <c r="BXR14" s="583"/>
      <c r="BXS14" s="583"/>
      <c r="BXT14" s="583"/>
      <c r="BXU14" s="583"/>
      <c r="BXV14" s="583"/>
      <c r="BXW14" s="583"/>
      <c r="BXX14" s="583"/>
      <c r="BXY14" s="583"/>
      <c r="BXZ14" s="583"/>
      <c r="BYA14" s="583"/>
      <c r="BYB14" s="583"/>
      <c r="BYC14" s="583"/>
      <c r="BYD14" s="583"/>
      <c r="BYE14" s="583"/>
      <c r="BYF14" s="583"/>
      <c r="BYG14" s="583"/>
      <c r="BYH14" s="583"/>
      <c r="BYI14" s="583"/>
      <c r="BYJ14" s="583"/>
      <c r="BYK14" s="583"/>
      <c r="BYL14" s="583"/>
      <c r="BYM14" s="583"/>
      <c r="BYN14" s="583"/>
      <c r="BYO14" s="583"/>
      <c r="BYP14" s="583"/>
      <c r="BYQ14" s="583"/>
      <c r="BYR14" s="583"/>
      <c r="BYS14" s="583"/>
      <c r="BYT14" s="583"/>
      <c r="BYU14" s="583"/>
      <c r="BYV14" s="583"/>
      <c r="BYW14" s="583"/>
      <c r="BYX14" s="583"/>
      <c r="BYY14" s="583"/>
      <c r="BYZ14" s="583"/>
      <c r="BZA14" s="583"/>
      <c r="BZB14" s="583"/>
      <c r="BZC14" s="583"/>
      <c r="BZD14" s="583"/>
      <c r="BZE14" s="583"/>
      <c r="BZF14" s="583"/>
      <c r="BZG14" s="583"/>
      <c r="BZH14" s="583"/>
      <c r="BZI14" s="583"/>
      <c r="BZJ14" s="583"/>
      <c r="BZK14" s="583"/>
      <c r="BZL14" s="583"/>
      <c r="BZM14" s="583"/>
      <c r="BZN14" s="583"/>
      <c r="BZO14" s="583"/>
      <c r="BZP14" s="583"/>
      <c r="BZQ14" s="583"/>
      <c r="BZR14" s="583"/>
      <c r="BZS14" s="583"/>
      <c r="BZT14" s="583"/>
      <c r="BZU14" s="583"/>
      <c r="BZV14" s="583"/>
      <c r="BZW14" s="583"/>
      <c r="BZX14" s="583"/>
      <c r="BZY14" s="583"/>
      <c r="BZZ14" s="583"/>
      <c r="CAA14" s="583"/>
      <c r="CAB14" s="583"/>
      <c r="CAC14" s="583"/>
      <c r="CAD14" s="583"/>
      <c r="CAE14" s="583"/>
      <c r="CAF14" s="583"/>
      <c r="CAG14" s="583"/>
      <c r="CAH14" s="583"/>
      <c r="CAI14" s="583"/>
      <c r="CAJ14" s="583"/>
      <c r="CAK14" s="583"/>
      <c r="CAL14" s="583"/>
      <c r="CAM14" s="583"/>
      <c r="CAN14" s="583"/>
      <c r="CAO14" s="583"/>
      <c r="CAP14" s="583"/>
      <c r="CAQ14" s="583"/>
      <c r="CAR14" s="583"/>
      <c r="CAS14" s="583"/>
      <c r="CAT14" s="583"/>
      <c r="CAU14" s="583"/>
      <c r="CAV14" s="583"/>
      <c r="CAW14" s="583"/>
      <c r="CAX14" s="583"/>
      <c r="CAY14" s="583"/>
      <c r="CAZ14" s="583"/>
      <c r="CBA14" s="583"/>
      <c r="CBB14" s="583"/>
      <c r="CBC14" s="583"/>
      <c r="CBD14" s="583"/>
      <c r="CBE14" s="583"/>
      <c r="CBF14" s="583"/>
      <c r="CBG14" s="583"/>
      <c r="CBH14" s="583"/>
      <c r="CBI14" s="583"/>
      <c r="CBJ14" s="583"/>
      <c r="CBK14" s="583"/>
      <c r="CBL14" s="583"/>
      <c r="CBM14" s="583"/>
      <c r="CBN14" s="583"/>
      <c r="CBO14" s="583"/>
      <c r="CBP14" s="583"/>
      <c r="CBQ14" s="583"/>
      <c r="CBR14" s="583"/>
      <c r="CBS14" s="583"/>
      <c r="CBT14" s="583"/>
      <c r="CBU14" s="583"/>
      <c r="CBV14" s="583"/>
      <c r="CBW14" s="583"/>
      <c r="CBX14" s="583"/>
      <c r="CBY14" s="583"/>
      <c r="CBZ14" s="583"/>
    </row>
    <row r="15" spans="1:2106">
      <c r="A15" s="611"/>
      <c r="B15" s="617"/>
      <c r="C15" s="613">
        <f t="shared" si="0"/>
        <v>0</v>
      </c>
      <c r="D15" s="613">
        <f>IF(B15&gt;0,VLOOKUP(A15,'Lista Suspensa'!$A$1:$F$92,3,),0)</f>
        <v>0</v>
      </c>
      <c r="E15" s="613">
        <f>IF(OR(B15&gt;0,C15&gt;0),VLOOKUP(A15,'Lista Suspensa'!$A$1:$F$90,4,),0)</f>
        <v>0</v>
      </c>
      <c r="F15" s="613">
        <f>IF(OR(B15&gt;0,C15&gt;0),VLOOKUP(A15,'Lista Suspensa'!$A$1:$F$90,5,),0)</f>
        <v>0</v>
      </c>
      <c r="G15" s="402">
        <f>IF(OR(B15&gt;0,C15&gt;0),VLOOKUP(A15,'Lista Suspensa'!$A$1:$F$90,6,),0)</f>
        <v>0</v>
      </c>
      <c r="H15" s="617"/>
      <c r="I15" s="613">
        <f t="shared" si="12"/>
        <v>0</v>
      </c>
      <c r="J15" s="613">
        <f>IF(H15&gt;0,VLOOKUP(A15,'Lista Suspensa'!$A$1:$F$92,3,),0)</f>
        <v>0</v>
      </c>
      <c r="K15" s="613">
        <f>IF(OR(H15&gt;0,I15&gt;0),VLOOKUP(A15,'Lista Suspensa'!$A$1:$F$90,4,),0)</f>
        <v>0</v>
      </c>
      <c r="L15" s="613">
        <f>IF(OR(H15&gt;0,I15&gt;0),VLOOKUP(A15,'Lista Suspensa'!$A$1:$F$90,5,),0)</f>
        <v>0</v>
      </c>
      <c r="M15" s="402">
        <f>IF(OR(H15&gt;0,I15&gt;0),VLOOKUP(A15,'Lista Suspensa'!$A$1:$F$90,6,),0)</f>
        <v>0</v>
      </c>
      <c r="N15" s="617"/>
      <c r="O15" s="613">
        <f t="shared" si="1"/>
        <v>0</v>
      </c>
      <c r="P15" s="613">
        <f>IF(N15&gt;0,VLOOKUP(A15,'Lista Suspensa'!$A$1:$F$92,3,),0)</f>
        <v>0</v>
      </c>
      <c r="Q15" s="613">
        <f>IF(OR(N15&gt;0,O15&gt;0),VLOOKUP(A15,'Lista Suspensa'!$A$1:$F$90,4,),0)</f>
        <v>0</v>
      </c>
      <c r="R15" s="613">
        <f>IF(OR(N15&gt;0,O15&gt;0),VLOOKUP(A15,'Lista Suspensa'!$A$1:$F$90,5,),0)</f>
        <v>0</v>
      </c>
      <c r="S15" s="402">
        <f>IF(OR(N15&gt;0,O15&gt;0),VLOOKUP(A15,'Lista Suspensa'!$A$1:$F$90,6,),0)</f>
        <v>0</v>
      </c>
      <c r="T15" s="617"/>
      <c r="U15" s="613">
        <f t="shared" si="2"/>
        <v>0</v>
      </c>
      <c r="V15" s="613">
        <f>IF(T15&gt;0,VLOOKUP(A15,'Lista Suspensa'!$A$1:$F$92,3,),0)</f>
        <v>0</v>
      </c>
      <c r="W15" s="613">
        <f>IF(OR(T15&gt;0,U15&gt;0),VLOOKUP(A15,'Lista Suspensa'!$A$1:$F$90,4,),0)</f>
        <v>0</v>
      </c>
      <c r="X15" s="613">
        <f>IF(OR(T15&gt;0,U15&gt;0),VLOOKUP(A15,'Lista Suspensa'!$A$1:$F$90,5,),0)</f>
        <v>0</v>
      </c>
      <c r="Y15" s="402">
        <f>IF(OR(T15&gt;0,U15&gt;0),VLOOKUP(A15,'Lista Suspensa'!$A$1:$F$90,6,),0)</f>
        <v>0</v>
      </c>
      <c r="Z15" s="617"/>
      <c r="AA15" s="613">
        <f t="shared" si="3"/>
        <v>0</v>
      </c>
      <c r="AB15" s="613">
        <f>IF(Z15&gt;0,VLOOKUP(A15,'Lista Suspensa'!$A$1:$F$92,3,),0)</f>
        <v>0</v>
      </c>
      <c r="AC15" s="613">
        <f>IF(OR(Z15&gt;0,AA15&gt;0),VLOOKUP(A15,'Lista Suspensa'!$A$1:$F$90,4,),0)</f>
        <v>0</v>
      </c>
      <c r="AD15" s="613">
        <f>IF(OR(Z15&gt;0,AA15&gt;0),VLOOKUP(A15,'Lista Suspensa'!$A$1:$F$90,5,),0)</f>
        <v>0</v>
      </c>
      <c r="AE15" s="402">
        <f>IF(OR(Z15&gt;0,AA15&gt;0),VLOOKUP(A15,'Lista Suspensa'!$A$1:$F$90,6,),0)</f>
        <v>0</v>
      </c>
      <c r="AF15" s="617"/>
      <c r="AG15" s="613">
        <f t="shared" si="13"/>
        <v>0</v>
      </c>
      <c r="AH15" s="613">
        <f>IF(AF15&gt;0,VLOOKUP(A15,'Lista Suspensa'!$A$1:$F$92,3,),0)</f>
        <v>0</v>
      </c>
      <c r="AI15" s="613">
        <f>IF(OR(AF15&gt;0,AG15&gt;0),VLOOKUP(A15,'Lista Suspensa'!$A$1:$F$90,4,),0)</f>
        <v>0</v>
      </c>
      <c r="AJ15" s="613">
        <f>IF(OR(AF15&gt;0,AG15&gt;0),VLOOKUP(A15,'Lista Suspensa'!$A$1:$F$90,5,),0)</f>
        <v>0</v>
      </c>
      <c r="AK15" s="402">
        <f>IF(OR(AF15&gt;0,AG15&gt;0),VLOOKUP(A15,'Lista Suspensa'!$A$1:$F$90,6,),0)</f>
        <v>0</v>
      </c>
      <c r="AL15" s="617"/>
      <c r="AM15" s="613">
        <f t="shared" si="4"/>
        <v>0</v>
      </c>
      <c r="AN15" s="613">
        <f>IF(AL15&gt;0,VLOOKUP(A15,'Lista Suspensa'!$A$1:$F$92,3,),0)</f>
        <v>0</v>
      </c>
      <c r="AO15" s="613">
        <f>IF(OR(AL15&gt;0,AM15&gt;0),VLOOKUP(A15,'Lista Suspensa'!$A$1:$F$90,4,),0)</f>
        <v>0</v>
      </c>
      <c r="AP15" s="613">
        <f>IF(OR(AL15&gt;0,AM15&gt;0),VLOOKUP(A15,'Lista Suspensa'!$A$1:$F$90,5,),0)</f>
        <v>0</v>
      </c>
      <c r="AQ15" s="402">
        <f>IF(OR(AL15&gt;0,AM15&gt;0),VLOOKUP(A15,'Lista Suspensa'!$A$1:$F$90,6,),0)</f>
        <v>0</v>
      </c>
      <c r="AR15" s="617"/>
      <c r="AS15" s="613">
        <f t="shared" si="14"/>
        <v>0</v>
      </c>
      <c r="AT15" s="613">
        <f>IF(AR15&gt;0,VLOOKUP(A15,'Lista Suspensa'!$A$1:$F$92,3,),0)</f>
        <v>0</v>
      </c>
      <c r="AU15" s="613">
        <f>IF(OR(AR15&gt;0,AS15&gt;0),VLOOKUP(A15,'Lista Suspensa'!$A$1:$F$90,4,),0)</f>
        <v>0</v>
      </c>
      <c r="AV15" s="613">
        <f>IF(OR(AR15&gt;0,AS15&gt;0),VLOOKUP(A15,'Lista Suspensa'!$A$1:$F$90,5,),0)</f>
        <v>0</v>
      </c>
      <c r="AW15" s="37">
        <f>IF(OR(AR15&gt;0,AS15&gt;0),VLOOKUP(A15,'Lista Suspensa'!$A$1:$F$90,6,),0)</f>
        <v>0</v>
      </c>
      <c r="AX15" s="617"/>
      <c r="AY15" s="613">
        <f t="shared" si="5"/>
        <v>0</v>
      </c>
      <c r="AZ15" s="613">
        <f>IF(AX15&gt;0,VLOOKUP(A15,'Lista Suspensa'!$A$1:$F$92,3,),0)</f>
        <v>0</v>
      </c>
      <c r="BA15" s="613">
        <f>IF(OR(AX15&gt;0,AY15&gt;0),VLOOKUP(A15,'Lista Suspensa'!$A$1:$F$90,4,),0)</f>
        <v>0</v>
      </c>
      <c r="BB15" s="613">
        <f>IF(OR(AX15&gt;0,AY15&gt;0),VLOOKUP(A15,'Lista Suspensa'!$A$1:$F$90,5,),0)</f>
        <v>0</v>
      </c>
      <c r="BC15" s="37">
        <f>IF(OR(AX15&gt;0,AY15&gt;0),VLOOKUP(A15,'Lista Suspensa'!$A$1:$F$90,6,),0)</f>
        <v>0</v>
      </c>
      <c r="BD15" s="617"/>
      <c r="BE15" s="613">
        <f t="shared" si="6"/>
        <v>0</v>
      </c>
      <c r="BF15" s="613">
        <f>IF(BD15&gt;0,VLOOKUP(A15,'Lista Suspensa'!$A$1:$F$92,3,),0)</f>
        <v>0</v>
      </c>
      <c r="BG15" s="613">
        <f>IF(OR(BD15&gt;0,BE15&gt;0),VLOOKUP(A15,'Lista Suspensa'!$A$1:$F$90,4,),0)</f>
        <v>0</v>
      </c>
      <c r="BH15" s="613">
        <f>IF(OR(BD15&gt;0,BE15&gt;0),VLOOKUP(A15,'Lista Suspensa'!$A$1:$F$90,5,),0)</f>
        <v>0</v>
      </c>
      <c r="BI15" s="37">
        <f>IF(OR(BD15&gt;0,BE15&gt;0),VLOOKUP(A15,'Lista Suspensa'!$A$1:$F$90,6,),0)</f>
        <v>0</v>
      </c>
      <c r="BJ15" s="617"/>
      <c r="BK15" s="613">
        <f t="shared" si="7"/>
        <v>0</v>
      </c>
      <c r="BL15" s="613">
        <f>IF(BJ15&gt;0,VLOOKUP(A15,'Lista Suspensa'!$A$1:$F$92,3,),0)</f>
        <v>0</v>
      </c>
      <c r="BM15" s="613">
        <f>IF(OR(BJ15&gt;0,BK15&gt;0),VLOOKUP(A15,'Lista Suspensa'!$A$1:$F$90,4,),0)</f>
        <v>0</v>
      </c>
      <c r="BN15" s="613">
        <f>IF(OR(BJ15&gt;0,BK15&gt;0),VLOOKUP(A15,'Lista Suspensa'!$A$1:$F$90,5,),0)</f>
        <v>0</v>
      </c>
      <c r="BO15" s="37">
        <f>IF(OR(BJ15&gt;0,BK15&gt;0),VLOOKUP(A15,'Lista Suspensa'!$A$1:$F$90,6,),0)</f>
        <v>0</v>
      </c>
      <c r="BP15" s="617"/>
      <c r="BQ15" s="613">
        <f t="shared" si="8"/>
        <v>0</v>
      </c>
      <c r="BR15" s="613">
        <f>IF(BP15&gt;0,VLOOKUP(A15,'Lista Suspensa'!$A$1:$F$92,3,),0)</f>
        <v>0</v>
      </c>
      <c r="BS15" s="613">
        <f>IF(OR(BP15&gt;0,BQ15&gt;0),VLOOKUP(A15,'Lista Suspensa'!$A$1:$F$90,4,),0)</f>
        <v>0</v>
      </c>
      <c r="BT15" s="613">
        <f>IF(OR(BP15&gt;0,BQ15&gt;0),VLOOKUP(A15,'Lista Suspensa'!$A$1:$F$90,5,),0)</f>
        <v>0</v>
      </c>
      <c r="BU15" s="37">
        <f>IF(OR(BP15&gt;0,BQ15&gt;0),VLOOKUP(A15,'Lista Suspensa'!$A$1:$F$90,6,),0)</f>
        <v>0</v>
      </c>
      <c r="BV15" s="617"/>
      <c r="BW15" s="613">
        <f t="shared" si="9"/>
        <v>0</v>
      </c>
      <c r="BX15" s="613">
        <f>IF(BV15&gt;0,VLOOKUP(A15,'Lista Suspensa'!$A$1:$F$92,3,),0)</f>
        <v>0</v>
      </c>
      <c r="BY15" s="613">
        <f>IF(OR(BV15&gt;0,BW15&gt;0),VLOOKUP(A15,'Lista Suspensa'!$A$1:$F$90,4,),0)</f>
        <v>0</v>
      </c>
      <c r="BZ15" s="613">
        <f>IF(OR(BV15&gt;0,BW15&gt;0),VLOOKUP(A15,'Lista Suspensa'!$A$1:$F$90,5,),0)</f>
        <v>0</v>
      </c>
      <c r="CA15" s="37">
        <f>IF(OR(BV15&gt;0,BW15&gt;0),VLOOKUP(A15,'Lista Suspensa'!$A$1:$F$90,6,),0)</f>
        <v>0</v>
      </c>
      <c r="CB15" s="617"/>
      <c r="CC15" s="613">
        <f t="shared" si="10"/>
        <v>0</v>
      </c>
      <c r="CD15" s="613">
        <f>IF(CB15&gt;0,VLOOKUP(A15,'Lista Suspensa'!$A$1:$F$92,3,),0)</f>
        <v>0</v>
      </c>
      <c r="CE15" s="613">
        <f>IF(OR(CB15&gt;0,CC15&gt;0),VLOOKUP(A15,'Lista Suspensa'!$A$1:$F$90,4,),0)</f>
        <v>0</v>
      </c>
      <c r="CF15" s="613">
        <f>IF(OR(CB15&gt;0,CC15&gt;0),VLOOKUP(A15,'Lista Suspensa'!$A$1:$F$90,5,),0)</f>
        <v>0</v>
      </c>
      <c r="CG15" s="37">
        <f>IF(OR(CB15&gt;0,CC15&gt;0),VLOOKUP(A15,'Lista Suspensa'!$A$1:$F$90,6,),0)</f>
        <v>0</v>
      </c>
      <c r="CH15" s="617"/>
      <c r="CI15" s="613">
        <f t="shared" si="11"/>
        <v>0</v>
      </c>
      <c r="CJ15" s="613">
        <f>IF(CH15&gt;0,VLOOKUP(A15,'Lista Suspensa'!$A$1:$F$92,3,),0)</f>
        <v>0</v>
      </c>
      <c r="CK15" s="613">
        <f>IF(OR(CH15&gt;0,CI15&gt;0),VLOOKUP(A15,'Lista Suspensa'!$A$1:$F$90,4,),0)</f>
        <v>0</v>
      </c>
      <c r="CL15" s="613">
        <f>IF(OR(CH15&gt;0,CI15&gt;0),VLOOKUP(A15,'Lista Suspensa'!$A$1:$F$90,5,),0)</f>
        <v>0</v>
      </c>
      <c r="CM15" s="636">
        <f>IF(OR(CH15&gt;0,CI15&gt;0),VLOOKUP(A15,'Lista Suspensa'!$A$1:$F$90,6,),0)</f>
        <v>0</v>
      </c>
      <c r="CN15" s="645"/>
      <c r="CO15" s="403">
        <f t="shared" si="15"/>
        <v>0</v>
      </c>
      <c r="CP15" s="756">
        <f>IF(CN15&gt;0,VLOOKUP(A15,'Lista Suspensa'!$A$1:$F$92,3,),0)</f>
        <v>0</v>
      </c>
      <c r="CQ15" s="641">
        <f>IF(OR(CN15&gt;0,CO15&gt;0),VLOOKUP(A15,'Lista Suspensa'!$A$1:$F$90,6,),0)</f>
        <v>0</v>
      </c>
      <c r="CR15" s="628"/>
      <c r="CS15" s="628"/>
      <c r="CT15" s="628"/>
      <c r="CU15" s="628"/>
      <c r="CV15" s="628"/>
      <c r="CW15" s="628"/>
      <c r="CX15" s="628"/>
      <c r="CY15" s="628"/>
      <c r="CZ15" s="628"/>
      <c r="DA15" s="628"/>
      <c r="DB15" s="628"/>
      <c r="DC15" s="628"/>
      <c r="DD15" s="628"/>
      <c r="DE15" s="628"/>
      <c r="DF15" s="628"/>
      <c r="DG15" s="628"/>
      <c r="DH15" s="628"/>
    </row>
    <row r="16" spans="1:2106" s="588" customFormat="1">
      <c r="A16" s="614"/>
      <c r="B16" s="618"/>
      <c r="C16" s="616">
        <f t="shared" si="0"/>
        <v>0</v>
      </c>
      <c r="D16" s="616">
        <f>IF(B16&gt;0,VLOOKUP(A16,'Lista Suspensa'!$A$1:$F$92,3,),0)</f>
        <v>0</v>
      </c>
      <c r="E16" s="616">
        <f>IF(OR(B16&gt;0,C16&gt;0),VLOOKUP(A16,'Lista Suspensa'!$A$1:$F$90,4,),0)</f>
        <v>0</v>
      </c>
      <c r="F16" s="616">
        <f>IF(OR(B16&gt;0,C16&gt;0),VLOOKUP(A16,'Lista Suspensa'!$A$1:$F$90,5,),0)</f>
        <v>0</v>
      </c>
      <c r="G16" s="587">
        <f>IF(OR(B16&gt;0,C16&gt;0),VLOOKUP(A16,'Lista Suspensa'!$A$1:$F$90,6,),0)</f>
        <v>0</v>
      </c>
      <c r="H16" s="618"/>
      <c r="I16" s="623">
        <f t="shared" si="12"/>
        <v>0</v>
      </c>
      <c r="J16" s="616">
        <f>IF(H16&gt;0,VLOOKUP(A16,'Lista Suspensa'!$A$1:$F$92,3,),0)</f>
        <v>0</v>
      </c>
      <c r="K16" s="616">
        <f>IF(OR(H16&gt;0,I16&gt;0),VLOOKUP(A16,'Lista Suspensa'!$A$1:$F$90,4,),0)</f>
        <v>0</v>
      </c>
      <c r="L16" s="616">
        <f>IF(OR(H16&gt;0,I16&gt;0),VLOOKUP(A16,'Lista Suspensa'!$A$1:$F$90,5,),0)</f>
        <v>0</v>
      </c>
      <c r="M16" s="587">
        <f>IF(OR(H16&gt;0,I16&gt;0),VLOOKUP(A16,'Lista Suspensa'!$A$1:$F$90,6,),0)</f>
        <v>0</v>
      </c>
      <c r="N16" s="618"/>
      <c r="O16" s="623">
        <f t="shared" si="1"/>
        <v>0</v>
      </c>
      <c r="P16" s="616">
        <f>IF(N16&gt;0,VLOOKUP(A16,'Lista Suspensa'!$A$1:$F$92,3,),0)</f>
        <v>0</v>
      </c>
      <c r="Q16" s="616">
        <f>IF(OR(N16&gt;0,O16&gt;0),VLOOKUP(A16,'Lista Suspensa'!$A$1:$F$90,4,),0)</f>
        <v>0</v>
      </c>
      <c r="R16" s="616">
        <f>IF(OR(N16&gt;0,O16&gt;0),VLOOKUP(A16,'Lista Suspensa'!$A$1:$F$90,5,),0)</f>
        <v>0</v>
      </c>
      <c r="S16" s="587">
        <f>IF(OR(N16&gt;0,O16&gt;0),VLOOKUP(A16,'Lista Suspensa'!$A$1:$F$90,6,),0)</f>
        <v>0</v>
      </c>
      <c r="T16" s="618"/>
      <c r="U16" s="623">
        <f t="shared" si="2"/>
        <v>0</v>
      </c>
      <c r="V16" s="616">
        <f>IF(T16&gt;0,VLOOKUP(A16,'Lista Suspensa'!$A$1:$F$92,3,),0)</f>
        <v>0</v>
      </c>
      <c r="W16" s="616">
        <f>IF(OR(T16&gt;0,U16&gt;0),VLOOKUP(A16,'Lista Suspensa'!$A$1:$F$90,4,),0)</f>
        <v>0</v>
      </c>
      <c r="X16" s="616">
        <f>IF(OR(T16&gt;0,U16&gt;0),VLOOKUP(A16,'Lista Suspensa'!$A$1:$F$90,5,),0)</f>
        <v>0</v>
      </c>
      <c r="Y16" s="587">
        <f>IF(OR(T16&gt;0,U16&gt;0),VLOOKUP(A16,'Lista Suspensa'!$A$1:$F$90,6,),0)</f>
        <v>0</v>
      </c>
      <c r="Z16" s="618"/>
      <c r="AA16" s="623">
        <f t="shared" si="3"/>
        <v>0</v>
      </c>
      <c r="AB16" s="616">
        <f>IF(Z16&gt;0,VLOOKUP(A16,'Lista Suspensa'!$A$1:$F$92,3,),0)</f>
        <v>0</v>
      </c>
      <c r="AC16" s="616">
        <f>IF(OR(Z16&gt;0,AA16&gt;0),VLOOKUP(A16,'Lista Suspensa'!$A$1:$F$90,4,),0)</f>
        <v>0</v>
      </c>
      <c r="AD16" s="616">
        <f>IF(OR(Z16&gt;0,AA16&gt;0),VLOOKUP(A16,'Lista Suspensa'!$A$1:$F$90,5,),0)</f>
        <v>0</v>
      </c>
      <c r="AE16" s="587">
        <f>IF(OR(Z16&gt;0,AA16&gt;0),VLOOKUP(A16,'Lista Suspensa'!$A$1:$F$90,6,),0)</f>
        <v>0</v>
      </c>
      <c r="AF16" s="618"/>
      <c r="AG16" s="623">
        <f t="shared" si="13"/>
        <v>0</v>
      </c>
      <c r="AH16" s="616">
        <f>IF(AF16&gt;0,VLOOKUP(A16,'Lista Suspensa'!$A$1:$F$92,3,),0)</f>
        <v>0</v>
      </c>
      <c r="AI16" s="616">
        <f>IF(OR(AF16&gt;0,AG16&gt;0),VLOOKUP(A16,'Lista Suspensa'!$A$1:$F$90,4,),0)</f>
        <v>0</v>
      </c>
      <c r="AJ16" s="616">
        <f>IF(OR(AF16&gt;0,AG16&gt;0),VLOOKUP(A16,'Lista Suspensa'!$A$1:$F$90,5,),0)</f>
        <v>0</v>
      </c>
      <c r="AK16" s="587">
        <f>IF(OR(AF16&gt;0,AG16&gt;0),VLOOKUP(A16,'Lista Suspensa'!$A$1:$F$90,6,),0)</f>
        <v>0</v>
      </c>
      <c r="AL16" s="618"/>
      <c r="AM16" s="623">
        <f t="shared" si="4"/>
        <v>0</v>
      </c>
      <c r="AN16" s="616">
        <f>IF(AL16&gt;0,VLOOKUP(A16,'Lista Suspensa'!$A$1:$F$92,3,),0)</f>
        <v>0</v>
      </c>
      <c r="AO16" s="616">
        <f>IF(OR(AL16&gt;0,AM16&gt;0),VLOOKUP(A16,'Lista Suspensa'!$A$1:$F$90,4,),0)</f>
        <v>0</v>
      </c>
      <c r="AP16" s="616">
        <f>IF(OR(AL16&gt;0,AM16&gt;0),VLOOKUP(A16,'Lista Suspensa'!$A$1:$F$90,5,),0)</f>
        <v>0</v>
      </c>
      <c r="AQ16" s="587">
        <f>IF(OR(AL16&gt;0,AM16&gt;0),VLOOKUP(A16,'Lista Suspensa'!$A$1:$F$90,6,),0)</f>
        <v>0</v>
      </c>
      <c r="AR16" s="618"/>
      <c r="AS16" s="623">
        <f t="shared" si="14"/>
        <v>0</v>
      </c>
      <c r="AT16" s="616">
        <f>IF(AR16&gt;0,VLOOKUP(A16,'Lista Suspensa'!$A$1:$F$92,3,),0)</f>
        <v>0</v>
      </c>
      <c r="AU16" s="616">
        <f>IF(OR(AR16&gt;0,AS16&gt;0),VLOOKUP(A16,'Lista Suspensa'!$A$1:$F$90,4,),0)</f>
        <v>0</v>
      </c>
      <c r="AV16" s="616">
        <f>IF(OR(AR16&gt;0,AS16&gt;0),VLOOKUP(A16,'Lista Suspensa'!$A$1:$F$90,5,),0)</f>
        <v>0</v>
      </c>
      <c r="AW16" s="586">
        <f>IF(OR(AR16&gt;0,AS16&gt;0),VLOOKUP(A16,'Lista Suspensa'!$A$1:$F$90,6,),0)</f>
        <v>0</v>
      </c>
      <c r="AX16" s="618"/>
      <c r="AY16" s="623">
        <f t="shared" si="5"/>
        <v>0</v>
      </c>
      <c r="AZ16" s="616">
        <f>IF(AX16&gt;0,VLOOKUP(A16,'Lista Suspensa'!$A$1:$F$92,3,),0)</f>
        <v>0</v>
      </c>
      <c r="BA16" s="616">
        <f>IF(OR(AX16&gt;0,AY16&gt;0),VLOOKUP(A16,'Lista Suspensa'!$A$1:$F$90,4,),0)</f>
        <v>0</v>
      </c>
      <c r="BB16" s="616">
        <f>IF(OR(AX16&gt;0,AY16&gt;0),VLOOKUP(A16,'Lista Suspensa'!$A$1:$F$90,5,),0)</f>
        <v>0</v>
      </c>
      <c r="BC16" s="586">
        <f>IF(OR(AX16&gt;0,AY16&gt;0),VLOOKUP(A16,'Lista Suspensa'!$A$1:$F$90,6,),0)</f>
        <v>0</v>
      </c>
      <c r="BD16" s="618"/>
      <c r="BE16" s="623">
        <f t="shared" si="6"/>
        <v>0</v>
      </c>
      <c r="BF16" s="616">
        <f>IF(BD16&gt;0,VLOOKUP(A16,'Lista Suspensa'!$A$1:$F$92,3,),0)</f>
        <v>0</v>
      </c>
      <c r="BG16" s="616">
        <f>IF(OR(BD16&gt;0,BE16&gt;0),VLOOKUP(A16,'Lista Suspensa'!$A$1:$F$90,4,),0)</f>
        <v>0</v>
      </c>
      <c r="BH16" s="616">
        <f>IF(OR(BD16&gt;0,BE16&gt;0),VLOOKUP(A16,'Lista Suspensa'!$A$1:$F$90,5,),0)</f>
        <v>0</v>
      </c>
      <c r="BI16" s="586">
        <f>IF(OR(BD16&gt;0,BE16&gt;0),VLOOKUP(A16,'Lista Suspensa'!$A$1:$F$90,6,),0)</f>
        <v>0</v>
      </c>
      <c r="BJ16" s="618"/>
      <c r="BK16" s="623">
        <f t="shared" si="7"/>
        <v>0</v>
      </c>
      <c r="BL16" s="616">
        <f>IF(BJ16&gt;0,VLOOKUP(A16,'Lista Suspensa'!$A$1:$F$92,3,),0)</f>
        <v>0</v>
      </c>
      <c r="BM16" s="616">
        <f>IF(OR(BJ16&gt;0,BK16&gt;0),VLOOKUP(A16,'Lista Suspensa'!$A$1:$F$90,4,),0)</f>
        <v>0</v>
      </c>
      <c r="BN16" s="616">
        <f>IF(OR(BJ16&gt;0,BK16&gt;0),VLOOKUP(A16,'Lista Suspensa'!$A$1:$F$90,5,),0)</f>
        <v>0</v>
      </c>
      <c r="BO16" s="586">
        <f>IF(OR(BJ16&gt;0,BK16&gt;0),VLOOKUP(A16,'Lista Suspensa'!$A$1:$F$90,6,),0)</f>
        <v>0</v>
      </c>
      <c r="BP16" s="618"/>
      <c r="BQ16" s="623">
        <f t="shared" si="8"/>
        <v>0</v>
      </c>
      <c r="BR16" s="616">
        <f>IF(BP16&gt;0,VLOOKUP(A16,'Lista Suspensa'!$A$1:$F$92,3,),0)</f>
        <v>0</v>
      </c>
      <c r="BS16" s="616">
        <f>IF(OR(BP16&gt;0,BQ16&gt;0),VLOOKUP(A16,'Lista Suspensa'!$A$1:$F$90,4,),0)</f>
        <v>0</v>
      </c>
      <c r="BT16" s="616">
        <f>IF(OR(BP16&gt;0,BQ16&gt;0),VLOOKUP(A16,'Lista Suspensa'!$A$1:$F$90,5,),0)</f>
        <v>0</v>
      </c>
      <c r="BU16" s="586">
        <f>IF(OR(BP16&gt;0,BQ16&gt;0),VLOOKUP(A16,'Lista Suspensa'!$A$1:$F$90,6,),0)</f>
        <v>0</v>
      </c>
      <c r="BV16" s="618"/>
      <c r="BW16" s="623">
        <f t="shared" si="9"/>
        <v>0</v>
      </c>
      <c r="BX16" s="616">
        <f>IF(BV16&gt;0,VLOOKUP(A16,'Lista Suspensa'!$A$1:$F$92,3,),0)</f>
        <v>0</v>
      </c>
      <c r="BY16" s="616">
        <f>IF(OR(BV16&gt;0,BW16&gt;0),VLOOKUP(A16,'Lista Suspensa'!$A$1:$F$90,4,),0)</f>
        <v>0</v>
      </c>
      <c r="BZ16" s="616">
        <f>IF(OR(BV16&gt;0,BW16&gt;0),VLOOKUP(A16,'Lista Suspensa'!$A$1:$F$90,5,),0)</f>
        <v>0</v>
      </c>
      <c r="CA16" s="586">
        <f>IF(OR(BV16&gt;0,BW16&gt;0),VLOOKUP(A16,'Lista Suspensa'!$A$1:$F$90,6,),0)</f>
        <v>0</v>
      </c>
      <c r="CB16" s="618"/>
      <c r="CC16" s="623">
        <f t="shared" si="10"/>
        <v>0</v>
      </c>
      <c r="CD16" s="616">
        <f>IF(CB16&gt;0,VLOOKUP(A16,'Lista Suspensa'!$A$1:$F$92,3,),0)</f>
        <v>0</v>
      </c>
      <c r="CE16" s="616">
        <f>IF(OR(CB16&gt;0,CC16&gt;0),VLOOKUP(A16,'Lista Suspensa'!$A$1:$F$90,4,),0)</f>
        <v>0</v>
      </c>
      <c r="CF16" s="616">
        <f>IF(OR(CB16&gt;0,CC16&gt;0),VLOOKUP(A16,'Lista Suspensa'!$A$1:$F$90,5,),0)</f>
        <v>0</v>
      </c>
      <c r="CG16" s="586">
        <f>IF(OR(CB16&gt;0,CC16&gt;0),VLOOKUP(A16,'Lista Suspensa'!$A$1:$F$90,6,),0)</f>
        <v>0</v>
      </c>
      <c r="CH16" s="618"/>
      <c r="CI16" s="623">
        <f t="shared" si="11"/>
        <v>0</v>
      </c>
      <c r="CJ16" s="616">
        <f>IF(CH16&gt;0,VLOOKUP(A16,'Lista Suspensa'!$A$1:$F$92,3,),0)</f>
        <v>0</v>
      </c>
      <c r="CK16" s="616">
        <f>IF(OR(CH16&gt;0,CI16&gt;0),VLOOKUP(A16,'Lista Suspensa'!$A$1:$F$90,4,),0)</f>
        <v>0</v>
      </c>
      <c r="CL16" s="616">
        <f>IF(OR(CH16&gt;0,CI16&gt;0),VLOOKUP(A16,'Lista Suspensa'!$A$1:$F$90,5,),0)</f>
        <v>0</v>
      </c>
      <c r="CM16" s="637">
        <f>IF(OR(CH16&gt;0,CI16&gt;0),VLOOKUP(A16,'Lista Suspensa'!$A$1:$F$90,6,),0)</f>
        <v>0</v>
      </c>
      <c r="CN16" s="646"/>
      <c r="CO16" s="403">
        <f t="shared" si="15"/>
        <v>0</v>
      </c>
      <c r="CP16" s="756">
        <f>IF(CN16&gt;0,VLOOKUP(A16,'Lista Suspensa'!$A$1:$F$92,3,),0)</f>
        <v>0</v>
      </c>
      <c r="CQ16" s="643">
        <f>IF(OR(CN16&gt;0,CO16&gt;0),VLOOKUP(A16,'Lista Suspensa'!$A$1:$F$90,6,),0)</f>
        <v>0</v>
      </c>
      <c r="CR16" s="628"/>
      <c r="CS16" s="628"/>
      <c r="CT16" s="628"/>
      <c r="CU16" s="628"/>
      <c r="CV16" s="628"/>
      <c r="CW16" s="628"/>
      <c r="CX16" s="628"/>
      <c r="CY16" s="628"/>
      <c r="CZ16" s="628"/>
      <c r="DA16" s="628"/>
      <c r="DB16" s="628"/>
      <c r="DC16" s="628"/>
      <c r="DD16" s="628"/>
      <c r="DE16" s="628"/>
      <c r="DF16" s="628"/>
      <c r="DG16" s="628"/>
      <c r="DH16" s="628"/>
      <c r="DI16" s="583"/>
      <c r="DJ16" s="583"/>
      <c r="DK16" s="583"/>
      <c r="DL16" s="583"/>
      <c r="DM16" s="583"/>
      <c r="DN16" s="583"/>
      <c r="DO16" s="583"/>
      <c r="DP16" s="583"/>
      <c r="DQ16" s="583"/>
      <c r="DR16" s="583"/>
      <c r="DS16" s="583"/>
      <c r="DT16" s="583"/>
      <c r="DU16" s="583"/>
      <c r="DV16" s="583"/>
      <c r="DW16" s="583"/>
      <c r="DX16" s="583"/>
      <c r="DY16" s="583"/>
      <c r="DZ16" s="583"/>
      <c r="EA16" s="583"/>
      <c r="EB16" s="583"/>
      <c r="EC16" s="583"/>
      <c r="ED16" s="583"/>
      <c r="EE16" s="583"/>
      <c r="EF16" s="583"/>
      <c r="EG16" s="583"/>
      <c r="EH16" s="583"/>
      <c r="EI16" s="583"/>
      <c r="EJ16" s="583"/>
      <c r="EK16" s="583"/>
      <c r="EL16" s="583"/>
      <c r="EM16" s="583"/>
      <c r="EN16" s="583"/>
      <c r="EO16" s="583"/>
      <c r="EP16" s="583"/>
      <c r="EQ16" s="583"/>
      <c r="ER16" s="583"/>
      <c r="ES16" s="583"/>
      <c r="ET16" s="583"/>
      <c r="EU16" s="583"/>
      <c r="EV16" s="583"/>
      <c r="EW16" s="583"/>
      <c r="EX16" s="583"/>
      <c r="EY16" s="583"/>
      <c r="EZ16" s="583"/>
      <c r="FA16" s="583"/>
      <c r="FB16" s="583"/>
      <c r="FC16" s="583"/>
      <c r="FD16" s="583"/>
      <c r="FE16" s="583"/>
      <c r="FF16" s="583"/>
      <c r="FG16" s="583"/>
      <c r="FH16" s="583"/>
      <c r="FI16" s="583"/>
      <c r="FJ16" s="583"/>
      <c r="FK16" s="583"/>
      <c r="FL16" s="583"/>
      <c r="FM16" s="583"/>
      <c r="FN16" s="583"/>
      <c r="FO16" s="583"/>
      <c r="FP16" s="583"/>
      <c r="FQ16" s="583"/>
      <c r="FR16" s="583"/>
      <c r="FS16" s="583"/>
      <c r="FT16" s="583"/>
      <c r="FU16" s="583"/>
      <c r="FV16" s="583"/>
      <c r="FW16" s="583"/>
      <c r="FX16" s="583"/>
      <c r="FY16" s="583"/>
      <c r="FZ16" s="583"/>
      <c r="GA16" s="583"/>
      <c r="GB16" s="583"/>
      <c r="GC16" s="583"/>
      <c r="GD16" s="583"/>
      <c r="GE16" s="583"/>
      <c r="GF16" s="583"/>
      <c r="GG16" s="583"/>
      <c r="GH16" s="583"/>
      <c r="GI16" s="583"/>
      <c r="GJ16" s="583"/>
      <c r="GK16" s="583"/>
      <c r="GL16" s="583"/>
      <c r="GM16" s="583"/>
      <c r="GN16" s="583"/>
      <c r="GO16" s="583"/>
      <c r="GP16" s="583"/>
      <c r="GQ16" s="583"/>
      <c r="GR16" s="583"/>
      <c r="GS16" s="583"/>
      <c r="GT16" s="583"/>
      <c r="GU16" s="583"/>
      <c r="GV16" s="583"/>
      <c r="GW16" s="583"/>
      <c r="GX16" s="583"/>
      <c r="GY16" s="583"/>
      <c r="GZ16" s="583"/>
      <c r="HA16" s="583"/>
      <c r="HB16" s="583"/>
      <c r="HC16" s="583"/>
      <c r="HD16" s="583"/>
      <c r="HE16" s="583"/>
      <c r="HF16" s="583"/>
      <c r="HG16" s="583"/>
      <c r="HH16" s="583"/>
      <c r="HI16" s="583"/>
      <c r="HJ16" s="583"/>
      <c r="HK16" s="583"/>
      <c r="HL16" s="583"/>
      <c r="HM16" s="583"/>
      <c r="HN16" s="583"/>
      <c r="HO16" s="583"/>
      <c r="HP16" s="583"/>
      <c r="HQ16" s="583"/>
      <c r="HR16" s="583"/>
      <c r="HS16" s="583"/>
      <c r="HT16" s="583"/>
      <c r="HU16" s="583"/>
      <c r="HV16" s="583"/>
      <c r="HW16" s="583"/>
      <c r="HX16" s="583"/>
      <c r="HY16" s="583"/>
      <c r="HZ16" s="583"/>
      <c r="IA16" s="583"/>
      <c r="IB16" s="583"/>
      <c r="IC16" s="583"/>
      <c r="ID16" s="583"/>
      <c r="IE16" s="583"/>
      <c r="IF16" s="583"/>
      <c r="IG16" s="583"/>
      <c r="IH16" s="583"/>
      <c r="II16" s="583"/>
      <c r="IJ16" s="583"/>
      <c r="IK16" s="583"/>
      <c r="IL16" s="583"/>
      <c r="IM16" s="583"/>
      <c r="IN16" s="583"/>
      <c r="IO16" s="583"/>
      <c r="IP16" s="583"/>
      <c r="IQ16" s="583"/>
      <c r="IR16" s="583"/>
      <c r="IS16" s="583"/>
      <c r="IT16" s="583"/>
      <c r="IU16" s="583"/>
      <c r="IV16" s="583"/>
      <c r="IW16" s="583"/>
      <c r="IX16" s="583"/>
      <c r="IY16" s="583"/>
      <c r="IZ16" s="583"/>
      <c r="JA16" s="583"/>
      <c r="JB16" s="583"/>
      <c r="JC16" s="583"/>
      <c r="JD16" s="583"/>
      <c r="JE16" s="583"/>
      <c r="JF16" s="583"/>
      <c r="JG16" s="583"/>
      <c r="JH16" s="583"/>
      <c r="JI16" s="583"/>
      <c r="JJ16" s="583"/>
      <c r="JK16" s="583"/>
      <c r="JL16" s="583"/>
      <c r="JM16" s="583"/>
      <c r="JN16" s="583"/>
      <c r="JO16" s="583"/>
      <c r="JP16" s="583"/>
      <c r="JQ16" s="583"/>
      <c r="JR16" s="583"/>
      <c r="JS16" s="583"/>
      <c r="JT16" s="583"/>
      <c r="JU16" s="583"/>
      <c r="JV16" s="583"/>
      <c r="JW16" s="583"/>
      <c r="JX16" s="583"/>
      <c r="JY16" s="583"/>
      <c r="JZ16" s="583"/>
      <c r="KA16" s="583"/>
      <c r="KB16" s="583"/>
      <c r="KC16" s="583"/>
      <c r="KD16" s="583"/>
      <c r="KE16" s="583"/>
      <c r="KF16" s="583"/>
      <c r="KG16" s="583"/>
      <c r="KH16" s="583"/>
      <c r="KI16" s="583"/>
      <c r="KJ16" s="583"/>
      <c r="KK16" s="583"/>
      <c r="KL16" s="583"/>
      <c r="KM16" s="583"/>
      <c r="KN16" s="583"/>
      <c r="KO16" s="583"/>
      <c r="KP16" s="583"/>
      <c r="KQ16" s="583"/>
      <c r="KR16" s="583"/>
      <c r="KS16" s="583"/>
      <c r="KT16" s="583"/>
      <c r="KU16" s="583"/>
      <c r="KV16" s="583"/>
      <c r="KW16" s="583"/>
      <c r="KX16" s="583"/>
      <c r="KY16" s="583"/>
      <c r="KZ16" s="583"/>
      <c r="LA16" s="583"/>
      <c r="LB16" s="583"/>
      <c r="LC16" s="583"/>
      <c r="LD16" s="583"/>
      <c r="LE16" s="583"/>
      <c r="LF16" s="583"/>
      <c r="LG16" s="583"/>
      <c r="LH16" s="583"/>
      <c r="LI16" s="583"/>
      <c r="LJ16" s="583"/>
      <c r="LK16" s="583"/>
      <c r="LL16" s="583"/>
      <c r="LM16" s="583"/>
      <c r="LN16" s="583"/>
      <c r="LO16" s="583"/>
      <c r="LP16" s="583"/>
      <c r="LQ16" s="583"/>
      <c r="LR16" s="583"/>
      <c r="LS16" s="583"/>
      <c r="LT16" s="583"/>
      <c r="LU16" s="583"/>
      <c r="LV16" s="583"/>
      <c r="LW16" s="583"/>
      <c r="LX16" s="583"/>
      <c r="LY16" s="583"/>
      <c r="LZ16" s="583"/>
      <c r="MA16" s="583"/>
      <c r="MB16" s="583"/>
      <c r="MC16" s="583"/>
      <c r="MD16" s="583"/>
      <c r="ME16" s="583"/>
      <c r="MF16" s="583"/>
      <c r="MG16" s="583"/>
      <c r="MH16" s="583"/>
      <c r="MI16" s="583"/>
      <c r="MJ16" s="583"/>
      <c r="MK16" s="583"/>
      <c r="ML16" s="583"/>
      <c r="MM16" s="583"/>
      <c r="MN16" s="583"/>
      <c r="MO16" s="583"/>
      <c r="MP16" s="583"/>
      <c r="MQ16" s="583"/>
      <c r="MR16" s="583"/>
      <c r="MS16" s="583"/>
      <c r="MT16" s="583"/>
      <c r="MU16" s="583"/>
      <c r="MV16" s="583"/>
      <c r="MW16" s="583"/>
      <c r="MX16" s="583"/>
      <c r="MY16" s="583"/>
      <c r="MZ16" s="583"/>
      <c r="NA16" s="583"/>
      <c r="NB16" s="583"/>
      <c r="NC16" s="583"/>
      <c r="ND16" s="583"/>
      <c r="NE16" s="583"/>
      <c r="NF16" s="583"/>
      <c r="NG16" s="583"/>
      <c r="NH16" s="583"/>
      <c r="NI16" s="583"/>
      <c r="NJ16" s="583"/>
      <c r="NK16" s="583"/>
      <c r="NL16" s="583"/>
      <c r="NM16" s="583"/>
      <c r="NN16" s="583"/>
      <c r="NO16" s="583"/>
      <c r="NP16" s="583"/>
      <c r="NQ16" s="583"/>
      <c r="NR16" s="583"/>
      <c r="NS16" s="583"/>
      <c r="NT16" s="583"/>
      <c r="NU16" s="583"/>
      <c r="NV16" s="583"/>
      <c r="NW16" s="583"/>
      <c r="NX16" s="583"/>
      <c r="NY16" s="583"/>
      <c r="NZ16" s="583"/>
      <c r="OA16" s="583"/>
      <c r="OB16" s="583"/>
      <c r="OC16" s="583"/>
      <c r="OD16" s="583"/>
      <c r="OE16" s="583"/>
      <c r="OF16" s="583"/>
      <c r="OG16" s="583"/>
      <c r="OH16" s="583"/>
      <c r="OI16" s="583"/>
      <c r="OJ16" s="583"/>
      <c r="OK16" s="583"/>
      <c r="OL16" s="583"/>
      <c r="OM16" s="583"/>
      <c r="ON16" s="583"/>
      <c r="OO16" s="583"/>
      <c r="OP16" s="583"/>
      <c r="OQ16" s="583"/>
      <c r="OR16" s="583"/>
      <c r="OS16" s="583"/>
      <c r="OT16" s="583"/>
      <c r="OU16" s="583"/>
      <c r="OV16" s="583"/>
      <c r="OW16" s="583"/>
      <c r="OX16" s="583"/>
      <c r="OY16" s="583"/>
      <c r="OZ16" s="583"/>
      <c r="PA16" s="583"/>
      <c r="PB16" s="583"/>
      <c r="PC16" s="583"/>
      <c r="PD16" s="583"/>
      <c r="PE16" s="583"/>
      <c r="PF16" s="583"/>
      <c r="PG16" s="583"/>
      <c r="PH16" s="583"/>
      <c r="PI16" s="583"/>
      <c r="PJ16" s="583"/>
      <c r="PK16" s="583"/>
      <c r="PL16" s="583"/>
      <c r="PM16" s="583"/>
      <c r="PN16" s="583"/>
      <c r="PO16" s="583"/>
      <c r="PP16" s="583"/>
      <c r="PQ16" s="583"/>
      <c r="PR16" s="583"/>
      <c r="PS16" s="583"/>
      <c r="PT16" s="583"/>
      <c r="PU16" s="583"/>
      <c r="PV16" s="583"/>
      <c r="PW16" s="583"/>
      <c r="PX16" s="583"/>
      <c r="PY16" s="583"/>
      <c r="PZ16" s="583"/>
      <c r="QA16" s="583"/>
      <c r="QB16" s="583"/>
      <c r="QC16" s="583"/>
      <c r="QD16" s="583"/>
      <c r="QE16" s="583"/>
      <c r="QF16" s="583"/>
      <c r="QG16" s="583"/>
      <c r="QH16" s="583"/>
      <c r="QI16" s="583"/>
      <c r="QJ16" s="583"/>
      <c r="QK16" s="583"/>
      <c r="QL16" s="583"/>
      <c r="QM16" s="583"/>
      <c r="QN16" s="583"/>
      <c r="QO16" s="583"/>
      <c r="QP16" s="583"/>
      <c r="QQ16" s="583"/>
      <c r="QR16" s="583"/>
      <c r="QS16" s="583"/>
      <c r="QT16" s="583"/>
      <c r="QU16" s="583"/>
      <c r="QV16" s="583"/>
      <c r="QW16" s="583"/>
      <c r="QX16" s="583"/>
      <c r="QY16" s="583"/>
      <c r="QZ16" s="583"/>
      <c r="RA16" s="583"/>
      <c r="RB16" s="583"/>
      <c r="RC16" s="583"/>
      <c r="RD16" s="583"/>
      <c r="RE16" s="583"/>
      <c r="RF16" s="583"/>
      <c r="RG16" s="583"/>
      <c r="RH16" s="583"/>
      <c r="RI16" s="583"/>
      <c r="RJ16" s="583"/>
      <c r="RK16" s="583"/>
      <c r="RL16" s="583"/>
      <c r="RM16" s="583"/>
      <c r="RN16" s="583"/>
      <c r="RO16" s="583"/>
      <c r="RP16" s="583"/>
      <c r="RQ16" s="583"/>
      <c r="RR16" s="583"/>
      <c r="RS16" s="583"/>
      <c r="RT16" s="583"/>
      <c r="RU16" s="583"/>
      <c r="RV16" s="583"/>
      <c r="RW16" s="583"/>
      <c r="RX16" s="583"/>
      <c r="RY16" s="583"/>
      <c r="RZ16" s="583"/>
      <c r="SA16" s="583"/>
      <c r="SB16" s="583"/>
      <c r="SC16" s="583"/>
      <c r="SD16" s="583"/>
      <c r="SE16" s="583"/>
      <c r="SF16" s="583"/>
      <c r="SG16" s="583"/>
      <c r="SH16" s="583"/>
      <c r="SI16" s="583"/>
      <c r="SJ16" s="583"/>
      <c r="SK16" s="583"/>
      <c r="SL16" s="583"/>
      <c r="SM16" s="583"/>
      <c r="SN16" s="583"/>
      <c r="SO16" s="583"/>
      <c r="SP16" s="583"/>
      <c r="SQ16" s="583"/>
      <c r="SR16" s="583"/>
      <c r="SS16" s="583"/>
      <c r="ST16" s="583"/>
      <c r="SU16" s="583"/>
      <c r="SV16" s="583"/>
      <c r="SW16" s="583"/>
      <c r="SX16" s="583"/>
      <c r="SY16" s="583"/>
      <c r="SZ16" s="583"/>
      <c r="TA16" s="583"/>
      <c r="TB16" s="583"/>
      <c r="TC16" s="583"/>
      <c r="TD16" s="583"/>
      <c r="TE16" s="583"/>
      <c r="TF16" s="583"/>
      <c r="TG16" s="583"/>
      <c r="TH16" s="583"/>
      <c r="TI16" s="583"/>
      <c r="TJ16" s="583"/>
      <c r="TK16" s="583"/>
      <c r="TL16" s="583"/>
      <c r="TM16" s="583"/>
      <c r="TN16" s="583"/>
      <c r="TO16" s="583"/>
      <c r="TP16" s="583"/>
      <c r="TQ16" s="583"/>
      <c r="TR16" s="583"/>
      <c r="TS16" s="583"/>
      <c r="TT16" s="583"/>
      <c r="TU16" s="583"/>
      <c r="TV16" s="583"/>
      <c r="TW16" s="583"/>
      <c r="TX16" s="583"/>
      <c r="TY16" s="583"/>
      <c r="TZ16" s="583"/>
      <c r="UA16" s="583"/>
      <c r="UB16" s="583"/>
      <c r="UC16" s="583"/>
      <c r="UD16" s="583"/>
      <c r="UE16" s="583"/>
      <c r="UF16" s="583"/>
      <c r="UG16" s="583"/>
      <c r="UH16" s="583"/>
      <c r="UI16" s="583"/>
      <c r="UJ16" s="583"/>
      <c r="UK16" s="583"/>
      <c r="UL16" s="583"/>
      <c r="UM16" s="583"/>
      <c r="UN16" s="583"/>
      <c r="UO16" s="583"/>
      <c r="UP16" s="583"/>
      <c r="UQ16" s="583"/>
      <c r="UR16" s="583"/>
      <c r="US16" s="583"/>
      <c r="UT16" s="583"/>
      <c r="UU16" s="583"/>
      <c r="UV16" s="583"/>
      <c r="UW16" s="583"/>
      <c r="UX16" s="583"/>
      <c r="UY16" s="583"/>
      <c r="UZ16" s="583"/>
      <c r="VA16" s="583"/>
      <c r="VB16" s="583"/>
      <c r="VC16" s="583"/>
      <c r="VD16" s="583"/>
      <c r="VE16" s="583"/>
      <c r="VF16" s="583"/>
      <c r="VG16" s="583"/>
      <c r="VH16" s="583"/>
      <c r="VI16" s="583"/>
      <c r="VJ16" s="583"/>
      <c r="VK16" s="583"/>
      <c r="VL16" s="583"/>
      <c r="VM16" s="583"/>
      <c r="VN16" s="583"/>
      <c r="VO16" s="583"/>
      <c r="VP16" s="583"/>
      <c r="VQ16" s="583"/>
      <c r="VR16" s="583"/>
      <c r="VS16" s="583"/>
      <c r="VT16" s="583"/>
      <c r="VU16" s="583"/>
      <c r="VV16" s="583"/>
      <c r="VW16" s="583"/>
      <c r="VX16" s="583"/>
      <c r="VY16" s="583"/>
      <c r="VZ16" s="583"/>
      <c r="WA16" s="583"/>
      <c r="WB16" s="583"/>
      <c r="WC16" s="583"/>
      <c r="WD16" s="583"/>
      <c r="WE16" s="583"/>
      <c r="WF16" s="583"/>
      <c r="WG16" s="583"/>
      <c r="WH16" s="583"/>
      <c r="WI16" s="583"/>
      <c r="WJ16" s="583"/>
      <c r="WK16" s="583"/>
      <c r="WL16" s="583"/>
      <c r="WM16" s="583"/>
      <c r="WN16" s="583"/>
      <c r="WO16" s="583"/>
      <c r="WP16" s="583"/>
      <c r="WQ16" s="583"/>
      <c r="WR16" s="583"/>
      <c r="WS16" s="583"/>
      <c r="WT16" s="583"/>
      <c r="WU16" s="583"/>
      <c r="WV16" s="583"/>
      <c r="WW16" s="583"/>
      <c r="WX16" s="583"/>
      <c r="WY16" s="583"/>
      <c r="WZ16" s="583"/>
      <c r="XA16" s="583"/>
      <c r="XB16" s="583"/>
      <c r="XC16" s="583"/>
      <c r="XD16" s="583"/>
      <c r="XE16" s="583"/>
      <c r="XF16" s="583"/>
      <c r="XG16" s="583"/>
      <c r="XH16" s="583"/>
      <c r="XI16" s="583"/>
      <c r="XJ16" s="583"/>
      <c r="XK16" s="583"/>
      <c r="XL16" s="583"/>
      <c r="XM16" s="583"/>
      <c r="XN16" s="583"/>
      <c r="XO16" s="583"/>
      <c r="XP16" s="583"/>
      <c r="XQ16" s="583"/>
      <c r="XR16" s="583"/>
      <c r="XS16" s="583"/>
      <c r="XT16" s="583"/>
      <c r="XU16" s="583"/>
      <c r="XV16" s="583"/>
      <c r="XW16" s="583"/>
      <c r="XX16" s="583"/>
      <c r="XY16" s="583"/>
      <c r="XZ16" s="583"/>
      <c r="YA16" s="583"/>
      <c r="YB16" s="583"/>
      <c r="YC16" s="583"/>
      <c r="YD16" s="583"/>
      <c r="YE16" s="583"/>
      <c r="YF16" s="583"/>
      <c r="YG16" s="583"/>
      <c r="YH16" s="583"/>
      <c r="YI16" s="583"/>
      <c r="YJ16" s="583"/>
      <c r="YK16" s="583"/>
      <c r="YL16" s="583"/>
      <c r="YM16" s="583"/>
      <c r="YN16" s="583"/>
      <c r="YO16" s="583"/>
      <c r="YP16" s="583"/>
      <c r="YQ16" s="583"/>
      <c r="YR16" s="583"/>
      <c r="YS16" s="583"/>
      <c r="YT16" s="583"/>
      <c r="YU16" s="583"/>
      <c r="YV16" s="583"/>
      <c r="YW16" s="583"/>
      <c r="YX16" s="583"/>
      <c r="YY16" s="583"/>
      <c r="YZ16" s="583"/>
      <c r="ZA16" s="583"/>
      <c r="ZB16" s="583"/>
      <c r="ZC16" s="583"/>
      <c r="ZD16" s="583"/>
      <c r="ZE16" s="583"/>
      <c r="ZF16" s="583"/>
      <c r="ZG16" s="583"/>
      <c r="ZH16" s="583"/>
      <c r="ZI16" s="583"/>
      <c r="ZJ16" s="583"/>
      <c r="ZK16" s="583"/>
      <c r="ZL16" s="583"/>
      <c r="ZM16" s="583"/>
      <c r="ZN16" s="583"/>
      <c r="ZO16" s="583"/>
      <c r="ZP16" s="583"/>
      <c r="ZQ16" s="583"/>
      <c r="ZR16" s="583"/>
      <c r="ZS16" s="583"/>
      <c r="ZT16" s="583"/>
      <c r="ZU16" s="583"/>
      <c r="ZV16" s="583"/>
      <c r="ZW16" s="583"/>
      <c r="ZX16" s="583"/>
      <c r="ZY16" s="583"/>
      <c r="ZZ16" s="583"/>
      <c r="AAA16" s="583"/>
      <c r="AAB16" s="583"/>
      <c r="AAC16" s="583"/>
      <c r="AAD16" s="583"/>
      <c r="AAE16" s="583"/>
      <c r="AAF16" s="583"/>
      <c r="AAG16" s="583"/>
      <c r="AAH16" s="583"/>
      <c r="AAI16" s="583"/>
      <c r="AAJ16" s="583"/>
      <c r="AAK16" s="583"/>
      <c r="AAL16" s="583"/>
      <c r="AAM16" s="583"/>
      <c r="AAN16" s="583"/>
      <c r="AAO16" s="583"/>
      <c r="AAP16" s="583"/>
      <c r="AAQ16" s="583"/>
      <c r="AAR16" s="583"/>
      <c r="AAS16" s="583"/>
      <c r="AAT16" s="583"/>
      <c r="AAU16" s="583"/>
      <c r="AAV16" s="583"/>
      <c r="AAW16" s="583"/>
      <c r="AAX16" s="583"/>
      <c r="AAY16" s="583"/>
      <c r="AAZ16" s="583"/>
      <c r="ABA16" s="583"/>
      <c r="ABB16" s="583"/>
      <c r="ABC16" s="583"/>
      <c r="ABD16" s="583"/>
      <c r="ABE16" s="583"/>
      <c r="ABF16" s="583"/>
      <c r="ABG16" s="583"/>
      <c r="ABH16" s="583"/>
      <c r="ABI16" s="583"/>
      <c r="ABJ16" s="583"/>
      <c r="ABK16" s="583"/>
      <c r="ABL16" s="583"/>
      <c r="ABM16" s="583"/>
      <c r="ABN16" s="583"/>
      <c r="ABO16" s="583"/>
      <c r="ABP16" s="583"/>
      <c r="ABQ16" s="583"/>
      <c r="ABR16" s="583"/>
      <c r="ABS16" s="583"/>
      <c r="ABT16" s="583"/>
      <c r="ABU16" s="583"/>
      <c r="ABV16" s="583"/>
      <c r="ABW16" s="583"/>
      <c r="ABX16" s="583"/>
      <c r="ABY16" s="583"/>
      <c r="ABZ16" s="583"/>
      <c r="ACA16" s="583"/>
      <c r="ACB16" s="583"/>
      <c r="ACC16" s="583"/>
      <c r="ACD16" s="583"/>
      <c r="ACE16" s="583"/>
      <c r="ACF16" s="583"/>
      <c r="ACG16" s="583"/>
      <c r="ACH16" s="583"/>
      <c r="ACI16" s="583"/>
      <c r="ACJ16" s="583"/>
      <c r="ACK16" s="583"/>
      <c r="ACL16" s="583"/>
      <c r="ACM16" s="583"/>
      <c r="ACN16" s="583"/>
      <c r="ACO16" s="583"/>
      <c r="ACP16" s="583"/>
      <c r="ACQ16" s="583"/>
      <c r="ACR16" s="583"/>
      <c r="ACS16" s="583"/>
      <c r="ACT16" s="583"/>
      <c r="ACU16" s="583"/>
      <c r="ACV16" s="583"/>
      <c r="ACW16" s="583"/>
      <c r="ACX16" s="583"/>
      <c r="ACY16" s="583"/>
      <c r="ACZ16" s="583"/>
      <c r="ADA16" s="583"/>
      <c r="ADB16" s="583"/>
      <c r="ADC16" s="583"/>
      <c r="ADD16" s="583"/>
      <c r="ADE16" s="583"/>
      <c r="ADF16" s="583"/>
      <c r="ADG16" s="583"/>
      <c r="ADH16" s="583"/>
      <c r="ADI16" s="583"/>
      <c r="ADJ16" s="583"/>
      <c r="ADK16" s="583"/>
      <c r="ADL16" s="583"/>
      <c r="ADM16" s="583"/>
      <c r="ADN16" s="583"/>
      <c r="ADO16" s="583"/>
      <c r="ADP16" s="583"/>
      <c r="ADQ16" s="583"/>
      <c r="ADR16" s="583"/>
      <c r="ADS16" s="583"/>
      <c r="ADT16" s="583"/>
      <c r="ADU16" s="583"/>
      <c r="ADV16" s="583"/>
      <c r="ADW16" s="583"/>
      <c r="ADX16" s="583"/>
      <c r="ADY16" s="583"/>
      <c r="ADZ16" s="583"/>
      <c r="AEA16" s="583"/>
      <c r="AEB16" s="583"/>
      <c r="AEC16" s="583"/>
      <c r="AED16" s="583"/>
      <c r="AEE16" s="583"/>
      <c r="AEF16" s="583"/>
      <c r="AEG16" s="583"/>
      <c r="AEH16" s="583"/>
      <c r="AEI16" s="583"/>
      <c r="AEJ16" s="583"/>
      <c r="AEK16" s="583"/>
      <c r="AEL16" s="583"/>
      <c r="AEM16" s="583"/>
      <c r="AEN16" s="583"/>
      <c r="AEO16" s="583"/>
      <c r="AEP16" s="583"/>
      <c r="AEQ16" s="583"/>
      <c r="AER16" s="583"/>
      <c r="AES16" s="583"/>
      <c r="AET16" s="583"/>
      <c r="AEU16" s="583"/>
      <c r="AEV16" s="583"/>
      <c r="AEW16" s="583"/>
      <c r="AEX16" s="583"/>
      <c r="AEY16" s="583"/>
      <c r="AEZ16" s="583"/>
      <c r="AFA16" s="583"/>
      <c r="AFB16" s="583"/>
      <c r="AFC16" s="583"/>
      <c r="AFD16" s="583"/>
      <c r="AFE16" s="583"/>
      <c r="AFF16" s="583"/>
      <c r="AFG16" s="583"/>
      <c r="AFH16" s="583"/>
      <c r="AFI16" s="583"/>
      <c r="AFJ16" s="583"/>
      <c r="AFK16" s="583"/>
      <c r="AFL16" s="583"/>
      <c r="AFM16" s="583"/>
      <c r="AFN16" s="583"/>
      <c r="AFO16" s="583"/>
      <c r="AFP16" s="583"/>
      <c r="AFQ16" s="583"/>
      <c r="AFR16" s="583"/>
      <c r="AFS16" s="583"/>
      <c r="AFT16" s="583"/>
      <c r="AFU16" s="583"/>
      <c r="AFV16" s="583"/>
      <c r="AFW16" s="583"/>
      <c r="AFX16" s="583"/>
      <c r="AFY16" s="583"/>
      <c r="AFZ16" s="583"/>
      <c r="AGA16" s="583"/>
      <c r="AGB16" s="583"/>
      <c r="AGC16" s="583"/>
      <c r="AGD16" s="583"/>
      <c r="AGE16" s="583"/>
      <c r="AGF16" s="583"/>
      <c r="AGG16" s="583"/>
      <c r="AGH16" s="583"/>
      <c r="AGI16" s="583"/>
      <c r="AGJ16" s="583"/>
      <c r="AGK16" s="583"/>
      <c r="AGL16" s="583"/>
      <c r="AGM16" s="583"/>
      <c r="AGN16" s="583"/>
      <c r="AGO16" s="583"/>
      <c r="AGP16" s="583"/>
      <c r="AGQ16" s="583"/>
      <c r="AGR16" s="583"/>
      <c r="AGS16" s="583"/>
      <c r="AGT16" s="583"/>
      <c r="AGU16" s="583"/>
      <c r="AGV16" s="583"/>
      <c r="AGW16" s="583"/>
      <c r="AGX16" s="583"/>
      <c r="AGY16" s="583"/>
      <c r="AGZ16" s="583"/>
      <c r="AHA16" s="583"/>
      <c r="AHB16" s="583"/>
      <c r="AHC16" s="583"/>
      <c r="AHD16" s="583"/>
      <c r="AHE16" s="583"/>
      <c r="AHF16" s="583"/>
      <c r="AHG16" s="583"/>
      <c r="AHH16" s="583"/>
      <c r="AHI16" s="583"/>
      <c r="AHJ16" s="583"/>
      <c r="AHK16" s="583"/>
      <c r="AHL16" s="583"/>
      <c r="AHM16" s="583"/>
      <c r="AHN16" s="583"/>
      <c r="AHO16" s="583"/>
      <c r="AHP16" s="583"/>
      <c r="AHQ16" s="583"/>
      <c r="AHR16" s="583"/>
      <c r="AHS16" s="583"/>
      <c r="AHT16" s="583"/>
      <c r="AHU16" s="583"/>
      <c r="AHV16" s="583"/>
      <c r="AHW16" s="583"/>
      <c r="AHX16" s="583"/>
      <c r="AHY16" s="583"/>
      <c r="AHZ16" s="583"/>
      <c r="AIA16" s="583"/>
      <c r="AIB16" s="583"/>
      <c r="AIC16" s="583"/>
      <c r="AID16" s="583"/>
      <c r="AIE16" s="583"/>
      <c r="AIF16" s="583"/>
      <c r="AIG16" s="583"/>
      <c r="AIH16" s="583"/>
      <c r="AII16" s="583"/>
      <c r="AIJ16" s="583"/>
      <c r="AIK16" s="583"/>
      <c r="AIL16" s="583"/>
      <c r="AIM16" s="583"/>
      <c r="AIN16" s="583"/>
      <c r="AIO16" s="583"/>
      <c r="AIP16" s="583"/>
      <c r="AIQ16" s="583"/>
      <c r="AIR16" s="583"/>
      <c r="AIS16" s="583"/>
      <c r="AIT16" s="583"/>
      <c r="AIU16" s="583"/>
      <c r="AIV16" s="583"/>
      <c r="AIW16" s="583"/>
      <c r="AIX16" s="583"/>
      <c r="AIY16" s="583"/>
      <c r="AIZ16" s="583"/>
      <c r="AJA16" s="583"/>
      <c r="AJB16" s="583"/>
      <c r="AJC16" s="583"/>
      <c r="AJD16" s="583"/>
      <c r="AJE16" s="583"/>
      <c r="AJF16" s="583"/>
      <c r="AJG16" s="583"/>
      <c r="AJH16" s="583"/>
      <c r="AJI16" s="583"/>
      <c r="AJJ16" s="583"/>
      <c r="AJK16" s="583"/>
      <c r="AJL16" s="583"/>
      <c r="AJM16" s="583"/>
      <c r="AJN16" s="583"/>
      <c r="AJO16" s="583"/>
      <c r="AJP16" s="583"/>
      <c r="AJQ16" s="583"/>
      <c r="AJR16" s="583"/>
      <c r="AJS16" s="583"/>
      <c r="AJT16" s="583"/>
      <c r="AJU16" s="583"/>
      <c r="AJV16" s="583"/>
      <c r="AJW16" s="583"/>
      <c r="AJX16" s="583"/>
      <c r="AJY16" s="583"/>
      <c r="AJZ16" s="583"/>
      <c r="AKA16" s="583"/>
      <c r="AKB16" s="583"/>
      <c r="AKC16" s="583"/>
      <c r="AKD16" s="583"/>
      <c r="AKE16" s="583"/>
      <c r="AKF16" s="583"/>
      <c r="AKG16" s="583"/>
      <c r="AKH16" s="583"/>
      <c r="AKI16" s="583"/>
      <c r="AKJ16" s="583"/>
      <c r="AKK16" s="583"/>
      <c r="AKL16" s="583"/>
      <c r="AKM16" s="583"/>
      <c r="AKN16" s="583"/>
      <c r="AKO16" s="583"/>
      <c r="AKP16" s="583"/>
      <c r="AKQ16" s="583"/>
      <c r="AKR16" s="583"/>
      <c r="AKS16" s="583"/>
      <c r="AKT16" s="583"/>
      <c r="AKU16" s="583"/>
      <c r="AKV16" s="583"/>
      <c r="AKW16" s="583"/>
      <c r="AKX16" s="583"/>
      <c r="AKY16" s="583"/>
      <c r="AKZ16" s="583"/>
      <c r="ALA16" s="583"/>
      <c r="ALB16" s="583"/>
      <c r="ALC16" s="583"/>
      <c r="ALD16" s="583"/>
      <c r="ALE16" s="583"/>
      <c r="ALF16" s="583"/>
      <c r="ALG16" s="583"/>
      <c r="ALH16" s="583"/>
      <c r="ALI16" s="583"/>
      <c r="ALJ16" s="583"/>
      <c r="ALK16" s="583"/>
      <c r="ALL16" s="583"/>
      <c r="ALM16" s="583"/>
      <c r="ALN16" s="583"/>
      <c r="ALO16" s="583"/>
      <c r="ALP16" s="583"/>
      <c r="ALQ16" s="583"/>
      <c r="ALR16" s="583"/>
      <c r="ALS16" s="583"/>
      <c r="ALT16" s="583"/>
      <c r="ALU16" s="583"/>
      <c r="ALV16" s="583"/>
      <c r="ALW16" s="583"/>
      <c r="ALX16" s="583"/>
      <c r="ALY16" s="583"/>
      <c r="ALZ16" s="583"/>
      <c r="AMA16" s="583"/>
      <c r="AMB16" s="583"/>
      <c r="AMC16" s="583"/>
      <c r="AMD16" s="583"/>
      <c r="AME16" s="583"/>
      <c r="AMF16" s="583"/>
      <c r="AMG16" s="583"/>
      <c r="AMH16" s="583"/>
      <c r="AMI16" s="583"/>
      <c r="AMJ16" s="583"/>
      <c r="AMK16" s="583"/>
      <c r="AML16" s="583"/>
      <c r="AMM16" s="583"/>
      <c r="AMN16" s="583"/>
      <c r="AMO16" s="583"/>
      <c r="AMP16" s="583"/>
      <c r="AMQ16" s="583"/>
      <c r="AMR16" s="583"/>
      <c r="AMS16" s="583"/>
      <c r="AMT16" s="583"/>
      <c r="AMU16" s="583"/>
      <c r="AMV16" s="583"/>
      <c r="AMW16" s="583"/>
      <c r="AMX16" s="583"/>
      <c r="AMY16" s="583"/>
      <c r="AMZ16" s="583"/>
      <c r="ANA16" s="583"/>
      <c r="ANB16" s="583"/>
      <c r="ANC16" s="583"/>
      <c r="AND16" s="583"/>
      <c r="ANE16" s="583"/>
      <c r="ANF16" s="583"/>
      <c r="ANG16" s="583"/>
      <c r="ANH16" s="583"/>
      <c r="ANI16" s="583"/>
      <c r="ANJ16" s="583"/>
      <c r="ANK16" s="583"/>
      <c r="ANL16" s="583"/>
      <c r="ANM16" s="583"/>
      <c r="ANN16" s="583"/>
      <c r="ANO16" s="583"/>
      <c r="ANP16" s="583"/>
      <c r="ANQ16" s="583"/>
      <c r="ANR16" s="583"/>
      <c r="ANS16" s="583"/>
      <c r="ANT16" s="583"/>
      <c r="ANU16" s="583"/>
      <c r="ANV16" s="583"/>
      <c r="ANW16" s="583"/>
      <c r="ANX16" s="583"/>
      <c r="ANY16" s="583"/>
      <c r="ANZ16" s="583"/>
      <c r="AOA16" s="583"/>
      <c r="AOB16" s="583"/>
      <c r="AOC16" s="583"/>
      <c r="AOD16" s="583"/>
      <c r="AOE16" s="583"/>
      <c r="AOF16" s="583"/>
      <c r="AOG16" s="583"/>
      <c r="AOH16" s="583"/>
      <c r="AOI16" s="583"/>
      <c r="AOJ16" s="583"/>
      <c r="AOK16" s="583"/>
      <c r="AOL16" s="583"/>
      <c r="AOM16" s="583"/>
      <c r="AON16" s="583"/>
      <c r="AOO16" s="583"/>
      <c r="AOP16" s="583"/>
      <c r="AOQ16" s="583"/>
      <c r="AOR16" s="583"/>
      <c r="AOS16" s="583"/>
      <c r="AOT16" s="583"/>
      <c r="AOU16" s="583"/>
      <c r="AOV16" s="583"/>
      <c r="AOW16" s="583"/>
      <c r="AOX16" s="583"/>
      <c r="AOY16" s="583"/>
      <c r="AOZ16" s="583"/>
      <c r="APA16" s="583"/>
      <c r="APB16" s="583"/>
      <c r="APC16" s="583"/>
      <c r="APD16" s="583"/>
      <c r="APE16" s="583"/>
      <c r="APF16" s="583"/>
      <c r="APG16" s="583"/>
      <c r="APH16" s="583"/>
      <c r="API16" s="583"/>
      <c r="APJ16" s="583"/>
      <c r="APK16" s="583"/>
      <c r="APL16" s="583"/>
      <c r="APM16" s="583"/>
      <c r="APN16" s="583"/>
      <c r="APO16" s="583"/>
      <c r="APP16" s="583"/>
      <c r="APQ16" s="583"/>
      <c r="APR16" s="583"/>
      <c r="APS16" s="583"/>
      <c r="APT16" s="583"/>
      <c r="APU16" s="583"/>
      <c r="APV16" s="583"/>
      <c r="APW16" s="583"/>
      <c r="APX16" s="583"/>
      <c r="APY16" s="583"/>
      <c r="APZ16" s="583"/>
      <c r="AQA16" s="583"/>
      <c r="AQB16" s="583"/>
      <c r="AQC16" s="583"/>
      <c r="AQD16" s="583"/>
      <c r="AQE16" s="583"/>
      <c r="AQF16" s="583"/>
      <c r="AQG16" s="583"/>
      <c r="AQH16" s="583"/>
      <c r="AQI16" s="583"/>
      <c r="AQJ16" s="583"/>
      <c r="AQK16" s="583"/>
      <c r="AQL16" s="583"/>
      <c r="AQM16" s="583"/>
      <c r="AQN16" s="583"/>
      <c r="AQO16" s="583"/>
      <c r="AQP16" s="583"/>
      <c r="AQQ16" s="583"/>
      <c r="AQR16" s="583"/>
      <c r="AQS16" s="583"/>
      <c r="AQT16" s="583"/>
      <c r="AQU16" s="583"/>
      <c r="AQV16" s="583"/>
      <c r="AQW16" s="583"/>
      <c r="AQX16" s="583"/>
      <c r="AQY16" s="583"/>
      <c r="AQZ16" s="583"/>
      <c r="ARA16" s="583"/>
      <c r="ARB16" s="583"/>
      <c r="ARC16" s="583"/>
      <c r="ARD16" s="583"/>
      <c r="ARE16" s="583"/>
      <c r="ARF16" s="583"/>
      <c r="ARG16" s="583"/>
      <c r="ARH16" s="583"/>
      <c r="ARI16" s="583"/>
      <c r="ARJ16" s="583"/>
      <c r="ARK16" s="583"/>
      <c r="ARL16" s="583"/>
      <c r="ARM16" s="583"/>
      <c r="ARN16" s="583"/>
      <c r="ARO16" s="583"/>
      <c r="ARP16" s="583"/>
      <c r="ARQ16" s="583"/>
      <c r="ARR16" s="583"/>
      <c r="ARS16" s="583"/>
      <c r="ART16" s="583"/>
      <c r="ARU16" s="583"/>
      <c r="ARV16" s="583"/>
      <c r="ARW16" s="583"/>
      <c r="ARX16" s="583"/>
      <c r="ARY16" s="583"/>
      <c r="ARZ16" s="583"/>
      <c r="ASA16" s="583"/>
      <c r="ASB16" s="583"/>
      <c r="ASC16" s="583"/>
      <c r="ASD16" s="583"/>
      <c r="ASE16" s="583"/>
      <c r="ASF16" s="583"/>
      <c r="ASG16" s="583"/>
      <c r="ASH16" s="583"/>
      <c r="ASI16" s="583"/>
      <c r="ASJ16" s="583"/>
      <c r="ASK16" s="583"/>
      <c r="ASL16" s="583"/>
      <c r="ASM16" s="583"/>
      <c r="ASN16" s="583"/>
      <c r="ASO16" s="583"/>
      <c r="ASP16" s="583"/>
      <c r="ASQ16" s="583"/>
      <c r="ASR16" s="583"/>
      <c r="ASS16" s="583"/>
      <c r="AST16" s="583"/>
      <c r="ASU16" s="583"/>
      <c r="ASV16" s="583"/>
      <c r="ASW16" s="583"/>
      <c r="ASX16" s="583"/>
      <c r="ASY16" s="583"/>
      <c r="ASZ16" s="583"/>
      <c r="ATA16" s="583"/>
      <c r="ATB16" s="583"/>
      <c r="ATC16" s="583"/>
      <c r="ATD16" s="583"/>
      <c r="ATE16" s="583"/>
      <c r="ATF16" s="583"/>
      <c r="ATG16" s="583"/>
      <c r="ATH16" s="583"/>
      <c r="ATI16" s="583"/>
      <c r="ATJ16" s="583"/>
      <c r="ATK16" s="583"/>
      <c r="ATL16" s="583"/>
      <c r="ATM16" s="583"/>
      <c r="ATN16" s="583"/>
      <c r="ATO16" s="583"/>
      <c r="ATP16" s="583"/>
      <c r="ATQ16" s="583"/>
      <c r="ATR16" s="583"/>
      <c r="ATS16" s="583"/>
      <c r="ATT16" s="583"/>
      <c r="ATU16" s="583"/>
      <c r="ATV16" s="583"/>
      <c r="ATW16" s="583"/>
      <c r="ATX16" s="583"/>
      <c r="ATY16" s="583"/>
      <c r="ATZ16" s="583"/>
      <c r="AUA16" s="583"/>
      <c r="AUB16" s="583"/>
      <c r="AUC16" s="583"/>
      <c r="AUD16" s="583"/>
      <c r="AUE16" s="583"/>
      <c r="AUF16" s="583"/>
      <c r="AUG16" s="583"/>
      <c r="AUH16" s="583"/>
      <c r="AUI16" s="583"/>
      <c r="AUJ16" s="583"/>
      <c r="AUK16" s="583"/>
      <c r="AUL16" s="583"/>
      <c r="AUM16" s="583"/>
      <c r="AUN16" s="583"/>
      <c r="AUO16" s="583"/>
      <c r="AUP16" s="583"/>
      <c r="AUQ16" s="583"/>
      <c r="AUR16" s="583"/>
      <c r="AUS16" s="583"/>
      <c r="AUT16" s="583"/>
      <c r="AUU16" s="583"/>
      <c r="AUV16" s="583"/>
      <c r="AUW16" s="583"/>
      <c r="AUX16" s="583"/>
      <c r="AUY16" s="583"/>
      <c r="AUZ16" s="583"/>
      <c r="AVA16" s="583"/>
      <c r="AVB16" s="583"/>
      <c r="AVC16" s="583"/>
      <c r="AVD16" s="583"/>
      <c r="AVE16" s="583"/>
      <c r="AVF16" s="583"/>
      <c r="AVG16" s="583"/>
      <c r="AVH16" s="583"/>
      <c r="AVI16" s="583"/>
      <c r="AVJ16" s="583"/>
      <c r="AVK16" s="583"/>
      <c r="AVL16" s="583"/>
      <c r="AVM16" s="583"/>
      <c r="AVN16" s="583"/>
      <c r="AVO16" s="583"/>
      <c r="AVP16" s="583"/>
      <c r="AVQ16" s="583"/>
      <c r="AVR16" s="583"/>
      <c r="AVS16" s="583"/>
      <c r="AVT16" s="583"/>
      <c r="AVU16" s="583"/>
      <c r="AVV16" s="583"/>
      <c r="AVW16" s="583"/>
      <c r="AVX16" s="583"/>
      <c r="AVY16" s="583"/>
      <c r="AVZ16" s="583"/>
      <c r="AWA16" s="583"/>
      <c r="AWB16" s="583"/>
      <c r="AWC16" s="583"/>
      <c r="AWD16" s="583"/>
      <c r="AWE16" s="583"/>
      <c r="AWF16" s="583"/>
      <c r="AWG16" s="583"/>
      <c r="AWH16" s="583"/>
      <c r="AWI16" s="583"/>
      <c r="AWJ16" s="583"/>
      <c r="AWK16" s="583"/>
      <c r="AWL16" s="583"/>
      <c r="AWM16" s="583"/>
      <c r="AWN16" s="583"/>
      <c r="AWO16" s="583"/>
      <c r="AWP16" s="583"/>
      <c r="AWQ16" s="583"/>
      <c r="AWR16" s="583"/>
      <c r="AWS16" s="583"/>
      <c r="AWT16" s="583"/>
      <c r="AWU16" s="583"/>
      <c r="AWV16" s="583"/>
      <c r="AWW16" s="583"/>
      <c r="AWX16" s="583"/>
      <c r="AWY16" s="583"/>
      <c r="AWZ16" s="583"/>
      <c r="AXA16" s="583"/>
      <c r="AXB16" s="583"/>
      <c r="AXC16" s="583"/>
      <c r="AXD16" s="583"/>
      <c r="AXE16" s="583"/>
      <c r="AXF16" s="583"/>
      <c r="AXG16" s="583"/>
      <c r="AXH16" s="583"/>
      <c r="AXI16" s="583"/>
      <c r="AXJ16" s="583"/>
      <c r="AXK16" s="583"/>
      <c r="AXL16" s="583"/>
      <c r="AXM16" s="583"/>
      <c r="AXN16" s="583"/>
      <c r="AXO16" s="583"/>
      <c r="AXP16" s="583"/>
      <c r="AXQ16" s="583"/>
      <c r="AXR16" s="583"/>
      <c r="AXS16" s="583"/>
      <c r="AXT16" s="583"/>
      <c r="AXU16" s="583"/>
      <c r="AXV16" s="583"/>
      <c r="AXW16" s="583"/>
      <c r="AXX16" s="583"/>
      <c r="AXY16" s="583"/>
      <c r="AXZ16" s="583"/>
      <c r="AYA16" s="583"/>
      <c r="AYB16" s="583"/>
      <c r="AYC16" s="583"/>
      <c r="AYD16" s="583"/>
      <c r="AYE16" s="583"/>
      <c r="AYF16" s="583"/>
      <c r="AYG16" s="583"/>
      <c r="AYH16" s="583"/>
      <c r="AYI16" s="583"/>
      <c r="AYJ16" s="583"/>
      <c r="AYK16" s="583"/>
      <c r="AYL16" s="583"/>
      <c r="AYM16" s="583"/>
      <c r="AYN16" s="583"/>
      <c r="AYO16" s="583"/>
      <c r="AYP16" s="583"/>
      <c r="AYQ16" s="583"/>
      <c r="AYR16" s="583"/>
      <c r="AYS16" s="583"/>
      <c r="AYT16" s="583"/>
      <c r="AYU16" s="583"/>
      <c r="AYV16" s="583"/>
      <c r="AYW16" s="583"/>
      <c r="AYX16" s="583"/>
      <c r="AYY16" s="583"/>
      <c r="AYZ16" s="583"/>
      <c r="AZA16" s="583"/>
      <c r="AZB16" s="583"/>
      <c r="AZC16" s="583"/>
      <c r="AZD16" s="583"/>
      <c r="AZE16" s="583"/>
      <c r="AZF16" s="583"/>
      <c r="AZG16" s="583"/>
      <c r="AZH16" s="583"/>
      <c r="AZI16" s="583"/>
      <c r="AZJ16" s="583"/>
      <c r="AZK16" s="583"/>
      <c r="AZL16" s="583"/>
      <c r="AZM16" s="583"/>
      <c r="AZN16" s="583"/>
      <c r="AZO16" s="583"/>
      <c r="AZP16" s="583"/>
      <c r="AZQ16" s="583"/>
      <c r="AZR16" s="583"/>
      <c r="AZS16" s="583"/>
      <c r="AZT16" s="583"/>
      <c r="AZU16" s="583"/>
      <c r="AZV16" s="583"/>
      <c r="AZW16" s="583"/>
      <c r="AZX16" s="583"/>
      <c r="AZY16" s="583"/>
      <c r="AZZ16" s="583"/>
      <c r="BAA16" s="583"/>
      <c r="BAB16" s="583"/>
      <c r="BAC16" s="583"/>
      <c r="BAD16" s="583"/>
      <c r="BAE16" s="583"/>
      <c r="BAF16" s="583"/>
      <c r="BAG16" s="583"/>
      <c r="BAH16" s="583"/>
      <c r="BAI16" s="583"/>
      <c r="BAJ16" s="583"/>
      <c r="BAK16" s="583"/>
      <c r="BAL16" s="583"/>
      <c r="BAM16" s="583"/>
      <c r="BAN16" s="583"/>
      <c r="BAO16" s="583"/>
      <c r="BAP16" s="583"/>
      <c r="BAQ16" s="583"/>
      <c r="BAR16" s="583"/>
      <c r="BAS16" s="583"/>
      <c r="BAT16" s="583"/>
      <c r="BAU16" s="583"/>
      <c r="BAV16" s="583"/>
      <c r="BAW16" s="583"/>
      <c r="BAX16" s="583"/>
      <c r="BAY16" s="583"/>
      <c r="BAZ16" s="583"/>
      <c r="BBA16" s="583"/>
      <c r="BBB16" s="583"/>
      <c r="BBC16" s="583"/>
      <c r="BBD16" s="583"/>
      <c r="BBE16" s="583"/>
      <c r="BBF16" s="583"/>
      <c r="BBG16" s="583"/>
      <c r="BBH16" s="583"/>
      <c r="BBI16" s="583"/>
      <c r="BBJ16" s="583"/>
      <c r="BBK16" s="583"/>
      <c r="BBL16" s="583"/>
      <c r="BBM16" s="583"/>
      <c r="BBN16" s="583"/>
      <c r="BBO16" s="583"/>
      <c r="BBP16" s="583"/>
      <c r="BBQ16" s="583"/>
      <c r="BBR16" s="583"/>
      <c r="BBS16" s="583"/>
      <c r="BBT16" s="583"/>
      <c r="BBU16" s="583"/>
      <c r="BBV16" s="583"/>
      <c r="BBW16" s="583"/>
      <c r="BBX16" s="583"/>
      <c r="BBY16" s="583"/>
      <c r="BBZ16" s="583"/>
      <c r="BCA16" s="583"/>
      <c r="BCB16" s="583"/>
      <c r="BCC16" s="583"/>
      <c r="BCD16" s="583"/>
      <c r="BCE16" s="583"/>
      <c r="BCF16" s="583"/>
      <c r="BCG16" s="583"/>
      <c r="BCH16" s="583"/>
      <c r="BCI16" s="583"/>
      <c r="BCJ16" s="583"/>
      <c r="BCK16" s="583"/>
      <c r="BCL16" s="583"/>
      <c r="BCM16" s="583"/>
      <c r="BCN16" s="583"/>
      <c r="BCO16" s="583"/>
      <c r="BCP16" s="583"/>
      <c r="BCQ16" s="583"/>
      <c r="BCR16" s="583"/>
      <c r="BCS16" s="583"/>
      <c r="BCT16" s="583"/>
      <c r="BCU16" s="583"/>
      <c r="BCV16" s="583"/>
      <c r="BCW16" s="583"/>
      <c r="BCX16" s="583"/>
      <c r="BCY16" s="583"/>
      <c r="BCZ16" s="583"/>
      <c r="BDA16" s="583"/>
      <c r="BDB16" s="583"/>
      <c r="BDC16" s="583"/>
      <c r="BDD16" s="583"/>
      <c r="BDE16" s="583"/>
      <c r="BDF16" s="583"/>
      <c r="BDG16" s="583"/>
      <c r="BDH16" s="583"/>
      <c r="BDI16" s="583"/>
      <c r="BDJ16" s="583"/>
      <c r="BDK16" s="583"/>
      <c r="BDL16" s="583"/>
      <c r="BDM16" s="583"/>
      <c r="BDN16" s="583"/>
      <c r="BDO16" s="583"/>
      <c r="BDP16" s="583"/>
      <c r="BDQ16" s="583"/>
      <c r="BDR16" s="583"/>
      <c r="BDS16" s="583"/>
      <c r="BDT16" s="583"/>
      <c r="BDU16" s="583"/>
      <c r="BDV16" s="583"/>
      <c r="BDW16" s="583"/>
      <c r="BDX16" s="583"/>
      <c r="BDY16" s="583"/>
      <c r="BDZ16" s="583"/>
      <c r="BEA16" s="583"/>
      <c r="BEB16" s="583"/>
      <c r="BEC16" s="583"/>
      <c r="BED16" s="583"/>
      <c r="BEE16" s="583"/>
      <c r="BEF16" s="583"/>
      <c r="BEG16" s="583"/>
      <c r="BEH16" s="583"/>
      <c r="BEI16" s="583"/>
      <c r="BEJ16" s="583"/>
      <c r="BEK16" s="583"/>
      <c r="BEL16" s="583"/>
      <c r="BEM16" s="583"/>
      <c r="BEN16" s="583"/>
      <c r="BEO16" s="583"/>
      <c r="BEP16" s="583"/>
      <c r="BEQ16" s="583"/>
      <c r="BER16" s="583"/>
      <c r="BES16" s="583"/>
      <c r="BET16" s="583"/>
      <c r="BEU16" s="583"/>
      <c r="BEV16" s="583"/>
      <c r="BEW16" s="583"/>
      <c r="BEX16" s="583"/>
      <c r="BEY16" s="583"/>
      <c r="BEZ16" s="583"/>
      <c r="BFA16" s="583"/>
      <c r="BFB16" s="583"/>
      <c r="BFC16" s="583"/>
      <c r="BFD16" s="583"/>
      <c r="BFE16" s="583"/>
      <c r="BFF16" s="583"/>
      <c r="BFG16" s="583"/>
      <c r="BFH16" s="583"/>
      <c r="BFI16" s="583"/>
      <c r="BFJ16" s="583"/>
      <c r="BFK16" s="583"/>
      <c r="BFL16" s="583"/>
      <c r="BFM16" s="583"/>
      <c r="BFN16" s="583"/>
      <c r="BFO16" s="583"/>
      <c r="BFP16" s="583"/>
      <c r="BFQ16" s="583"/>
      <c r="BFR16" s="583"/>
      <c r="BFS16" s="583"/>
      <c r="BFT16" s="583"/>
      <c r="BFU16" s="583"/>
      <c r="BFV16" s="583"/>
      <c r="BFW16" s="583"/>
      <c r="BFX16" s="583"/>
      <c r="BFY16" s="583"/>
      <c r="BFZ16" s="583"/>
      <c r="BGA16" s="583"/>
      <c r="BGB16" s="583"/>
      <c r="BGC16" s="583"/>
      <c r="BGD16" s="583"/>
      <c r="BGE16" s="583"/>
      <c r="BGF16" s="583"/>
      <c r="BGG16" s="583"/>
      <c r="BGH16" s="583"/>
      <c r="BGI16" s="583"/>
      <c r="BGJ16" s="583"/>
      <c r="BGK16" s="583"/>
      <c r="BGL16" s="583"/>
      <c r="BGM16" s="583"/>
      <c r="BGN16" s="583"/>
      <c r="BGO16" s="583"/>
      <c r="BGP16" s="583"/>
      <c r="BGQ16" s="583"/>
      <c r="BGR16" s="583"/>
      <c r="BGS16" s="583"/>
      <c r="BGT16" s="583"/>
      <c r="BGU16" s="583"/>
      <c r="BGV16" s="583"/>
      <c r="BGW16" s="583"/>
      <c r="BGX16" s="583"/>
      <c r="BGY16" s="583"/>
      <c r="BGZ16" s="583"/>
      <c r="BHA16" s="583"/>
      <c r="BHB16" s="583"/>
      <c r="BHC16" s="583"/>
      <c r="BHD16" s="583"/>
      <c r="BHE16" s="583"/>
      <c r="BHF16" s="583"/>
      <c r="BHG16" s="583"/>
      <c r="BHH16" s="583"/>
      <c r="BHI16" s="583"/>
      <c r="BHJ16" s="583"/>
      <c r="BHK16" s="583"/>
      <c r="BHL16" s="583"/>
      <c r="BHM16" s="583"/>
      <c r="BHN16" s="583"/>
      <c r="BHO16" s="583"/>
      <c r="BHP16" s="583"/>
      <c r="BHQ16" s="583"/>
      <c r="BHR16" s="583"/>
      <c r="BHS16" s="583"/>
      <c r="BHT16" s="583"/>
      <c r="BHU16" s="583"/>
      <c r="BHV16" s="583"/>
      <c r="BHW16" s="583"/>
      <c r="BHX16" s="583"/>
      <c r="BHY16" s="583"/>
      <c r="BHZ16" s="583"/>
      <c r="BIA16" s="583"/>
      <c r="BIB16" s="583"/>
      <c r="BIC16" s="583"/>
      <c r="BID16" s="583"/>
      <c r="BIE16" s="583"/>
      <c r="BIF16" s="583"/>
      <c r="BIG16" s="583"/>
      <c r="BIH16" s="583"/>
      <c r="BII16" s="583"/>
      <c r="BIJ16" s="583"/>
      <c r="BIK16" s="583"/>
      <c r="BIL16" s="583"/>
      <c r="BIM16" s="583"/>
      <c r="BIN16" s="583"/>
      <c r="BIO16" s="583"/>
      <c r="BIP16" s="583"/>
      <c r="BIQ16" s="583"/>
      <c r="BIR16" s="583"/>
      <c r="BIS16" s="583"/>
      <c r="BIT16" s="583"/>
      <c r="BIU16" s="583"/>
      <c r="BIV16" s="583"/>
      <c r="BIW16" s="583"/>
      <c r="BIX16" s="583"/>
      <c r="BIY16" s="583"/>
      <c r="BIZ16" s="583"/>
      <c r="BJA16" s="583"/>
      <c r="BJB16" s="583"/>
      <c r="BJC16" s="583"/>
      <c r="BJD16" s="583"/>
      <c r="BJE16" s="583"/>
      <c r="BJF16" s="583"/>
      <c r="BJG16" s="583"/>
      <c r="BJH16" s="583"/>
      <c r="BJI16" s="583"/>
      <c r="BJJ16" s="583"/>
      <c r="BJK16" s="583"/>
      <c r="BJL16" s="583"/>
      <c r="BJM16" s="583"/>
      <c r="BJN16" s="583"/>
      <c r="BJO16" s="583"/>
      <c r="BJP16" s="583"/>
      <c r="BJQ16" s="583"/>
      <c r="BJR16" s="583"/>
      <c r="BJS16" s="583"/>
      <c r="BJT16" s="583"/>
      <c r="BJU16" s="583"/>
      <c r="BJV16" s="583"/>
      <c r="BJW16" s="583"/>
      <c r="BJX16" s="583"/>
      <c r="BJY16" s="583"/>
      <c r="BJZ16" s="583"/>
      <c r="BKA16" s="583"/>
      <c r="BKB16" s="583"/>
      <c r="BKC16" s="583"/>
      <c r="BKD16" s="583"/>
      <c r="BKE16" s="583"/>
      <c r="BKF16" s="583"/>
      <c r="BKG16" s="583"/>
      <c r="BKH16" s="583"/>
      <c r="BKI16" s="583"/>
      <c r="BKJ16" s="583"/>
      <c r="BKK16" s="583"/>
      <c r="BKL16" s="583"/>
      <c r="BKM16" s="583"/>
      <c r="BKN16" s="583"/>
      <c r="BKO16" s="583"/>
      <c r="BKP16" s="583"/>
      <c r="BKQ16" s="583"/>
      <c r="BKR16" s="583"/>
      <c r="BKS16" s="583"/>
      <c r="BKT16" s="583"/>
      <c r="BKU16" s="583"/>
      <c r="BKV16" s="583"/>
      <c r="BKW16" s="583"/>
      <c r="BKX16" s="583"/>
      <c r="BKY16" s="583"/>
      <c r="BKZ16" s="583"/>
      <c r="BLA16" s="583"/>
      <c r="BLB16" s="583"/>
      <c r="BLC16" s="583"/>
      <c r="BLD16" s="583"/>
      <c r="BLE16" s="583"/>
      <c r="BLF16" s="583"/>
      <c r="BLG16" s="583"/>
      <c r="BLH16" s="583"/>
      <c r="BLI16" s="583"/>
      <c r="BLJ16" s="583"/>
      <c r="BLK16" s="583"/>
      <c r="BLL16" s="583"/>
      <c r="BLM16" s="583"/>
      <c r="BLN16" s="583"/>
      <c r="BLO16" s="583"/>
      <c r="BLP16" s="583"/>
      <c r="BLQ16" s="583"/>
      <c r="BLR16" s="583"/>
      <c r="BLS16" s="583"/>
      <c r="BLT16" s="583"/>
      <c r="BLU16" s="583"/>
      <c r="BLV16" s="583"/>
      <c r="BLW16" s="583"/>
      <c r="BLX16" s="583"/>
      <c r="BLY16" s="583"/>
      <c r="BLZ16" s="583"/>
      <c r="BMA16" s="583"/>
      <c r="BMB16" s="583"/>
      <c r="BMC16" s="583"/>
      <c r="BMD16" s="583"/>
      <c r="BME16" s="583"/>
      <c r="BMF16" s="583"/>
      <c r="BMG16" s="583"/>
      <c r="BMH16" s="583"/>
      <c r="BMI16" s="583"/>
      <c r="BMJ16" s="583"/>
      <c r="BMK16" s="583"/>
      <c r="BML16" s="583"/>
      <c r="BMM16" s="583"/>
      <c r="BMN16" s="583"/>
      <c r="BMO16" s="583"/>
      <c r="BMP16" s="583"/>
      <c r="BMQ16" s="583"/>
      <c r="BMR16" s="583"/>
      <c r="BMS16" s="583"/>
      <c r="BMT16" s="583"/>
      <c r="BMU16" s="583"/>
      <c r="BMV16" s="583"/>
      <c r="BMW16" s="583"/>
      <c r="BMX16" s="583"/>
      <c r="BMY16" s="583"/>
      <c r="BMZ16" s="583"/>
      <c r="BNA16" s="583"/>
      <c r="BNB16" s="583"/>
      <c r="BNC16" s="583"/>
      <c r="BND16" s="583"/>
      <c r="BNE16" s="583"/>
      <c r="BNF16" s="583"/>
      <c r="BNG16" s="583"/>
      <c r="BNH16" s="583"/>
      <c r="BNI16" s="583"/>
      <c r="BNJ16" s="583"/>
      <c r="BNK16" s="583"/>
      <c r="BNL16" s="583"/>
      <c r="BNM16" s="583"/>
      <c r="BNN16" s="583"/>
      <c r="BNO16" s="583"/>
      <c r="BNP16" s="583"/>
      <c r="BNQ16" s="583"/>
      <c r="BNR16" s="583"/>
      <c r="BNS16" s="583"/>
      <c r="BNT16" s="583"/>
      <c r="BNU16" s="583"/>
      <c r="BNV16" s="583"/>
      <c r="BNW16" s="583"/>
      <c r="BNX16" s="583"/>
      <c r="BNY16" s="583"/>
      <c r="BNZ16" s="583"/>
      <c r="BOA16" s="583"/>
      <c r="BOB16" s="583"/>
      <c r="BOC16" s="583"/>
      <c r="BOD16" s="583"/>
      <c r="BOE16" s="583"/>
      <c r="BOF16" s="583"/>
      <c r="BOG16" s="583"/>
      <c r="BOH16" s="583"/>
      <c r="BOI16" s="583"/>
      <c r="BOJ16" s="583"/>
      <c r="BOK16" s="583"/>
      <c r="BOL16" s="583"/>
      <c r="BOM16" s="583"/>
      <c r="BON16" s="583"/>
      <c r="BOO16" s="583"/>
      <c r="BOP16" s="583"/>
      <c r="BOQ16" s="583"/>
      <c r="BOR16" s="583"/>
      <c r="BOS16" s="583"/>
      <c r="BOT16" s="583"/>
      <c r="BOU16" s="583"/>
      <c r="BOV16" s="583"/>
      <c r="BOW16" s="583"/>
      <c r="BOX16" s="583"/>
      <c r="BOY16" s="583"/>
      <c r="BOZ16" s="583"/>
      <c r="BPA16" s="583"/>
      <c r="BPB16" s="583"/>
      <c r="BPC16" s="583"/>
      <c r="BPD16" s="583"/>
      <c r="BPE16" s="583"/>
      <c r="BPF16" s="583"/>
      <c r="BPG16" s="583"/>
      <c r="BPH16" s="583"/>
      <c r="BPI16" s="583"/>
      <c r="BPJ16" s="583"/>
      <c r="BPK16" s="583"/>
      <c r="BPL16" s="583"/>
      <c r="BPM16" s="583"/>
      <c r="BPN16" s="583"/>
      <c r="BPO16" s="583"/>
      <c r="BPP16" s="583"/>
      <c r="BPQ16" s="583"/>
      <c r="BPR16" s="583"/>
      <c r="BPS16" s="583"/>
      <c r="BPT16" s="583"/>
      <c r="BPU16" s="583"/>
      <c r="BPV16" s="583"/>
      <c r="BPW16" s="583"/>
      <c r="BPX16" s="583"/>
      <c r="BPY16" s="583"/>
      <c r="BPZ16" s="583"/>
      <c r="BQA16" s="583"/>
      <c r="BQB16" s="583"/>
      <c r="BQC16" s="583"/>
      <c r="BQD16" s="583"/>
      <c r="BQE16" s="583"/>
      <c r="BQF16" s="583"/>
      <c r="BQG16" s="583"/>
      <c r="BQH16" s="583"/>
      <c r="BQI16" s="583"/>
      <c r="BQJ16" s="583"/>
      <c r="BQK16" s="583"/>
      <c r="BQL16" s="583"/>
      <c r="BQM16" s="583"/>
      <c r="BQN16" s="583"/>
      <c r="BQO16" s="583"/>
      <c r="BQP16" s="583"/>
      <c r="BQQ16" s="583"/>
      <c r="BQR16" s="583"/>
      <c r="BQS16" s="583"/>
      <c r="BQT16" s="583"/>
      <c r="BQU16" s="583"/>
      <c r="BQV16" s="583"/>
      <c r="BQW16" s="583"/>
      <c r="BQX16" s="583"/>
      <c r="BQY16" s="583"/>
      <c r="BQZ16" s="583"/>
      <c r="BRA16" s="583"/>
      <c r="BRB16" s="583"/>
      <c r="BRC16" s="583"/>
      <c r="BRD16" s="583"/>
      <c r="BRE16" s="583"/>
      <c r="BRF16" s="583"/>
      <c r="BRG16" s="583"/>
      <c r="BRH16" s="583"/>
      <c r="BRI16" s="583"/>
      <c r="BRJ16" s="583"/>
      <c r="BRK16" s="583"/>
      <c r="BRL16" s="583"/>
      <c r="BRM16" s="583"/>
      <c r="BRN16" s="583"/>
      <c r="BRO16" s="583"/>
      <c r="BRP16" s="583"/>
      <c r="BRQ16" s="583"/>
      <c r="BRR16" s="583"/>
      <c r="BRS16" s="583"/>
      <c r="BRT16" s="583"/>
      <c r="BRU16" s="583"/>
      <c r="BRV16" s="583"/>
      <c r="BRW16" s="583"/>
      <c r="BRX16" s="583"/>
      <c r="BRY16" s="583"/>
      <c r="BRZ16" s="583"/>
      <c r="BSA16" s="583"/>
      <c r="BSB16" s="583"/>
      <c r="BSC16" s="583"/>
      <c r="BSD16" s="583"/>
      <c r="BSE16" s="583"/>
      <c r="BSF16" s="583"/>
      <c r="BSG16" s="583"/>
      <c r="BSH16" s="583"/>
      <c r="BSI16" s="583"/>
      <c r="BSJ16" s="583"/>
      <c r="BSK16" s="583"/>
      <c r="BSL16" s="583"/>
      <c r="BSM16" s="583"/>
      <c r="BSN16" s="583"/>
      <c r="BSO16" s="583"/>
      <c r="BSP16" s="583"/>
      <c r="BSQ16" s="583"/>
      <c r="BSR16" s="583"/>
      <c r="BSS16" s="583"/>
      <c r="BST16" s="583"/>
      <c r="BSU16" s="583"/>
      <c r="BSV16" s="583"/>
      <c r="BSW16" s="583"/>
      <c r="BSX16" s="583"/>
      <c r="BSY16" s="583"/>
      <c r="BSZ16" s="583"/>
      <c r="BTA16" s="583"/>
      <c r="BTB16" s="583"/>
      <c r="BTC16" s="583"/>
      <c r="BTD16" s="583"/>
      <c r="BTE16" s="583"/>
      <c r="BTF16" s="583"/>
      <c r="BTG16" s="583"/>
      <c r="BTH16" s="583"/>
      <c r="BTI16" s="583"/>
      <c r="BTJ16" s="583"/>
      <c r="BTK16" s="583"/>
      <c r="BTL16" s="583"/>
      <c r="BTM16" s="583"/>
      <c r="BTN16" s="583"/>
      <c r="BTO16" s="583"/>
      <c r="BTP16" s="583"/>
      <c r="BTQ16" s="583"/>
      <c r="BTR16" s="583"/>
      <c r="BTS16" s="583"/>
      <c r="BTT16" s="583"/>
      <c r="BTU16" s="583"/>
      <c r="BTV16" s="583"/>
      <c r="BTW16" s="583"/>
      <c r="BTX16" s="583"/>
      <c r="BTY16" s="583"/>
      <c r="BTZ16" s="583"/>
      <c r="BUA16" s="583"/>
      <c r="BUB16" s="583"/>
      <c r="BUC16" s="583"/>
      <c r="BUD16" s="583"/>
      <c r="BUE16" s="583"/>
      <c r="BUF16" s="583"/>
      <c r="BUG16" s="583"/>
      <c r="BUH16" s="583"/>
      <c r="BUI16" s="583"/>
      <c r="BUJ16" s="583"/>
      <c r="BUK16" s="583"/>
      <c r="BUL16" s="583"/>
      <c r="BUM16" s="583"/>
      <c r="BUN16" s="583"/>
      <c r="BUO16" s="583"/>
      <c r="BUP16" s="583"/>
      <c r="BUQ16" s="583"/>
      <c r="BUR16" s="583"/>
      <c r="BUS16" s="583"/>
      <c r="BUT16" s="583"/>
      <c r="BUU16" s="583"/>
      <c r="BUV16" s="583"/>
      <c r="BUW16" s="583"/>
      <c r="BUX16" s="583"/>
      <c r="BUY16" s="583"/>
      <c r="BUZ16" s="583"/>
      <c r="BVA16" s="583"/>
      <c r="BVB16" s="583"/>
      <c r="BVC16" s="583"/>
      <c r="BVD16" s="583"/>
      <c r="BVE16" s="583"/>
      <c r="BVF16" s="583"/>
      <c r="BVG16" s="583"/>
      <c r="BVH16" s="583"/>
      <c r="BVI16" s="583"/>
      <c r="BVJ16" s="583"/>
      <c r="BVK16" s="583"/>
      <c r="BVL16" s="583"/>
      <c r="BVM16" s="583"/>
      <c r="BVN16" s="583"/>
      <c r="BVO16" s="583"/>
      <c r="BVP16" s="583"/>
      <c r="BVQ16" s="583"/>
      <c r="BVR16" s="583"/>
      <c r="BVS16" s="583"/>
      <c r="BVT16" s="583"/>
      <c r="BVU16" s="583"/>
      <c r="BVV16" s="583"/>
      <c r="BVW16" s="583"/>
      <c r="BVX16" s="583"/>
      <c r="BVY16" s="583"/>
      <c r="BVZ16" s="583"/>
      <c r="BWA16" s="583"/>
      <c r="BWB16" s="583"/>
      <c r="BWC16" s="583"/>
      <c r="BWD16" s="583"/>
      <c r="BWE16" s="583"/>
      <c r="BWF16" s="583"/>
      <c r="BWG16" s="583"/>
      <c r="BWH16" s="583"/>
      <c r="BWI16" s="583"/>
      <c r="BWJ16" s="583"/>
      <c r="BWK16" s="583"/>
      <c r="BWL16" s="583"/>
      <c r="BWM16" s="583"/>
      <c r="BWN16" s="583"/>
      <c r="BWO16" s="583"/>
      <c r="BWP16" s="583"/>
      <c r="BWQ16" s="583"/>
      <c r="BWR16" s="583"/>
      <c r="BWS16" s="583"/>
      <c r="BWT16" s="583"/>
      <c r="BWU16" s="583"/>
      <c r="BWV16" s="583"/>
      <c r="BWW16" s="583"/>
      <c r="BWX16" s="583"/>
      <c r="BWY16" s="583"/>
      <c r="BWZ16" s="583"/>
      <c r="BXA16" s="583"/>
      <c r="BXB16" s="583"/>
      <c r="BXC16" s="583"/>
      <c r="BXD16" s="583"/>
      <c r="BXE16" s="583"/>
      <c r="BXF16" s="583"/>
      <c r="BXG16" s="583"/>
      <c r="BXH16" s="583"/>
      <c r="BXI16" s="583"/>
      <c r="BXJ16" s="583"/>
      <c r="BXK16" s="583"/>
      <c r="BXL16" s="583"/>
      <c r="BXM16" s="583"/>
      <c r="BXN16" s="583"/>
      <c r="BXO16" s="583"/>
      <c r="BXP16" s="583"/>
      <c r="BXQ16" s="583"/>
      <c r="BXR16" s="583"/>
      <c r="BXS16" s="583"/>
      <c r="BXT16" s="583"/>
      <c r="BXU16" s="583"/>
      <c r="BXV16" s="583"/>
      <c r="BXW16" s="583"/>
      <c r="BXX16" s="583"/>
      <c r="BXY16" s="583"/>
      <c r="BXZ16" s="583"/>
      <c r="BYA16" s="583"/>
      <c r="BYB16" s="583"/>
      <c r="BYC16" s="583"/>
      <c r="BYD16" s="583"/>
      <c r="BYE16" s="583"/>
      <c r="BYF16" s="583"/>
      <c r="BYG16" s="583"/>
      <c r="BYH16" s="583"/>
      <c r="BYI16" s="583"/>
      <c r="BYJ16" s="583"/>
      <c r="BYK16" s="583"/>
      <c r="BYL16" s="583"/>
      <c r="BYM16" s="583"/>
      <c r="BYN16" s="583"/>
      <c r="BYO16" s="583"/>
      <c r="BYP16" s="583"/>
      <c r="BYQ16" s="583"/>
      <c r="BYR16" s="583"/>
      <c r="BYS16" s="583"/>
      <c r="BYT16" s="583"/>
      <c r="BYU16" s="583"/>
      <c r="BYV16" s="583"/>
      <c r="BYW16" s="583"/>
      <c r="BYX16" s="583"/>
      <c r="BYY16" s="583"/>
      <c r="BYZ16" s="583"/>
      <c r="BZA16" s="583"/>
      <c r="BZB16" s="583"/>
      <c r="BZC16" s="583"/>
      <c r="BZD16" s="583"/>
      <c r="BZE16" s="583"/>
      <c r="BZF16" s="583"/>
      <c r="BZG16" s="583"/>
      <c r="BZH16" s="583"/>
      <c r="BZI16" s="583"/>
      <c r="BZJ16" s="583"/>
      <c r="BZK16" s="583"/>
      <c r="BZL16" s="583"/>
      <c r="BZM16" s="583"/>
      <c r="BZN16" s="583"/>
      <c r="BZO16" s="583"/>
      <c r="BZP16" s="583"/>
      <c r="BZQ16" s="583"/>
      <c r="BZR16" s="583"/>
      <c r="BZS16" s="583"/>
      <c r="BZT16" s="583"/>
      <c r="BZU16" s="583"/>
      <c r="BZV16" s="583"/>
      <c r="BZW16" s="583"/>
      <c r="BZX16" s="583"/>
      <c r="BZY16" s="583"/>
      <c r="BZZ16" s="583"/>
      <c r="CAA16" s="583"/>
      <c r="CAB16" s="583"/>
      <c r="CAC16" s="583"/>
      <c r="CAD16" s="583"/>
      <c r="CAE16" s="583"/>
      <c r="CAF16" s="583"/>
      <c r="CAG16" s="583"/>
      <c r="CAH16" s="583"/>
      <c r="CAI16" s="583"/>
      <c r="CAJ16" s="583"/>
      <c r="CAK16" s="583"/>
      <c r="CAL16" s="583"/>
      <c r="CAM16" s="583"/>
      <c r="CAN16" s="583"/>
      <c r="CAO16" s="583"/>
      <c r="CAP16" s="583"/>
      <c r="CAQ16" s="583"/>
      <c r="CAR16" s="583"/>
      <c r="CAS16" s="583"/>
      <c r="CAT16" s="583"/>
      <c r="CAU16" s="583"/>
      <c r="CAV16" s="583"/>
      <c r="CAW16" s="583"/>
      <c r="CAX16" s="583"/>
      <c r="CAY16" s="583"/>
      <c r="CAZ16" s="583"/>
      <c r="CBA16" s="583"/>
      <c r="CBB16" s="583"/>
      <c r="CBC16" s="583"/>
      <c r="CBD16" s="583"/>
      <c r="CBE16" s="583"/>
      <c r="CBF16" s="583"/>
      <c r="CBG16" s="583"/>
      <c r="CBH16" s="583"/>
      <c r="CBI16" s="583"/>
      <c r="CBJ16" s="583"/>
      <c r="CBK16" s="583"/>
      <c r="CBL16" s="583"/>
      <c r="CBM16" s="583"/>
      <c r="CBN16" s="583"/>
      <c r="CBO16" s="583"/>
      <c r="CBP16" s="583"/>
      <c r="CBQ16" s="583"/>
      <c r="CBR16" s="583"/>
      <c r="CBS16" s="583"/>
      <c r="CBT16" s="583"/>
      <c r="CBU16" s="583"/>
      <c r="CBV16" s="583"/>
      <c r="CBW16" s="583"/>
      <c r="CBX16" s="583"/>
      <c r="CBY16" s="583"/>
      <c r="CBZ16" s="583"/>
    </row>
    <row r="17" spans="1:2106">
      <c r="A17" s="611"/>
      <c r="B17" s="620"/>
      <c r="C17" s="613">
        <f t="shared" si="0"/>
        <v>0</v>
      </c>
      <c r="D17" s="613">
        <f>IF(B17&gt;0,VLOOKUP(A17,'Lista Suspensa'!$A$1:$F$92,3,),0)</f>
        <v>0</v>
      </c>
      <c r="E17" s="613">
        <f>IF(OR(B17&gt;0,C17&gt;0),VLOOKUP(A17,'Lista Suspensa'!$A$1:$F$90,4,),0)</f>
        <v>0</v>
      </c>
      <c r="F17" s="613">
        <f>IF(OR(B17&gt;0,C17&gt;0),VLOOKUP(A17,'Lista Suspensa'!$A$1:$F$90,5,),0)</f>
        <v>0</v>
      </c>
      <c r="G17" s="402">
        <f>IF(OR(B17&gt;0,C17&gt;0),VLOOKUP(A17,'Lista Suspensa'!$A$1:$F$90,6,),0)</f>
        <v>0</v>
      </c>
      <c r="H17" s="617"/>
      <c r="I17" s="613">
        <f t="shared" si="12"/>
        <v>0</v>
      </c>
      <c r="J17" s="613">
        <f>IF(H17&gt;0,VLOOKUP(A17,'Lista Suspensa'!$A$1:$F$92,3,),0)</f>
        <v>0</v>
      </c>
      <c r="K17" s="613">
        <f>IF(OR(H17&gt;0,I17&gt;0),VLOOKUP(A17,'Lista Suspensa'!$A$1:$F$90,4,),0)</f>
        <v>0</v>
      </c>
      <c r="L17" s="613">
        <f>IF(OR(H17&gt;0,I17&gt;0),VLOOKUP(A17,'Lista Suspensa'!$A$1:$F$90,5,),0)</f>
        <v>0</v>
      </c>
      <c r="M17" s="402">
        <f>IF(OR(H17&gt;0,I17&gt;0),VLOOKUP(A17,'Lista Suspensa'!$A$1:$F$90,6,),0)</f>
        <v>0</v>
      </c>
      <c r="N17" s="626"/>
      <c r="O17" s="613">
        <f t="shared" si="1"/>
        <v>0</v>
      </c>
      <c r="P17" s="613">
        <f>IF(N17&gt;0,VLOOKUP(A17,'Lista Suspensa'!$A$1:$F$92,3,),0)</f>
        <v>0</v>
      </c>
      <c r="Q17" s="613">
        <f>IF(OR(N17&gt;0,O17&gt;0),VLOOKUP(A17,'Lista Suspensa'!$A$1:$F$90,4,),0)</f>
        <v>0</v>
      </c>
      <c r="R17" s="613">
        <f>IF(OR(N17&gt;0,O17&gt;0),VLOOKUP(A17,'Lista Suspensa'!$A$1:$F$90,5,),0)</f>
        <v>0</v>
      </c>
      <c r="S17" s="402">
        <f>IF(OR(N17&gt;0,O17&gt;0),VLOOKUP(A17,'Lista Suspensa'!$A$1:$F$90,6,),0)</f>
        <v>0</v>
      </c>
      <c r="T17" s="626"/>
      <c r="U17" s="613">
        <f t="shared" si="2"/>
        <v>0</v>
      </c>
      <c r="V17" s="613">
        <f>IF(T17&gt;0,VLOOKUP(A17,'Lista Suspensa'!$A$1:$F$92,3,),0)</f>
        <v>0</v>
      </c>
      <c r="W17" s="613">
        <f>IF(OR(T17&gt;0,U17&gt;0),VLOOKUP(A17,'Lista Suspensa'!$A$1:$F$90,4,),0)</f>
        <v>0</v>
      </c>
      <c r="X17" s="613">
        <f>IF(OR(T17&gt;0,U17&gt;0),VLOOKUP(A17,'Lista Suspensa'!$A$1:$F$90,5,),0)</f>
        <v>0</v>
      </c>
      <c r="Y17" s="402">
        <f>IF(OR(T17&gt;0,U17&gt;0),VLOOKUP(A17,'Lista Suspensa'!$A$1:$F$90,6,),0)</f>
        <v>0</v>
      </c>
      <c r="Z17" s="620"/>
      <c r="AA17" s="613">
        <f t="shared" si="3"/>
        <v>0</v>
      </c>
      <c r="AB17" s="613">
        <f>IF(Z17&gt;0,VLOOKUP(A17,'Lista Suspensa'!$A$1:$F$92,3,),0)</f>
        <v>0</v>
      </c>
      <c r="AC17" s="613">
        <f>IF(OR(Z17&gt;0,AA17&gt;0),VLOOKUP(A17,'Lista Suspensa'!$A$1:$F$90,4,),0)</f>
        <v>0</v>
      </c>
      <c r="AD17" s="613">
        <f>IF(OR(Z17&gt;0,AA17&gt;0),VLOOKUP(A17,'Lista Suspensa'!$A$1:$F$90,5,),0)</f>
        <v>0</v>
      </c>
      <c r="AE17" s="402">
        <f>IF(OR(Z17&gt;0,AA17&gt;0),VLOOKUP(A17,'Lista Suspensa'!$A$1:$F$90,6,),0)</f>
        <v>0</v>
      </c>
      <c r="AF17" s="620"/>
      <c r="AG17" s="613">
        <f t="shared" si="13"/>
        <v>0</v>
      </c>
      <c r="AH17" s="613">
        <f>IF(AF17&gt;0,VLOOKUP(A17,'Lista Suspensa'!$A$1:$F$92,3,),0)</f>
        <v>0</v>
      </c>
      <c r="AI17" s="613">
        <f>IF(OR(AF17&gt;0,AG17&gt;0),VLOOKUP(A17,'Lista Suspensa'!$A$1:$F$90,4,),0)</f>
        <v>0</v>
      </c>
      <c r="AJ17" s="613">
        <f>IF(OR(AF17&gt;0,AG17&gt;0),VLOOKUP(A17,'Lista Suspensa'!$A$1:$F$90,5,),0)</f>
        <v>0</v>
      </c>
      <c r="AK17" s="402">
        <f>IF(OR(AF17&gt;0,AG17&gt;0),VLOOKUP(A17,'Lista Suspensa'!$A$1:$F$90,6,),0)</f>
        <v>0</v>
      </c>
      <c r="AL17" s="626"/>
      <c r="AM17" s="613">
        <f t="shared" si="4"/>
        <v>0</v>
      </c>
      <c r="AN17" s="613">
        <f>IF(AL17&gt;0,VLOOKUP(A17,'Lista Suspensa'!$A$1:$F$92,3,),0)</f>
        <v>0</v>
      </c>
      <c r="AO17" s="613">
        <f>IF(OR(AL17&gt;0,AM17&gt;0),VLOOKUP(A17,'Lista Suspensa'!$A$1:$F$90,4,),0)</f>
        <v>0</v>
      </c>
      <c r="AP17" s="613">
        <f>IF(OR(AL17&gt;0,AM17&gt;0),VLOOKUP(A17,'Lista Suspensa'!$A$1:$F$90,5,),0)</f>
        <v>0</v>
      </c>
      <c r="AQ17" s="402">
        <f>IF(OR(AL17&gt;0,AM17&gt;0),VLOOKUP(A17,'Lista Suspensa'!$A$1:$F$90,6,),0)</f>
        <v>0</v>
      </c>
      <c r="AR17" s="626"/>
      <c r="AS17" s="613">
        <f t="shared" si="14"/>
        <v>0</v>
      </c>
      <c r="AT17" s="613">
        <f>IF(AR17&gt;0,VLOOKUP(A17,'Lista Suspensa'!$A$1:$F$92,3,),0)</f>
        <v>0</v>
      </c>
      <c r="AU17" s="613">
        <f>IF(OR(AR17&gt;0,AS17&gt;0),VLOOKUP(A17,'Lista Suspensa'!$A$1:$F$90,4,),0)</f>
        <v>0</v>
      </c>
      <c r="AV17" s="613">
        <f>IF(OR(AR17&gt;0,AS17&gt;0),VLOOKUP(A17,'Lista Suspensa'!$A$1:$F$90,5,),0)</f>
        <v>0</v>
      </c>
      <c r="AW17" s="37">
        <f>IF(OR(AR17&gt;0,AS17&gt;0),VLOOKUP(A17,'Lista Suspensa'!$A$1:$F$90,6,),0)</f>
        <v>0</v>
      </c>
      <c r="AX17" s="626"/>
      <c r="AY17" s="613">
        <f t="shared" si="5"/>
        <v>0</v>
      </c>
      <c r="AZ17" s="613">
        <f>IF(AX17&gt;0,VLOOKUP(A17,'Lista Suspensa'!$A$1:$F$92,3,),0)</f>
        <v>0</v>
      </c>
      <c r="BA17" s="613">
        <f>IF(OR(AX17&gt;0,AY17&gt;0),VLOOKUP(A17,'Lista Suspensa'!$A$1:$F$90,4,),0)</f>
        <v>0</v>
      </c>
      <c r="BB17" s="613">
        <f>IF(OR(AX17&gt;0,AY17&gt;0),VLOOKUP(A17,'Lista Suspensa'!$A$1:$F$90,5,),0)</f>
        <v>0</v>
      </c>
      <c r="BC17" s="37">
        <f>IF(OR(AX17&gt;0,AY17&gt;0),VLOOKUP(A17,'Lista Suspensa'!$A$1:$F$90,6,),0)</f>
        <v>0</v>
      </c>
      <c r="BD17" s="626"/>
      <c r="BE17" s="613">
        <f t="shared" si="6"/>
        <v>0</v>
      </c>
      <c r="BF17" s="613">
        <f>IF(BD17&gt;0,VLOOKUP(A17,'Lista Suspensa'!$A$1:$F$92,3,),0)</f>
        <v>0</v>
      </c>
      <c r="BG17" s="613">
        <f>IF(OR(BD17&gt;0,BE17&gt;0),VLOOKUP(A17,'Lista Suspensa'!$A$1:$F$90,4,),0)</f>
        <v>0</v>
      </c>
      <c r="BH17" s="613">
        <f>IF(OR(BD17&gt;0,BE17&gt;0),VLOOKUP(A17,'Lista Suspensa'!$A$1:$F$90,5,),0)</f>
        <v>0</v>
      </c>
      <c r="BI17" s="37">
        <f>IF(OR(BD17&gt;0,BE17&gt;0),VLOOKUP(A17,'Lista Suspensa'!$A$1:$F$90,6,),0)</f>
        <v>0</v>
      </c>
      <c r="BJ17" s="626"/>
      <c r="BK17" s="613">
        <f t="shared" si="7"/>
        <v>0</v>
      </c>
      <c r="BL17" s="613">
        <f>IF(BJ17&gt;0,VLOOKUP(A17,'Lista Suspensa'!$A$1:$F$92,3,),0)</f>
        <v>0</v>
      </c>
      <c r="BM17" s="613">
        <f>IF(OR(BJ17&gt;0,BK17&gt;0),VLOOKUP(A17,'Lista Suspensa'!$A$1:$F$90,4,),0)</f>
        <v>0</v>
      </c>
      <c r="BN17" s="613">
        <f>IF(OR(BJ17&gt;0,BK17&gt;0),VLOOKUP(A17,'Lista Suspensa'!$A$1:$F$90,5,),0)</f>
        <v>0</v>
      </c>
      <c r="BO17" s="37">
        <f>IF(OR(BJ17&gt;0,BK17&gt;0),VLOOKUP(A17,'Lista Suspensa'!$A$1:$F$90,6,),0)</f>
        <v>0</v>
      </c>
      <c r="BP17" s="626"/>
      <c r="BQ17" s="613">
        <f t="shared" si="8"/>
        <v>0</v>
      </c>
      <c r="BR17" s="613">
        <f>IF(BP17&gt;0,VLOOKUP(A17,'Lista Suspensa'!$A$1:$F$92,3,),0)</f>
        <v>0</v>
      </c>
      <c r="BS17" s="613">
        <f>IF(OR(BP17&gt;0,BQ17&gt;0),VLOOKUP(A17,'Lista Suspensa'!$A$1:$F$90,4,),0)</f>
        <v>0</v>
      </c>
      <c r="BT17" s="613">
        <f>IF(OR(BP17&gt;0,BQ17&gt;0),VLOOKUP(A17,'Lista Suspensa'!$A$1:$F$90,5,),0)</f>
        <v>0</v>
      </c>
      <c r="BU17" s="37">
        <f>IF(OR(BP17&gt;0,BQ17&gt;0),VLOOKUP(A17,'Lista Suspensa'!$A$1:$F$90,6,),0)</f>
        <v>0</v>
      </c>
      <c r="BV17" s="626"/>
      <c r="BW17" s="613">
        <f t="shared" si="9"/>
        <v>0</v>
      </c>
      <c r="BX17" s="613">
        <f>IF(BV17&gt;0,VLOOKUP(A17,'Lista Suspensa'!$A$1:$F$92,3,),0)</f>
        <v>0</v>
      </c>
      <c r="BY17" s="613">
        <f>IF(OR(BV17&gt;0,BW17&gt;0),VLOOKUP(A17,'Lista Suspensa'!$A$1:$F$90,4,),0)</f>
        <v>0</v>
      </c>
      <c r="BZ17" s="613">
        <f>IF(OR(BV17&gt;0,BW17&gt;0),VLOOKUP(A17,'Lista Suspensa'!$A$1:$F$90,5,),0)</f>
        <v>0</v>
      </c>
      <c r="CA17" s="37">
        <f>IF(OR(BV17&gt;0,BW17&gt;0),VLOOKUP(A17,'Lista Suspensa'!$A$1:$F$90,6,),0)</f>
        <v>0</v>
      </c>
      <c r="CB17" s="626"/>
      <c r="CC17" s="613">
        <f t="shared" si="10"/>
        <v>0</v>
      </c>
      <c r="CD17" s="613">
        <f>IF(CB17&gt;0,VLOOKUP(A17,'Lista Suspensa'!$A$1:$F$92,3,),0)</f>
        <v>0</v>
      </c>
      <c r="CE17" s="613">
        <f>IF(OR(CB17&gt;0,CC17&gt;0),VLOOKUP(A17,'Lista Suspensa'!$A$1:$F$90,4,),0)</f>
        <v>0</v>
      </c>
      <c r="CF17" s="613">
        <f>IF(OR(CB17&gt;0,CC17&gt;0),VLOOKUP(A17,'Lista Suspensa'!$A$1:$F$90,5,),0)</f>
        <v>0</v>
      </c>
      <c r="CG17" s="37">
        <f>IF(OR(CB17&gt;0,CC17&gt;0),VLOOKUP(A17,'Lista Suspensa'!$A$1:$F$90,6,),0)</f>
        <v>0</v>
      </c>
      <c r="CH17" s="626"/>
      <c r="CI17" s="613">
        <f t="shared" si="11"/>
        <v>0</v>
      </c>
      <c r="CJ17" s="613">
        <f>IF(CH17&gt;0,VLOOKUP(A17,'Lista Suspensa'!$A$1:$F$92,3,),0)</f>
        <v>0</v>
      </c>
      <c r="CK17" s="613">
        <f>IF(OR(CH17&gt;0,CI17&gt;0),VLOOKUP(A17,'Lista Suspensa'!$A$1:$F$90,4,),0)</f>
        <v>0</v>
      </c>
      <c r="CL17" s="613">
        <f>IF(OR(CH17&gt;0,CI17&gt;0),VLOOKUP(A17,'Lista Suspensa'!$A$1:$F$90,5,),0)</f>
        <v>0</v>
      </c>
      <c r="CM17" s="636">
        <f>IF(OR(CH17&gt;0,CI17&gt;0),VLOOKUP(A17,'Lista Suspensa'!$A$1:$F$90,6,),0)</f>
        <v>0</v>
      </c>
      <c r="CN17" s="645"/>
      <c r="CO17" s="403">
        <f t="shared" si="15"/>
        <v>0</v>
      </c>
      <c r="CP17" s="756">
        <f>IF(CN17&gt;0,VLOOKUP(A17,'Lista Suspensa'!$A$1:$F$92,3,),0)</f>
        <v>0</v>
      </c>
      <c r="CQ17" s="641">
        <f>IF(OR(CN17&gt;0,CO17&gt;0),VLOOKUP(A17,'Lista Suspensa'!$A$1:$F$90,6,),0)</f>
        <v>0</v>
      </c>
      <c r="CR17" s="628"/>
      <c r="CS17" s="628"/>
      <c r="CT17" s="628"/>
      <c r="CU17" s="628"/>
      <c r="CV17" s="628"/>
      <c r="CW17" s="628"/>
      <c r="CX17" s="628"/>
      <c r="CY17" s="628"/>
      <c r="CZ17" s="628"/>
      <c r="DA17" s="628"/>
      <c r="DB17" s="628"/>
      <c r="DC17" s="628"/>
      <c r="DD17" s="628"/>
      <c r="DE17" s="628"/>
      <c r="DF17" s="628"/>
      <c r="DG17" s="628"/>
      <c r="DH17" s="628"/>
    </row>
    <row r="18" spans="1:2106" s="588" customFormat="1">
      <c r="A18" s="614"/>
      <c r="B18" s="621"/>
      <c r="C18" s="616">
        <f t="shared" si="0"/>
        <v>0</v>
      </c>
      <c r="D18" s="616">
        <f>IF(B18&gt;0,VLOOKUP(A18,'Lista Suspensa'!$A$1:$F$92,3,),0)</f>
        <v>0</v>
      </c>
      <c r="E18" s="616">
        <f>IF(OR(B18&gt;0,C18&gt;0),VLOOKUP(A18,'Lista Suspensa'!$A$1:$F$90,4,),0)</f>
        <v>0</v>
      </c>
      <c r="F18" s="616">
        <f>IF(OR(B18&gt;0,C18&gt;0),VLOOKUP(A18,'Lista Suspensa'!$A$1:$F$90,5,),0)</f>
        <v>0</v>
      </c>
      <c r="G18" s="587">
        <f>IF(OR(B18&gt;0,C18&gt;0),VLOOKUP(A18,'Lista Suspensa'!$A$1:$F$90,6,),0)</f>
        <v>0</v>
      </c>
      <c r="H18" s="618"/>
      <c r="I18" s="623">
        <f t="shared" si="12"/>
        <v>0</v>
      </c>
      <c r="J18" s="616">
        <f>IF(H18&gt;0,VLOOKUP(A18,'Lista Suspensa'!$A$1:$F$92,3,),0)</f>
        <v>0</v>
      </c>
      <c r="K18" s="616">
        <f>IF(OR(H18&gt;0,I18&gt;0),VLOOKUP(A18,'Lista Suspensa'!$A$1:$F$90,4,),0)</f>
        <v>0</v>
      </c>
      <c r="L18" s="616">
        <f>IF(OR(H18&gt;0,I18&gt;0),VLOOKUP(A18,'Lista Suspensa'!$A$1:$F$90,5,),0)</f>
        <v>0</v>
      </c>
      <c r="M18" s="587">
        <f>IF(OR(H18&gt;0,I18&gt;0),VLOOKUP(A18,'Lista Suspensa'!$A$1:$F$90,6,),0)</f>
        <v>0</v>
      </c>
      <c r="N18" s="627"/>
      <c r="O18" s="623">
        <f t="shared" si="1"/>
        <v>0</v>
      </c>
      <c r="P18" s="616">
        <f>IF(N18&gt;0,VLOOKUP(A18,'Lista Suspensa'!$A$1:$F$92,3,),0)</f>
        <v>0</v>
      </c>
      <c r="Q18" s="616">
        <f>IF(OR(N18&gt;0,O18&gt;0),VLOOKUP(A18,'Lista Suspensa'!$A$1:$F$90,4,),0)</f>
        <v>0</v>
      </c>
      <c r="R18" s="616">
        <f>IF(OR(N18&gt;0,O18&gt;0),VLOOKUP(A18,'Lista Suspensa'!$A$1:$F$90,5,),0)</f>
        <v>0</v>
      </c>
      <c r="S18" s="587">
        <f>IF(OR(N18&gt;0,O18&gt;0),VLOOKUP(A18,'Lista Suspensa'!$A$1:$F$90,6,),0)</f>
        <v>0</v>
      </c>
      <c r="T18" s="627"/>
      <c r="U18" s="623">
        <f t="shared" si="2"/>
        <v>0</v>
      </c>
      <c r="V18" s="616">
        <f>IF(T18&gt;0,VLOOKUP(A18,'Lista Suspensa'!$A$1:$F$92,3,),0)</f>
        <v>0</v>
      </c>
      <c r="W18" s="616">
        <f>IF(OR(T18&gt;0,U18&gt;0),VLOOKUP(A18,'Lista Suspensa'!$A$1:$F$90,4,),0)</f>
        <v>0</v>
      </c>
      <c r="X18" s="616">
        <f>IF(OR(T18&gt;0,U18&gt;0),VLOOKUP(A18,'Lista Suspensa'!$A$1:$F$90,5,),0)</f>
        <v>0</v>
      </c>
      <c r="Y18" s="587">
        <f>IF(OR(T18&gt;0,U18&gt;0),VLOOKUP(A18,'Lista Suspensa'!$A$1:$F$90,6,),0)</f>
        <v>0</v>
      </c>
      <c r="Z18" s="621"/>
      <c r="AA18" s="623">
        <f t="shared" si="3"/>
        <v>0</v>
      </c>
      <c r="AB18" s="616">
        <f>IF(Z18&gt;0,VLOOKUP(A18,'Lista Suspensa'!$A$1:$F$92,3,),0)</f>
        <v>0</v>
      </c>
      <c r="AC18" s="616">
        <f>IF(OR(Z18&gt;0,AA18&gt;0),VLOOKUP(A18,'Lista Suspensa'!$A$1:$F$90,4,),0)</f>
        <v>0</v>
      </c>
      <c r="AD18" s="616">
        <f>IF(OR(Z18&gt;0,AA18&gt;0),VLOOKUP(A18,'Lista Suspensa'!$A$1:$F$90,5,),0)</f>
        <v>0</v>
      </c>
      <c r="AE18" s="587">
        <f>IF(OR(Z18&gt;0,AA18&gt;0),VLOOKUP(A18,'Lista Suspensa'!$A$1:$F$90,6,),0)</f>
        <v>0</v>
      </c>
      <c r="AF18" s="621"/>
      <c r="AG18" s="623">
        <f t="shared" si="13"/>
        <v>0</v>
      </c>
      <c r="AH18" s="616">
        <f>IF(AF18&gt;0,VLOOKUP(A18,'Lista Suspensa'!$A$1:$F$92,3,),0)</f>
        <v>0</v>
      </c>
      <c r="AI18" s="616">
        <f>IF(OR(AF18&gt;0,AG18&gt;0),VLOOKUP(A18,'Lista Suspensa'!$A$1:$F$90,4,),0)</f>
        <v>0</v>
      </c>
      <c r="AJ18" s="616">
        <f>IF(OR(AF18&gt;0,AG18&gt;0),VLOOKUP(A18,'Lista Suspensa'!$A$1:$F$90,5,),0)</f>
        <v>0</v>
      </c>
      <c r="AK18" s="587">
        <f>IF(OR(AF18&gt;0,AG18&gt;0),VLOOKUP(A18,'Lista Suspensa'!$A$1:$F$90,6,),0)</f>
        <v>0</v>
      </c>
      <c r="AL18" s="627"/>
      <c r="AM18" s="623">
        <f t="shared" si="4"/>
        <v>0</v>
      </c>
      <c r="AN18" s="616">
        <f>IF(AL18&gt;0,VLOOKUP(A18,'Lista Suspensa'!$A$1:$F$92,3,),0)</f>
        <v>0</v>
      </c>
      <c r="AO18" s="616">
        <f>IF(OR(AL18&gt;0,AM18&gt;0),VLOOKUP(A18,'Lista Suspensa'!$A$1:$F$90,4,),0)</f>
        <v>0</v>
      </c>
      <c r="AP18" s="616">
        <f>IF(OR(AL18&gt;0,AM18&gt;0),VLOOKUP(A18,'Lista Suspensa'!$A$1:$F$90,5,),0)</f>
        <v>0</v>
      </c>
      <c r="AQ18" s="587">
        <f>IF(OR(AL18&gt;0,AM18&gt;0),VLOOKUP(A18,'Lista Suspensa'!$A$1:$F$90,6,),0)</f>
        <v>0</v>
      </c>
      <c r="AR18" s="627"/>
      <c r="AS18" s="623">
        <f t="shared" si="14"/>
        <v>0</v>
      </c>
      <c r="AT18" s="616">
        <f>IF(AR18&gt;0,VLOOKUP(A18,'Lista Suspensa'!$A$1:$F$92,3,),0)</f>
        <v>0</v>
      </c>
      <c r="AU18" s="616">
        <f>IF(OR(AR18&gt;0,AS18&gt;0),VLOOKUP(A18,'Lista Suspensa'!$A$1:$F$90,4,),0)</f>
        <v>0</v>
      </c>
      <c r="AV18" s="616">
        <f>IF(OR(AR18&gt;0,AS18&gt;0),VLOOKUP(A18,'Lista Suspensa'!$A$1:$F$90,5,),0)</f>
        <v>0</v>
      </c>
      <c r="AW18" s="586">
        <f>IF(OR(AR18&gt;0,AS18&gt;0),VLOOKUP(A18,'Lista Suspensa'!$A$1:$F$90,6,),0)</f>
        <v>0</v>
      </c>
      <c r="AX18" s="627"/>
      <c r="AY18" s="623">
        <f t="shared" si="5"/>
        <v>0</v>
      </c>
      <c r="AZ18" s="616">
        <f>IF(AX18&gt;0,VLOOKUP(A18,'Lista Suspensa'!$A$1:$F$92,3,),0)</f>
        <v>0</v>
      </c>
      <c r="BA18" s="616">
        <f>IF(OR(AX18&gt;0,AY18&gt;0),VLOOKUP(A18,'Lista Suspensa'!$A$1:$F$90,4,),0)</f>
        <v>0</v>
      </c>
      <c r="BB18" s="616">
        <f>IF(OR(AX18&gt;0,AY18&gt;0),VLOOKUP(A18,'Lista Suspensa'!$A$1:$F$90,5,),0)</f>
        <v>0</v>
      </c>
      <c r="BC18" s="586">
        <f>IF(OR(AX18&gt;0,AY18&gt;0),VLOOKUP(A18,'Lista Suspensa'!$A$1:$F$90,6,),0)</f>
        <v>0</v>
      </c>
      <c r="BD18" s="627"/>
      <c r="BE18" s="623">
        <f t="shared" si="6"/>
        <v>0</v>
      </c>
      <c r="BF18" s="616">
        <f>IF(BD18&gt;0,VLOOKUP(A18,'Lista Suspensa'!$A$1:$F$92,3,),0)</f>
        <v>0</v>
      </c>
      <c r="BG18" s="616">
        <f>IF(OR(BD18&gt;0,BE18&gt;0),VLOOKUP(A18,'Lista Suspensa'!$A$1:$F$90,4,),0)</f>
        <v>0</v>
      </c>
      <c r="BH18" s="616">
        <f>IF(OR(BD18&gt;0,BE18&gt;0),VLOOKUP(A18,'Lista Suspensa'!$A$1:$F$90,5,),0)</f>
        <v>0</v>
      </c>
      <c r="BI18" s="586">
        <f>IF(OR(BD18&gt;0,BE18&gt;0),VLOOKUP(A18,'Lista Suspensa'!$A$1:$F$90,6,),0)</f>
        <v>0</v>
      </c>
      <c r="BJ18" s="627"/>
      <c r="BK18" s="623">
        <f t="shared" si="7"/>
        <v>0</v>
      </c>
      <c r="BL18" s="616">
        <f>IF(BJ18&gt;0,VLOOKUP(A18,'Lista Suspensa'!$A$1:$F$92,3,),0)</f>
        <v>0</v>
      </c>
      <c r="BM18" s="616">
        <f>IF(OR(BJ18&gt;0,BK18&gt;0),VLOOKUP(A18,'Lista Suspensa'!$A$1:$F$90,4,),0)</f>
        <v>0</v>
      </c>
      <c r="BN18" s="616">
        <f>IF(OR(BJ18&gt;0,BK18&gt;0),VLOOKUP(A18,'Lista Suspensa'!$A$1:$F$90,5,),0)</f>
        <v>0</v>
      </c>
      <c r="BO18" s="586">
        <f>IF(OR(BJ18&gt;0,BK18&gt;0),VLOOKUP(A18,'Lista Suspensa'!$A$1:$F$90,6,),0)</f>
        <v>0</v>
      </c>
      <c r="BP18" s="627"/>
      <c r="BQ18" s="623">
        <f t="shared" si="8"/>
        <v>0</v>
      </c>
      <c r="BR18" s="616">
        <f>IF(BP18&gt;0,VLOOKUP(A18,'Lista Suspensa'!$A$1:$F$92,3,),0)</f>
        <v>0</v>
      </c>
      <c r="BS18" s="616">
        <f>IF(OR(BP18&gt;0,BQ18&gt;0),VLOOKUP(A18,'Lista Suspensa'!$A$1:$F$90,4,),0)</f>
        <v>0</v>
      </c>
      <c r="BT18" s="616">
        <f>IF(OR(BP18&gt;0,BQ18&gt;0),VLOOKUP(A18,'Lista Suspensa'!$A$1:$F$90,5,),0)</f>
        <v>0</v>
      </c>
      <c r="BU18" s="586">
        <f>IF(OR(BP18&gt;0,BQ18&gt;0),VLOOKUP(A18,'Lista Suspensa'!$A$1:$F$90,6,),0)</f>
        <v>0</v>
      </c>
      <c r="BV18" s="627"/>
      <c r="BW18" s="623">
        <f t="shared" si="9"/>
        <v>0</v>
      </c>
      <c r="BX18" s="616">
        <f>IF(BV18&gt;0,VLOOKUP(A18,'Lista Suspensa'!$A$1:$F$92,3,),0)</f>
        <v>0</v>
      </c>
      <c r="BY18" s="616">
        <f>IF(OR(BV18&gt;0,BW18&gt;0),VLOOKUP(A18,'Lista Suspensa'!$A$1:$F$90,4,),0)</f>
        <v>0</v>
      </c>
      <c r="BZ18" s="616">
        <f>IF(OR(BV18&gt;0,BW18&gt;0),VLOOKUP(A18,'Lista Suspensa'!$A$1:$F$90,5,),0)</f>
        <v>0</v>
      </c>
      <c r="CA18" s="586">
        <f>IF(OR(BV18&gt;0,BW18&gt;0),VLOOKUP(A18,'Lista Suspensa'!$A$1:$F$90,6,),0)</f>
        <v>0</v>
      </c>
      <c r="CB18" s="627"/>
      <c r="CC18" s="623">
        <f t="shared" si="10"/>
        <v>0</v>
      </c>
      <c r="CD18" s="616">
        <f>IF(CB18&gt;0,VLOOKUP(A18,'Lista Suspensa'!$A$1:$F$92,3,),0)</f>
        <v>0</v>
      </c>
      <c r="CE18" s="616">
        <f>IF(OR(CB18&gt;0,CC18&gt;0),VLOOKUP(A18,'Lista Suspensa'!$A$1:$F$90,4,),0)</f>
        <v>0</v>
      </c>
      <c r="CF18" s="616">
        <f>IF(OR(CB18&gt;0,CC18&gt;0),VLOOKUP(A18,'Lista Suspensa'!$A$1:$F$90,5,),0)</f>
        <v>0</v>
      </c>
      <c r="CG18" s="586">
        <f>IF(OR(CB18&gt;0,CC18&gt;0),VLOOKUP(A18,'Lista Suspensa'!$A$1:$F$90,6,),0)</f>
        <v>0</v>
      </c>
      <c r="CH18" s="627"/>
      <c r="CI18" s="623">
        <f t="shared" si="11"/>
        <v>0</v>
      </c>
      <c r="CJ18" s="616">
        <f>IF(CH18&gt;0,VLOOKUP(A18,'Lista Suspensa'!$A$1:$F$92,3,),0)</f>
        <v>0</v>
      </c>
      <c r="CK18" s="616">
        <f>IF(OR(CH18&gt;0,CI18&gt;0),VLOOKUP(A18,'Lista Suspensa'!$A$1:$F$90,4,),0)</f>
        <v>0</v>
      </c>
      <c r="CL18" s="616">
        <f>IF(OR(CH18&gt;0,CI18&gt;0),VLOOKUP(A18,'Lista Suspensa'!$A$1:$F$90,5,),0)</f>
        <v>0</v>
      </c>
      <c r="CM18" s="637">
        <f>IF(OR(CH18&gt;0,CI18&gt;0),VLOOKUP(A18,'Lista Suspensa'!$A$1:$F$90,6,),0)</f>
        <v>0</v>
      </c>
      <c r="CN18" s="646"/>
      <c r="CO18" s="403">
        <f t="shared" si="15"/>
        <v>0</v>
      </c>
      <c r="CP18" s="756">
        <f>IF(CN18&gt;0,VLOOKUP(A18,'Lista Suspensa'!$A$1:$F$92,3,),0)</f>
        <v>0</v>
      </c>
      <c r="CQ18" s="643">
        <f>IF(OR(CN18&gt;0,CO18&gt;0),VLOOKUP(A18,'Lista Suspensa'!$A$1:$F$90,6,),0)</f>
        <v>0</v>
      </c>
      <c r="CR18" s="628"/>
      <c r="CS18" s="628"/>
      <c r="CT18" s="628"/>
      <c r="CU18" s="628"/>
      <c r="CV18" s="628"/>
      <c r="CW18" s="628"/>
      <c r="CX18" s="628"/>
      <c r="CY18" s="628"/>
      <c r="CZ18" s="628"/>
      <c r="DA18" s="628"/>
      <c r="DB18" s="628"/>
      <c r="DC18" s="628"/>
      <c r="DD18" s="628"/>
      <c r="DE18" s="628"/>
      <c r="DF18" s="628"/>
      <c r="DG18" s="628"/>
      <c r="DH18" s="628"/>
      <c r="DI18" s="583"/>
      <c r="DJ18" s="583"/>
      <c r="DK18" s="583"/>
      <c r="DL18" s="583"/>
      <c r="DM18" s="583"/>
      <c r="DN18" s="583"/>
      <c r="DO18" s="583"/>
      <c r="DP18" s="583"/>
      <c r="DQ18" s="583"/>
      <c r="DR18" s="583"/>
      <c r="DS18" s="583"/>
      <c r="DT18" s="583"/>
      <c r="DU18" s="583"/>
      <c r="DV18" s="583"/>
      <c r="DW18" s="583"/>
      <c r="DX18" s="583"/>
      <c r="DY18" s="583"/>
      <c r="DZ18" s="583"/>
      <c r="EA18" s="583"/>
      <c r="EB18" s="583"/>
      <c r="EC18" s="583"/>
      <c r="ED18" s="583"/>
      <c r="EE18" s="583"/>
      <c r="EF18" s="583"/>
      <c r="EG18" s="583"/>
      <c r="EH18" s="583"/>
      <c r="EI18" s="583"/>
      <c r="EJ18" s="583"/>
      <c r="EK18" s="583"/>
      <c r="EL18" s="583"/>
      <c r="EM18" s="583"/>
      <c r="EN18" s="583"/>
      <c r="EO18" s="583"/>
      <c r="EP18" s="583"/>
      <c r="EQ18" s="583"/>
      <c r="ER18" s="583"/>
      <c r="ES18" s="583"/>
      <c r="ET18" s="583"/>
      <c r="EU18" s="583"/>
      <c r="EV18" s="583"/>
      <c r="EW18" s="583"/>
      <c r="EX18" s="583"/>
      <c r="EY18" s="583"/>
      <c r="EZ18" s="583"/>
      <c r="FA18" s="583"/>
      <c r="FB18" s="583"/>
      <c r="FC18" s="583"/>
      <c r="FD18" s="583"/>
      <c r="FE18" s="583"/>
      <c r="FF18" s="583"/>
      <c r="FG18" s="583"/>
      <c r="FH18" s="583"/>
      <c r="FI18" s="583"/>
      <c r="FJ18" s="583"/>
      <c r="FK18" s="583"/>
      <c r="FL18" s="583"/>
      <c r="FM18" s="583"/>
      <c r="FN18" s="583"/>
      <c r="FO18" s="583"/>
      <c r="FP18" s="583"/>
      <c r="FQ18" s="583"/>
      <c r="FR18" s="583"/>
      <c r="FS18" s="583"/>
      <c r="FT18" s="583"/>
      <c r="FU18" s="583"/>
      <c r="FV18" s="583"/>
      <c r="FW18" s="583"/>
      <c r="FX18" s="583"/>
      <c r="FY18" s="583"/>
      <c r="FZ18" s="583"/>
      <c r="GA18" s="583"/>
      <c r="GB18" s="583"/>
      <c r="GC18" s="583"/>
      <c r="GD18" s="583"/>
      <c r="GE18" s="583"/>
      <c r="GF18" s="583"/>
      <c r="GG18" s="583"/>
      <c r="GH18" s="583"/>
      <c r="GI18" s="583"/>
      <c r="GJ18" s="583"/>
      <c r="GK18" s="583"/>
      <c r="GL18" s="583"/>
      <c r="GM18" s="583"/>
      <c r="GN18" s="583"/>
      <c r="GO18" s="583"/>
      <c r="GP18" s="583"/>
      <c r="GQ18" s="583"/>
      <c r="GR18" s="583"/>
      <c r="GS18" s="583"/>
      <c r="GT18" s="583"/>
      <c r="GU18" s="583"/>
      <c r="GV18" s="583"/>
      <c r="GW18" s="583"/>
      <c r="GX18" s="583"/>
      <c r="GY18" s="583"/>
      <c r="GZ18" s="583"/>
      <c r="HA18" s="583"/>
      <c r="HB18" s="583"/>
      <c r="HC18" s="583"/>
      <c r="HD18" s="583"/>
      <c r="HE18" s="583"/>
      <c r="HF18" s="583"/>
      <c r="HG18" s="583"/>
      <c r="HH18" s="583"/>
      <c r="HI18" s="583"/>
      <c r="HJ18" s="583"/>
      <c r="HK18" s="583"/>
      <c r="HL18" s="583"/>
      <c r="HM18" s="583"/>
      <c r="HN18" s="583"/>
      <c r="HO18" s="583"/>
      <c r="HP18" s="583"/>
      <c r="HQ18" s="583"/>
      <c r="HR18" s="583"/>
      <c r="HS18" s="583"/>
      <c r="HT18" s="583"/>
      <c r="HU18" s="583"/>
      <c r="HV18" s="583"/>
      <c r="HW18" s="583"/>
      <c r="HX18" s="583"/>
      <c r="HY18" s="583"/>
      <c r="HZ18" s="583"/>
      <c r="IA18" s="583"/>
      <c r="IB18" s="583"/>
      <c r="IC18" s="583"/>
      <c r="ID18" s="583"/>
      <c r="IE18" s="583"/>
      <c r="IF18" s="583"/>
      <c r="IG18" s="583"/>
      <c r="IH18" s="583"/>
      <c r="II18" s="583"/>
      <c r="IJ18" s="583"/>
      <c r="IK18" s="583"/>
      <c r="IL18" s="583"/>
      <c r="IM18" s="583"/>
      <c r="IN18" s="583"/>
      <c r="IO18" s="583"/>
      <c r="IP18" s="583"/>
      <c r="IQ18" s="583"/>
      <c r="IR18" s="583"/>
      <c r="IS18" s="583"/>
      <c r="IT18" s="583"/>
      <c r="IU18" s="583"/>
      <c r="IV18" s="583"/>
      <c r="IW18" s="583"/>
      <c r="IX18" s="583"/>
      <c r="IY18" s="583"/>
      <c r="IZ18" s="583"/>
      <c r="JA18" s="583"/>
      <c r="JB18" s="583"/>
      <c r="JC18" s="583"/>
      <c r="JD18" s="583"/>
      <c r="JE18" s="583"/>
      <c r="JF18" s="583"/>
      <c r="JG18" s="583"/>
      <c r="JH18" s="583"/>
      <c r="JI18" s="583"/>
      <c r="JJ18" s="583"/>
      <c r="JK18" s="583"/>
      <c r="JL18" s="583"/>
      <c r="JM18" s="583"/>
      <c r="JN18" s="583"/>
      <c r="JO18" s="583"/>
      <c r="JP18" s="583"/>
      <c r="JQ18" s="583"/>
      <c r="JR18" s="583"/>
      <c r="JS18" s="583"/>
      <c r="JT18" s="583"/>
      <c r="JU18" s="583"/>
      <c r="JV18" s="583"/>
      <c r="JW18" s="583"/>
      <c r="JX18" s="583"/>
      <c r="JY18" s="583"/>
      <c r="JZ18" s="583"/>
      <c r="KA18" s="583"/>
      <c r="KB18" s="583"/>
      <c r="KC18" s="583"/>
      <c r="KD18" s="583"/>
      <c r="KE18" s="583"/>
      <c r="KF18" s="583"/>
      <c r="KG18" s="583"/>
      <c r="KH18" s="583"/>
      <c r="KI18" s="583"/>
      <c r="KJ18" s="583"/>
      <c r="KK18" s="583"/>
      <c r="KL18" s="583"/>
      <c r="KM18" s="583"/>
      <c r="KN18" s="583"/>
      <c r="KO18" s="583"/>
      <c r="KP18" s="583"/>
      <c r="KQ18" s="583"/>
      <c r="KR18" s="583"/>
      <c r="KS18" s="583"/>
      <c r="KT18" s="583"/>
      <c r="KU18" s="583"/>
      <c r="KV18" s="583"/>
      <c r="KW18" s="583"/>
      <c r="KX18" s="583"/>
      <c r="KY18" s="583"/>
      <c r="KZ18" s="583"/>
      <c r="LA18" s="583"/>
      <c r="LB18" s="583"/>
      <c r="LC18" s="583"/>
      <c r="LD18" s="583"/>
      <c r="LE18" s="583"/>
      <c r="LF18" s="583"/>
      <c r="LG18" s="583"/>
      <c r="LH18" s="583"/>
      <c r="LI18" s="583"/>
      <c r="LJ18" s="583"/>
      <c r="LK18" s="583"/>
      <c r="LL18" s="583"/>
      <c r="LM18" s="583"/>
      <c r="LN18" s="583"/>
      <c r="LO18" s="583"/>
      <c r="LP18" s="583"/>
      <c r="LQ18" s="583"/>
      <c r="LR18" s="583"/>
      <c r="LS18" s="583"/>
      <c r="LT18" s="583"/>
      <c r="LU18" s="583"/>
      <c r="LV18" s="583"/>
      <c r="LW18" s="583"/>
      <c r="LX18" s="583"/>
      <c r="LY18" s="583"/>
      <c r="LZ18" s="583"/>
      <c r="MA18" s="583"/>
      <c r="MB18" s="583"/>
      <c r="MC18" s="583"/>
      <c r="MD18" s="583"/>
      <c r="ME18" s="583"/>
      <c r="MF18" s="583"/>
      <c r="MG18" s="583"/>
      <c r="MH18" s="583"/>
      <c r="MI18" s="583"/>
      <c r="MJ18" s="583"/>
      <c r="MK18" s="583"/>
      <c r="ML18" s="583"/>
      <c r="MM18" s="583"/>
      <c r="MN18" s="583"/>
      <c r="MO18" s="583"/>
      <c r="MP18" s="583"/>
      <c r="MQ18" s="583"/>
      <c r="MR18" s="583"/>
      <c r="MS18" s="583"/>
      <c r="MT18" s="583"/>
      <c r="MU18" s="583"/>
      <c r="MV18" s="583"/>
      <c r="MW18" s="583"/>
      <c r="MX18" s="583"/>
      <c r="MY18" s="583"/>
      <c r="MZ18" s="583"/>
      <c r="NA18" s="583"/>
      <c r="NB18" s="583"/>
      <c r="NC18" s="583"/>
      <c r="ND18" s="583"/>
      <c r="NE18" s="583"/>
      <c r="NF18" s="583"/>
      <c r="NG18" s="583"/>
      <c r="NH18" s="583"/>
      <c r="NI18" s="583"/>
      <c r="NJ18" s="583"/>
      <c r="NK18" s="583"/>
      <c r="NL18" s="583"/>
      <c r="NM18" s="583"/>
      <c r="NN18" s="583"/>
      <c r="NO18" s="583"/>
      <c r="NP18" s="583"/>
      <c r="NQ18" s="583"/>
      <c r="NR18" s="583"/>
      <c r="NS18" s="583"/>
      <c r="NT18" s="583"/>
      <c r="NU18" s="583"/>
      <c r="NV18" s="583"/>
      <c r="NW18" s="583"/>
      <c r="NX18" s="583"/>
      <c r="NY18" s="583"/>
      <c r="NZ18" s="583"/>
      <c r="OA18" s="583"/>
      <c r="OB18" s="583"/>
      <c r="OC18" s="583"/>
      <c r="OD18" s="583"/>
      <c r="OE18" s="583"/>
      <c r="OF18" s="583"/>
      <c r="OG18" s="583"/>
      <c r="OH18" s="583"/>
      <c r="OI18" s="583"/>
      <c r="OJ18" s="583"/>
      <c r="OK18" s="583"/>
      <c r="OL18" s="583"/>
      <c r="OM18" s="583"/>
      <c r="ON18" s="583"/>
      <c r="OO18" s="583"/>
      <c r="OP18" s="583"/>
      <c r="OQ18" s="583"/>
      <c r="OR18" s="583"/>
      <c r="OS18" s="583"/>
      <c r="OT18" s="583"/>
      <c r="OU18" s="583"/>
      <c r="OV18" s="583"/>
      <c r="OW18" s="583"/>
      <c r="OX18" s="583"/>
      <c r="OY18" s="583"/>
      <c r="OZ18" s="583"/>
      <c r="PA18" s="583"/>
      <c r="PB18" s="583"/>
      <c r="PC18" s="583"/>
      <c r="PD18" s="583"/>
      <c r="PE18" s="583"/>
      <c r="PF18" s="583"/>
      <c r="PG18" s="583"/>
      <c r="PH18" s="583"/>
      <c r="PI18" s="583"/>
      <c r="PJ18" s="583"/>
      <c r="PK18" s="583"/>
      <c r="PL18" s="583"/>
      <c r="PM18" s="583"/>
      <c r="PN18" s="583"/>
      <c r="PO18" s="583"/>
      <c r="PP18" s="583"/>
      <c r="PQ18" s="583"/>
      <c r="PR18" s="583"/>
      <c r="PS18" s="583"/>
      <c r="PT18" s="583"/>
      <c r="PU18" s="583"/>
      <c r="PV18" s="583"/>
      <c r="PW18" s="583"/>
      <c r="PX18" s="583"/>
      <c r="PY18" s="583"/>
      <c r="PZ18" s="583"/>
      <c r="QA18" s="583"/>
      <c r="QB18" s="583"/>
      <c r="QC18" s="583"/>
      <c r="QD18" s="583"/>
      <c r="QE18" s="583"/>
      <c r="QF18" s="583"/>
      <c r="QG18" s="583"/>
      <c r="QH18" s="583"/>
      <c r="QI18" s="583"/>
      <c r="QJ18" s="583"/>
      <c r="QK18" s="583"/>
      <c r="QL18" s="583"/>
      <c r="QM18" s="583"/>
      <c r="QN18" s="583"/>
      <c r="QO18" s="583"/>
      <c r="QP18" s="583"/>
      <c r="QQ18" s="583"/>
      <c r="QR18" s="583"/>
      <c r="QS18" s="583"/>
      <c r="QT18" s="583"/>
      <c r="QU18" s="583"/>
      <c r="QV18" s="583"/>
      <c r="QW18" s="583"/>
      <c r="QX18" s="583"/>
      <c r="QY18" s="583"/>
      <c r="QZ18" s="583"/>
      <c r="RA18" s="583"/>
      <c r="RB18" s="583"/>
      <c r="RC18" s="583"/>
      <c r="RD18" s="583"/>
      <c r="RE18" s="583"/>
      <c r="RF18" s="583"/>
      <c r="RG18" s="583"/>
      <c r="RH18" s="583"/>
      <c r="RI18" s="583"/>
      <c r="RJ18" s="583"/>
      <c r="RK18" s="583"/>
      <c r="RL18" s="583"/>
      <c r="RM18" s="583"/>
      <c r="RN18" s="583"/>
      <c r="RO18" s="583"/>
      <c r="RP18" s="583"/>
      <c r="RQ18" s="583"/>
      <c r="RR18" s="583"/>
      <c r="RS18" s="583"/>
      <c r="RT18" s="583"/>
      <c r="RU18" s="583"/>
      <c r="RV18" s="583"/>
      <c r="RW18" s="583"/>
      <c r="RX18" s="583"/>
      <c r="RY18" s="583"/>
      <c r="RZ18" s="583"/>
      <c r="SA18" s="583"/>
      <c r="SB18" s="583"/>
      <c r="SC18" s="583"/>
      <c r="SD18" s="583"/>
      <c r="SE18" s="583"/>
      <c r="SF18" s="583"/>
      <c r="SG18" s="583"/>
      <c r="SH18" s="583"/>
      <c r="SI18" s="583"/>
      <c r="SJ18" s="583"/>
      <c r="SK18" s="583"/>
      <c r="SL18" s="583"/>
      <c r="SM18" s="583"/>
      <c r="SN18" s="583"/>
      <c r="SO18" s="583"/>
      <c r="SP18" s="583"/>
      <c r="SQ18" s="583"/>
      <c r="SR18" s="583"/>
      <c r="SS18" s="583"/>
      <c r="ST18" s="583"/>
      <c r="SU18" s="583"/>
      <c r="SV18" s="583"/>
      <c r="SW18" s="583"/>
      <c r="SX18" s="583"/>
      <c r="SY18" s="583"/>
      <c r="SZ18" s="583"/>
      <c r="TA18" s="583"/>
      <c r="TB18" s="583"/>
      <c r="TC18" s="583"/>
      <c r="TD18" s="583"/>
      <c r="TE18" s="583"/>
      <c r="TF18" s="583"/>
      <c r="TG18" s="583"/>
      <c r="TH18" s="583"/>
      <c r="TI18" s="583"/>
      <c r="TJ18" s="583"/>
      <c r="TK18" s="583"/>
      <c r="TL18" s="583"/>
      <c r="TM18" s="583"/>
      <c r="TN18" s="583"/>
      <c r="TO18" s="583"/>
      <c r="TP18" s="583"/>
      <c r="TQ18" s="583"/>
      <c r="TR18" s="583"/>
      <c r="TS18" s="583"/>
      <c r="TT18" s="583"/>
      <c r="TU18" s="583"/>
      <c r="TV18" s="583"/>
      <c r="TW18" s="583"/>
      <c r="TX18" s="583"/>
      <c r="TY18" s="583"/>
      <c r="TZ18" s="583"/>
      <c r="UA18" s="583"/>
      <c r="UB18" s="583"/>
      <c r="UC18" s="583"/>
      <c r="UD18" s="583"/>
      <c r="UE18" s="583"/>
      <c r="UF18" s="583"/>
      <c r="UG18" s="583"/>
      <c r="UH18" s="583"/>
      <c r="UI18" s="583"/>
      <c r="UJ18" s="583"/>
      <c r="UK18" s="583"/>
      <c r="UL18" s="583"/>
      <c r="UM18" s="583"/>
      <c r="UN18" s="583"/>
      <c r="UO18" s="583"/>
      <c r="UP18" s="583"/>
      <c r="UQ18" s="583"/>
      <c r="UR18" s="583"/>
      <c r="US18" s="583"/>
      <c r="UT18" s="583"/>
      <c r="UU18" s="583"/>
      <c r="UV18" s="583"/>
      <c r="UW18" s="583"/>
      <c r="UX18" s="583"/>
      <c r="UY18" s="583"/>
      <c r="UZ18" s="583"/>
      <c r="VA18" s="583"/>
      <c r="VB18" s="583"/>
      <c r="VC18" s="583"/>
      <c r="VD18" s="583"/>
      <c r="VE18" s="583"/>
      <c r="VF18" s="583"/>
      <c r="VG18" s="583"/>
      <c r="VH18" s="583"/>
      <c r="VI18" s="583"/>
      <c r="VJ18" s="583"/>
      <c r="VK18" s="583"/>
      <c r="VL18" s="583"/>
      <c r="VM18" s="583"/>
      <c r="VN18" s="583"/>
      <c r="VO18" s="583"/>
      <c r="VP18" s="583"/>
      <c r="VQ18" s="583"/>
      <c r="VR18" s="583"/>
      <c r="VS18" s="583"/>
      <c r="VT18" s="583"/>
      <c r="VU18" s="583"/>
      <c r="VV18" s="583"/>
      <c r="VW18" s="583"/>
      <c r="VX18" s="583"/>
      <c r="VY18" s="583"/>
      <c r="VZ18" s="583"/>
      <c r="WA18" s="583"/>
      <c r="WB18" s="583"/>
      <c r="WC18" s="583"/>
      <c r="WD18" s="583"/>
      <c r="WE18" s="583"/>
      <c r="WF18" s="583"/>
      <c r="WG18" s="583"/>
      <c r="WH18" s="583"/>
      <c r="WI18" s="583"/>
      <c r="WJ18" s="583"/>
      <c r="WK18" s="583"/>
      <c r="WL18" s="583"/>
      <c r="WM18" s="583"/>
      <c r="WN18" s="583"/>
      <c r="WO18" s="583"/>
      <c r="WP18" s="583"/>
      <c r="WQ18" s="583"/>
      <c r="WR18" s="583"/>
      <c r="WS18" s="583"/>
      <c r="WT18" s="583"/>
      <c r="WU18" s="583"/>
      <c r="WV18" s="583"/>
      <c r="WW18" s="583"/>
      <c r="WX18" s="583"/>
      <c r="WY18" s="583"/>
      <c r="WZ18" s="583"/>
      <c r="XA18" s="583"/>
      <c r="XB18" s="583"/>
      <c r="XC18" s="583"/>
      <c r="XD18" s="583"/>
      <c r="XE18" s="583"/>
      <c r="XF18" s="583"/>
      <c r="XG18" s="583"/>
      <c r="XH18" s="583"/>
      <c r="XI18" s="583"/>
      <c r="XJ18" s="583"/>
      <c r="XK18" s="583"/>
      <c r="XL18" s="583"/>
      <c r="XM18" s="583"/>
      <c r="XN18" s="583"/>
      <c r="XO18" s="583"/>
      <c r="XP18" s="583"/>
      <c r="XQ18" s="583"/>
      <c r="XR18" s="583"/>
      <c r="XS18" s="583"/>
      <c r="XT18" s="583"/>
      <c r="XU18" s="583"/>
      <c r="XV18" s="583"/>
      <c r="XW18" s="583"/>
      <c r="XX18" s="583"/>
      <c r="XY18" s="583"/>
      <c r="XZ18" s="583"/>
      <c r="YA18" s="583"/>
      <c r="YB18" s="583"/>
      <c r="YC18" s="583"/>
      <c r="YD18" s="583"/>
      <c r="YE18" s="583"/>
      <c r="YF18" s="583"/>
      <c r="YG18" s="583"/>
      <c r="YH18" s="583"/>
      <c r="YI18" s="583"/>
      <c r="YJ18" s="583"/>
      <c r="YK18" s="583"/>
      <c r="YL18" s="583"/>
      <c r="YM18" s="583"/>
      <c r="YN18" s="583"/>
      <c r="YO18" s="583"/>
      <c r="YP18" s="583"/>
      <c r="YQ18" s="583"/>
      <c r="YR18" s="583"/>
      <c r="YS18" s="583"/>
      <c r="YT18" s="583"/>
      <c r="YU18" s="583"/>
      <c r="YV18" s="583"/>
      <c r="YW18" s="583"/>
      <c r="YX18" s="583"/>
      <c r="YY18" s="583"/>
      <c r="YZ18" s="583"/>
      <c r="ZA18" s="583"/>
      <c r="ZB18" s="583"/>
      <c r="ZC18" s="583"/>
      <c r="ZD18" s="583"/>
      <c r="ZE18" s="583"/>
      <c r="ZF18" s="583"/>
      <c r="ZG18" s="583"/>
      <c r="ZH18" s="583"/>
      <c r="ZI18" s="583"/>
      <c r="ZJ18" s="583"/>
      <c r="ZK18" s="583"/>
      <c r="ZL18" s="583"/>
      <c r="ZM18" s="583"/>
      <c r="ZN18" s="583"/>
      <c r="ZO18" s="583"/>
      <c r="ZP18" s="583"/>
      <c r="ZQ18" s="583"/>
      <c r="ZR18" s="583"/>
      <c r="ZS18" s="583"/>
      <c r="ZT18" s="583"/>
      <c r="ZU18" s="583"/>
      <c r="ZV18" s="583"/>
      <c r="ZW18" s="583"/>
      <c r="ZX18" s="583"/>
      <c r="ZY18" s="583"/>
      <c r="ZZ18" s="583"/>
      <c r="AAA18" s="583"/>
      <c r="AAB18" s="583"/>
      <c r="AAC18" s="583"/>
      <c r="AAD18" s="583"/>
      <c r="AAE18" s="583"/>
      <c r="AAF18" s="583"/>
      <c r="AAG18" s="583"/>
      <c r="AAH18" s="583"/>
      <c r="AAI18" s="583"/>
      <c r="AAJ18" s="583"/>
      <c r="AAK18" s="583"/>
      <c r="AAL18" s="583"/>
      <c r="AAM18" s="583"/>
      <c r="AAN18" s="583"/>
      <c r="AAO18" s="583"/>
      <c r="AAP18" s="583"/>
      <c r="AAQ18" s="583"/>
      <c r="AAR18" s="583"/>
      <c r="AAS18" s="583"/>
      <c r="AAT18" s="583"/>
      <c r="AAU18" s="583"/>
      <c r="AAV18" s="583"/>
      <c r="AAW18" s="583"/>
      <c r="AAX18" s="583"/>
      <c r="AAY18" s="583"/>
      <c r="AAZ18" s="583"/>
      <c r="ABA18" s="583"/>
      <c r="ABB18" s="583"/>
      <c r="ABC18" s="583"/>
      <c r="ABD18" s="583"/>
      <c r="ABE18" s="583"/>
      <c r="ABF18" s="583"/>
      <c r="ABG18" s="583"/>
      <c r="ABH18" s="583"/>
      <c r="ABI18" s="583"/>
      <c r="ABJ18" s="583"/>
      <c r="ABK18" s="583"/>
      <c r="ABL18" s="583"/>
      <c r="ABM18" s="583"/>
      <c r="ABN18" s="583"/>
      <c r="ABO18" s="583"/>
      <c r="ABP18" s="583"/>
      <c r="ABQ18" s="583"/>
      <c r="ABR18" s="583"/>
      <c r="ABS18" s="583"/>
      <c r="ABT18" s="583"/>
      <c r="ABU18" s="583"/>
      <c r="ABV18" s="583"/>
      <c r="ABW18" s="583"/>
      <c r="ABX18" s="583"/>
      <c r="ABY18" s="583"/>
      <c r="ABZ18" s="583"/>
      <c r="ACA18" s="583"/>
      <c r="ACB18" s="583"/>
      <c r="ACC18" s="583"/>
      <c r="ACD18" s="583"/>
      <c r="ACE18" s="583"/>
      <c r="ACF18" s="583"/>
      <c r="ACG18" s="583"/>
      <c r="ACH18" s="583"/>
      <c r="ACI18" s="583"/>
      <c r="ACJ18" s="583"/>
      <c r="ACK18" s="583"/>
      <c r="ACL18" s="583"/>
      <c r="ACM18" s="583"/>
      <c r="ACN18" s="583"/>
      <c r="ACO18" s="583"/>
      <c r="ACP18" s="583"/>
      <c r="ACQ18" s="583"/>
      <c r="ACR18" s="583"/>
      <c r="ACS18" s="583"/>
      <c r="ACT18" s="583"/>
      <c r="ACU18" s="583"/>
      <c r="ACV18" s="583"/>
      <c r="ACW18" s="583"/>
      <c r="ACX18" s="583"/>
      <c r="ACY18" s="583"/>
      <c r="ACZ18" s="583"/>
      <c r="ADA18" s="583"/>
      <c r="ADB18" s="583"/>
      <c r="ADC18" s="583"/>
      <c r="ADD18" s="583"/>
      <c r="ADE18" s="583"/>
      <c r="ADF18" s="583"/>
      <c r="ADG18" s="583"/>
      <c r="ADH18" s="583"/>
      <c r="ADI18" s="583"/>
      <c r="ADJ18" s="583"/>
      <c r="ADK18" s="583"/>
      <c r="ADL18" s="583"/>
      <c r="ADM18" s="583"/>
      <c r="ADN18" s="583"/>
      <c r="ADO18" s="583"/>
      <c r="ADP18" s="583"/>
      <c r="ADQ18" s="583"/>
      <c r="ADR18" s="583"/>
      <c r="ADS18" s="583"/>
      <c r="ADT18" s="583"/>
      <c r="ADU18" s="583"/>
      <c r="ADV18" s="583"/>
      <c r="ADW18" s="583"/>
      <c r="ADX18" s="583"/>
      <c r="ADY18" s="583"/>
      <c r="ADZ18" s="583"/>
      <c r="AEA18" s="583"/>
      <c r="AEB18" s="583"/>
      <c r="AEC18" s="583"/>
      <c r="AED18" s="583"/>
      <c r="AEE18" s="583"/>
      <c r="AEF18" s="583"/>
      <c r="AEG18" s="583"/>
      <c r="AEH18" s="583"/>
      <c r="AEI18" s="583"/>
      <c r="AEJ18" s="583"/>
      <c r="AEK18" s="583"/>
      <c r="AEL18" s="583"/>
      <c r="AEM18" s="583"/>
      <c r="AEN18" s="583"/>
      <c r="AEO18" s="583"/>
      <c r="AEP18" s="583"/>
      <c r="AEQ18" s="583"/>
      <c r="AER18" s="583"/>
      <c r="AES18" s="583"/>
      <c r="AET18" s="583"/>
      <c r="AEU18" s="583"/>
      <c r="AEV18" s="583"/>
      <c r="AEW18" s="583"/>
      <c r="AEX18" s="583"/>
      <c r="AEY18" s="583"/>
      <c r="AEZ18" s="583"/>
      <c r="AFA18" s="583"/>
      <c r="AFB18" s="583"/>
      <c r="AFC18" s="583"/>
      <c r="AFD18" s="583"/>
      <c r="AFE18" s="583"/>
      <c r="AFF18" s="583"/>
      <c r="AFG18" s="583"/>
      <c r="AFH18" s="583"/>
      <c r="AFI18" s="583"/>
      <c r="AFJ18" s="583"/>
      <c r="AFK18" s="583"/>
      <c r="AFL18" s="583"/>
      <c r="AFM18" s="583"/>
      <c r="AFN18" s="583"/>
      <c r="AFO18" s="583"/>
      <c r="AFP18" s="583"/>
      <c r="AFQ18" s="583"/>
      <c r="AFR18" s="583"/>
      <c r="AFS18" s="583"/>
      <c r="AFT18" s="583"/>
      <c r="AFU18" s="583"/>
      <c r="AFV18" s="583"/>
      <c r="AFW18" s="583"/>
      <c r="AFX18" s="583"/>
      <c r="AFY18" s="583"/>
      <c r="AFZ18" s="583"/>
      <c r="AGA18" s="583"/>
      <c r="AGB18" s="583"/>
      <c r="AGC18" s="583"/>
      <c r="AGD18" s="583"/>
      <c r="AGE18" s="583"/>
      <c r="AGF18" s="583"/>
      <c r="AGG18" s="583"/>
      <c r="AGH18" s="583"/>
      <c r="AGI18" s="583"/>
      <c r="AGJ18" s="583"/>
      <c r="AGK18" s="583"/>
      <c r="AGL18" s="583"/>
      <c r="AGM18" s="583"/>
      <c r="AGN18" s="583"/>
      <c r="AGO18" s="583"/>
      <c r="AGP18" s="583"/>
      <c r="AGQ18" s="583"/>
      <c r="AGR18" s="583"/>
      <c r="AGS18" s="583"/>
      <c r="AGT18" s="583"/>
      <c r="AGU18" s="583"/>
      <c r="AGV18" s="583"/>
      <c r="AGW18" s="583"/>
      <c r="AGX18" s="583"/>
      <c r="AGY18" s="583"/>
      <c r="AGZ18" s="583"/>
      <c r="AHA18" s="583"/>
      <c r="AHB18" s="583"/>
      <c r="AHC18" s="583"/>
      <c r="AHD18" s="583"/>
      <c r="AHE18" s="583"/>
      <c r="AHF18" s="583"/>
      <c r="AHG18" s="583"/>
      <c r="AHH18" s="583"/>
      <c r="AHI18" s="583"/>
      <c r="AHJ18" s="583"/>
      <c r="AHK18" s="583"/>
      <c r="AHL18" s="583"/>
      <c r="AHM18" s="583"/>
      <c r="AHN18" s="583"/>
      <c r="AHO18" s="583"/>
      <c r="AHP18" s="583"/>
      <c r="AHQ18" s="583"/>
      <c r="AHR18" s="583"/>
      <c r="AHS18" s="583"/>
      <c r="AHT18" s="583"/>
      <c r="AHU18" s="583"/>
      <c r="AHV18" s="583"/>
      <c r="AHW18" s="583"/>
      <c r="AHX18" s="583"/>
      <c r="AHY18" s="583"/>
      <c r="AHZ18" s="583"/>
      <c r="AIA18" s="583"/>
      <c r="AIB18" s="583"/>
      <c r="AIC18" s="583"/>
      <c r="AID18" s="583"/>
      <c r="AIE18" s="583"/>
      <c r="AIF18" s="583"/>
      <c r="AIG18" s="583"/>
      <c r="AIH18" s="583"/>
      <c r="AII18" s="583"/>
      <c r="AIJ18" s="583"/>
      <c r="AIK18" s="583"/>
      <c r="AIL18" s="583"/>
      <c r="AIM18" s="583"/>
      <c r="AIN18" s="583"/>
      <c r="AIO18" s="583"/>
      <c r="AIP18" s="583"/>
      <c r="AIQ18" s="583"/>
      <c r="AIR18" s="583"/>
      <c r="AIS18" s="583"/>
      <c r="AIT18" s="583"/>
      <c r="AIU18" s="583"/>
      <c r="AIV18" s="583"/>
      <c r="AIW18" s="583"/>
      <c r="AIX18" s="583"/>
      <c r="AIY18" s="583"/>
      <c r="AIZ18" s="583"/>
      <c r="AJA18" s="583"/>
      <c r="AJB18" s="583"/>
      <c r="AJC18" s="583"/>
      <c r="AJD18" s="583"/>
      <c r="AJE18" s="583"/>
      <c r="AJF18" s="583"/>
      <c r="AJG18" s="583"/>
      <c r="AJH18" s="583"/>
      <c r="AJI18" s="583"/>
      <c r="AJJ18" s="583"/>
      <c r="AJK18" s="583"/>
      <c r="AJL18" s="583"/>
      <c r="AJM18" s="583"/>
      <c r="AJN18" s="583"/>
      <c r="AJO18" s="583"/>
      <c r="AJP18" s="583"/>
      <c r="AJQ18" s="583"/>
      <c r="AJR18" s="583"/>
      <c r="AJS18" s="583"/>
      <c r="AJT18" s="583"/>
      <c r="AJU18" s="583"/>
      <c r="AJV18" s="583"/>
      <c r="AJW18" s="583"/>
      <c r="AJX18" s="583"/>
      <c r="AJY18" s="583"/>
      <c r="AJZ18" s="583"/>
      <c r="AKA18" s="583"/>
      <c r="AKB18" s="583"/>
      <c r="AKC18" s="583"/>
      <c r="AKD18" s="583"/>
      <c r="AKE18" s="583"/>
      <c r="AKF18" s="583"/>
      <c r="AKG18" s="583"/>
      <c r="AKH18" s="583"/>
      <c r="AKI18" s="583"/>
      <c r="AKJ18" s="583"/>
      <c r="AKK18" s="583"/>
      <c r="AKL18" s="583"/>
      <c r="AKM18" s="583"/>
      <c r="AKN18" s="583"/>
      <c r="AKO18" s="583"/>
      <c r="AKP18" s="583"/>
      <c r="AKQ18" s="583"/>
      <c r="AKR18" s="583"/>
      <c r="AKS18" s="583"/>
      <c r="AKT18" s="583"/>
      <c r="AKU18" s="583"/>
      <c r="AKV18" s="583"/>
      <c r="AKW18" s="583"/>
      <c r="AKX18" s="583"/>
      <c r="AKY18" s="583"/>
      <c r="AKZ18" s="583"/>
      <c r="ALA18" s="583"/>
      <c r="ALB18" s="583"/>
      <c r="ALC18" s="583"/>
      <c r="ALD18" s="583"/>
      <c r="ALE18" s="583"/>
      <c r="ALF18" s="583"/>
      <c r="ALG18" s="583"/>
      <c r="ALH18" s="583"/>
      <c r="ALI18" s="583"/>
      <c r="ALJ18" s="583"/>
      <c r="ALK18" s="583"/>
      <c r="ALL18" s="583"/>
      <c r="ALM18" s="583"/>
      <c r="ALN18" s="583"/>
      <c r="ALO18" s="583"/>
      <c r="ALP18" s="583"/>
      <c r="ALQ18" s="583"/>
      <c r="ALR18" s="583"/>
      <c r="ALS18" s="583"/>
      <c r="ALT18" s="583"/>
      <c r="ALU18" s="583"/>
      <c r="ALV18" s="583"/>
      <c r="ALW18" s="583"/>
      <c r="ALX18" s="583"/>
      <c r="ALY18" s="583"/>
      <c r="ALZ18" s="583"/>
      <c r="AMA18" s="583"/>
      <c r="AMB18" s="583"/>
      <c r="AMC18" s="583"/>
      <c r="AMD18" s="583"/>
      <c r="AME18" s="583"/>
      <c r="AMF18" s="583"/>
      <c r="AMG18" s="583"/>
      <c r="AMH18" s="583"/>
      <c r="AMI18" s="583"/>
      <c r="AMJ18" s="583"/>
      <c r="AMK18" s="583"/>
      <c r="AML18" s="583"/>
      <c r="AMM18" s="583"/>
      <c r="AMN18" s="583"/>
      <c r="AMO18" s="583"/>
      <c r="AMP18" s="583"/>
      <c r="AMQ18" s="583"/>
      <c r="AMR18" s="583"/>
      <c r="AMS18" s="583"/>
      <c r="AMT18" s="583"/>
      <c r="AMU18" s="583"/>
      <c r="AMV18" s="583"/>
      <c r="AMW18" s="583"/>
      <c r="AMX18" s="583"/>
      <c r="AMY18" s="583"/>
      <c r="AMZ18" s="583"/>
      <c r="ANA18" s="583"/>
      <c r="ANB18" s="583"/>
      <c r="ANC18" s="583"/>
      <c r="AND18" s="583"/>
      <c r="ANE18" s="583"/>
      <c r="ANF18" s="583"/>
      <c r="ANG18" s="583"/>
      <c r="ANH18" s="583"/>
      <c r="ANI18" s="583"/>
      <c r="ANJ18" s="583"/>
      <c r="ANK18" s="583"/>
      <c r="ANL18" s="583"/>
      <c r="ANM18" s="583"/>
      <c r="ANN18" s="583"/>
      <c r="ANO18" s="583"/>
      <c r="ANP18" s="583"/>
      <c r="ANQ18" s="583"/>
      <c r="ANR18" s="583"/>
      <c r="ANS18" s="583"/>
      <c r="ANT18" s="583"/>
      <c r="ANU18" s="583"/>
      <c r="ANV18" s="583"/>
      <c r="ANW18" s="583"/>
      <c r="ANX18" s="583"/>
      <c r="ANY18" s="583"/>
      <c r="ANZ18" s="583"/>
      <c r="AOA18" s="583"/>
      <c r="AOB18" s="583"/>
      <c r="AOC18" s="583"/>
      <c r="AOD18" s="583"/>
      <c r="AOE18" s="583"/>
      <c r="AOF18" s="583"/>
      <c r="AOG18" s="583"/>
      <c r="AOH18" s="583"/>
      <c r="AOI18" s="583"/>
      <c r="AOJ18" s="583"/>
      <c r="AOK18" s="583"/>
      <c r="AOL18" s="583"/>
      <c r="AOM18" s="583"/>
      <c r="AON18" s="583"/>
      <c r="AOO18" s="583"/>
      <c r="AOP18" s="583"/>
      <c r="AOQ18" s="583"/>
      <c r="AOR18" s="583"/>
      <c r="AOS18" s="583"/>
      <c r="AOT18" s="583"/>
      <c r="AOU18" s="583"/>
      <c r="AOV18" s="583"/>
      <c r="AOW18" s="583"/>
      <c r="AOX18" s="583"/>
      <c r="AOY18" s="583"/>
      <c r="AOZ18" s="583"/>
      <c r="APA18" s="583"/>
      <c r="APB18" s="583"/>
      <c r="APC18" s="583"/>
      <c r="APD18" s="583"/>
      <c r="APE18" s="583"/>
      <c r="APF18" s="583"/>
      <c r="APG18" s="583"/>
      <c r="APH18" s="583"/>
      <c r="API18" s="583"/>
      <c r="APJ18" s="583"/>
      <c r="APK18" s="583"/>
      <c r="APL18" s="583"/>
      <c r="APM18" s="583"/>
      <c r="APN18" s="583"/>
      <c r="APO18" s="583"/>
      <c r="APP18" s="583"/>
      <c r="APQ18" s="583"/>
      <c r="APR18" s="583"/>
      <c r="APS18" s="583"/>
      <c r="APT18" s="583"/>
      <c r="APU18" s="583"/>
      <c r="APV18" s="583"/>
      <c r="APW18" s="583"/>
      <c r="APX18" s="583"/>
      <c r="APY18" s="583"/>
      <c r="APZ18" s="583"/>
      <c r="AQA18" s="583"/>
      <c r="AQB18" s="583"/>
      <c r="AQC18" s="583"/>
      <c r="AQD18" s="583"/>
      <c r="AQE18" s="583"/>
      <c r="AQF18" s="583"/>
      <c r="AQG18" s="583"/>
      <c r="AQH18" s="583"/>
      <c r="AQI18" s="583"/>
      <c r="AQJ18" s="583"/>
      <c r="AQK18" s="583"/>
      <c r="AQL18" s="583"/>
      <c r="AQM18" s="583"/>
      <c r="AQN18" s="583"/>
      <c r="AQO18" s="583"/>
      <c r="AQP18" s="583"/>
      <c r="AQQ18" s="583"/>
      <c r="AQR18" s="583"/>
      <c r="AQS18" s="583"/>
      <c r="AQT18" s="583"/>
      <c r="AQU18" s="583"/>
      <c r="AQV18" s="583"/>
      <c r="AQW18" s="583"/>
      <c r="AQX18" s="583"/>
      <c r="AQY18" s="583"/>
      <c r="AQZ18" s="583"/>
      <c r="ARA18" s="583"/>
      <c r="ARB18" s="583"/>
      <c r="ARC18" s="583"/>
      <c r="ARD18" s="583"/>
      <c r="ARE18" s="583"/>
      <c r="ARF18" s="583"/>
      <c r="ARG18" s="583"/>
      <c r="ARH18" s="583"/>
      <c r="ARI18" s="583"/>
      <c r="ARJ18" s="583"/>
      <c r="ARK18" s="583"/>
      <c r="ARL18" s="583"/>
      <c r="ARM18" s="583"/>
      <c r="ARN18" s="583"/>
      <c r="ARO18" s="583"/>
      <c r="ARP18" s="583"/>
      <c r="ARQ18" s="583"/>
      <c r="ARR18" s="583"/>
      <c r="ARS18" s="583"/>
      <c r="ART18" s="583"/>
      <c r="ARU18" s="583"/>
      <c r="ARV18" s="583"/>
      <c r="ARW18" s="583"/>
      <c r="ARX18" s="583"/>
      <c r="ARY18" s="583"/>
      <c r="ARZ18" s="583"/>
      <c r="ASA18" s="583"/>
      <c r="ASB18" s="583"/>
      <c r="ASC18" s="583"/>
      <c r="ASD18" s="583"/>
      <c r="ASE18" s="583"/>
      <c r="ASF18" s="583"/>
      <c r="ASG18" s="583"/>
      <c r="ASH18" s="583"/>
      <c r="ASI18" s="583"/>
      <c r="ASJ18" s="583"/>
      <c r="ASK18" s="583"/>
      <c r="ASL18" s="583"/>
      <c r="ASM18" s="583"/>
      <c r="ASN18" s="583"/>
      <c r="ASO18" s="583"/>
      <c r="ASP18" s="583"/>
      <c r="ASQ18" s="583"/>
      <c r="ASR18" s="583"/>
      <c r="ASS18" s="583"/>
      <c r="AST18" s="583"/>
      <c r="ASU18" s="583"/>
      <c r="ASV18" s="583"/>
      <c r="ASW18" s="583"/>
      <c r="ASX18" s="583"/>
      <c r="ASY18" s="583"/>
      <c r="ASZ18" s="583"/>
      <c r="ATA18" s="583"/>
      <c r="ATB18" s="583"/>
      <c r="ATC18" s="583"/>
      <c r="ATD18" s="583"/>
      <c r="ATE18" s="583"/>
      <c r="ATF18" s="583"/>
      <c r="ATG18" s="583"/>
      <c r="ATH18" s="583"/>
      <c r="ATI18" s="583"/>
      <c r="ATJ18" s="583"/>
      <c r="ATK18" s="583"/>
      <c r="ATL18" s="583"/>
      <c r="ATM18" s="583"/>
      <c r="ATN18" s="583"/>
      <c r="ATO18" s="583"/>
      <c r="ATP18" s="583"/>
      <c r="ATQ18" s="583"/>
      <c r="ATR18" s="583"/>
      <c r="ATS18" s="583"/>
      <c r="ATT18" s="583"/>
      <c r="ATU18" s="583"/>
      <c r="ATV18" s="583"/>
      <c r="ATW18" s="583"/>
      <c r="ATX18" s="583"/>
      <c r="ATY18" s="583"/>
      <c r="ATZ18" s="583"/>
      <c r="AUA18" s="583"/>
      <c r="AUB18" s="583"/>
      <c r="AUC18" s="583"/>
      <c r="AUD18" s="583"/>
      <c r="AUE18" s="583"/>
      <c r="AUF18" s="583"/>
      <c r="AUG18" s="583"/>
      <c r="AUH18" s="583"/>
      <c r="AUI18" s="583"/>
      <c r="AUJ18" s="583"/>
      <c r="AUK18" s="583"/>
      <c r="AUL18" s="583"/>
      <c r="AUM18" s="583"/>
      <c r="AUN18" s="583"/>
      <c r="AUO18" s="583"/>
      <c r="AUP18" s="583"/>
      <c r="AUQ18" s="583"/>
      <c r="AUR18" s="583"/>
      <c r="AUS18" s="583"/>
      <c r="AUT18" s="583"/>
      <c r="AUU18" s="583"/>
      <c r="AUV18" s="583"/>
      <c r="AUW18" s="583"/>
      <c r="AUX18" s="583"/>
      <c r="AUY18" s="583"/>
      <c r="AUZ18" s="583"/>
      <c r="AVA18" s="583"/>
      <c r="AVB18" s="583"/>
      <c r="AVC18" s="583"/>
      <c r="AVD18" s="583"/>
      <c r="AVE18" s="583"/>
      <c r="AVF18" s="583"/>
      <c r="AVG18" s="583"/>
      <c r="AVH18" s="583"/>
      <c r="AVI18" s="583"/>
      <c r="AVJ18" s="583"/>
      <c r="AVK18" s="583"/>
      <c r="AVL18" s="583"/>
      <c r="AVM18" s="583"/>
      <c r="AVN18" s="583"/>
      <c r="AVO18" s="583"/>
      <c r="AVP18" s="583"/>
      <c r="AVQ18" s="583"/>
      <c r="AVR18" s="583"/>
      <c r="AVS18" s="583"/>
      <c r="AVT18" s="583"/>
      <c r="AVU18" s="583"/>
      <c r="AVV18" s="583"/>
      <c r="AVW18" s="583"/>
      <c r="AVX18" s="583"/>
      <c r="AVY18" s="583"/>
      <c r="AVZ18" s="583"/>
      <c r="AWA18" s="583"/>
      <c r="AWB18" s="583"/>
      <c r="AWC18" s="583"/>
      <c r="AWD18" s="583"/>
      <c r="AWE18" s="583"/>
      <c r="AWF18" s="583"/>
      <c r="AWG18" s="583"/>
      <c r="AWH18" s="583"/>
      <c r="AWI18" s="583"/>
      <c r="AWJ18" s="583"/>
      <c r="AWK18" s="583"/>
      <c r="AWL18" s="583"/>
      <c r="AWM18" s="583"/>
      <c r="AWN18" s="583"/>
      <c r="AWO18" s="583"/>
      <c r="AWP18" s="583"/>
      <c r="AWQ18" s="583"/>
      <c r="AWR18" s="583"/>
      <c r="AWS18" s="583"/>
      <c r="AWT18" s="583"/>
      <c r="AWU18" s="583"/>
      <c r="AWV18" s="583"/>
      <c r="AWW18" s="583"/>
      <c r="AWX18" s="583"/>
      <c r="AWY18" s="583"/>
      <c r="AWZ18" s="583"/>
      <c r="AXA18" s="583"/>
      <c r="AXB18" s="583"/>
      <c r="AXC18" s="583"/>
      <c r="AXD18" s="583"/>
      <c r="AXE18" s="583"/>
      <c r="AXF18" s="583"/>
      <c r="AXG18" s="583"/>
      <c r="AXH18" s="583"/>
      <c r="AXI18" s="583"/>
      <c r="AXJ18" s="583"/>
      <c r="AXK18" s="583"/>
      <c r="AXL18" s="583"/>
      <c r="AXM18" s="583"/>
      <c r="AXN18" s="583"/>
      <c r="AXO18" s="583"/>
      <c r="AXP18" s="583"/>
      <c r="AXQ18" s="583"/>
      <c r="AXR18" s="583"/>
      <c r="AXS18" s="583"/>
      <c r="AXT18" s="583"/>
      <c r="AXU18" s="583"/>
      <c r="AXV18" s="583"/>
      <c r="AXW18" s="583"/>
      <c r="AXX18" s="583"/>
      <c r="AXY18" s="583"/>
      <c r="AXZ18" s="583"/>
      <c r="AYA18" s="583"/>
      <c r="AYB18" s="583"/>
      <c r="AYC18" s="583"/>
      <c r="AYD18" s="583"/>
      <c r="AYE18" s="583"/>
      <c r="AYF18" s="583"/>
      <c r="AYG18" s="583"/>
      <c r="AYH18" s="583"/>
      <c r="AYI18" s="583"/>
      <c r="AYJ18" s="583"/>
      <c r="AYK18" s="583"/>
      <c r="AYL18" s="583"/>
      <c r="AYM18" s="583"/>
      <c r="AYN18" s="583"/>
      <c r="AYO18" s="583"/>
      <c r="AYP18" s="583"/>
      <c r="AYQ18" s="583"/>
      <c r="AYR18" s="583"/>
      <c r="AYS18" s="583"/>
      <c r="AYT18" s="583"/>
      <c r="AYU18" s="583"/>
      <c r="AYV18" s="583"/>
      <c r="AYW18" s="583"/>
      <c r="AYX18" s="583"/>
      <c r="AYY18" s="583"/>
      <c r="AYZ18" s="583"/>
      <c r="AZA18" s="583"/>
      <c r="AZB18" s="583"/>
      <c r="AZC18" s="583"/>
      <c r="AZD18" s="583"/>
      <c r="AZE18" s="583"/>
      <c r="AZF18" s="583"/>
      <c r="AZG18" s="583"/>
      <c r="AZH18" s="583"/>
      <c r="AZI18" s="583"/>
      <c r="AZJ18" s="583"/>
      <c r="AZK18" s="583"/>
      <c r="AZL18" s="583"/>
      <c r="AZM18" s="583"/>
      <c r="AZN18" s="583"/>
      <c r="AZO18" s="583"/>
      <c r="AZP18" s="583"/>
      <c r="AZQ18" s="583"/>
      <c r="AZR18" s="583"/>
      <c r="AZS18" s="583"/>
      <c r="AZT18" s="583"/>
      <c r="AZU18" s="583"/>
      <c r="AZV18" s="583"/>
      <c r="AZW18" s="583"/>
      <c r="AZX18" s="583"/>
      <c r="AZY18" s="583"/>
      <c r="AZZ18" s="583"/>
      <c r="BAA18" s="583"/>
      <c r="BAB18" s="583"/>
      <c r="BAC18" s="583"/>
      <c r="BAD18" s="583"/>
      <c r="BAE18" s="583"/>
      <c r="BAF18" s="583"/>
      <c r="BAG18" s="583"/>
      <c r="BAH18" s="583"/>
      <c r="BAI18" s="583"/>
      <c r="BAJ18" s="583"/>
      <c r="BAK18" s="583"/>
      <c r="BAL18" s="583"/>
      <c r="BAM18" s="583"/>
      <c r="BAN18" s="583"/>
      <c r="BAO18" s="583"/>
      <c r="BAP18" s="583"/>
      <c r="BAQ18" s="583"/>
      <c r="BAR18" s="583"/>
      <c r="BAS18" s="583"/>
      <c r="BAT18" s="583"/>
      <c r="BAU18" s="583"/>
      <c r="BAV18" s="583"/>
      <c r="BAW18" s="583"/>
      <c r="BAX18" s="583"/>
      <c r="BAY18" s="583"/>
      <c r="BAZ18" s="583"/>
      <c r="BBA18" s="583"/>
      <c r="BBB18" s="583"/>
      <c r="BBC18" s="583"/>
      <c r="BBD18" s="583"/>
      <c r="BBE18" s="583"/>
      <c r="BBF18" s="583"/>
      <c r="BBG18" s="583"/>
      <c r="BBH18" s="583"/>
      <c r="BBI18" s="583"/>
      <c r="BBJ18" s="583"/>
      <c r="BBK18" s="583"/>
      <c r="BBL18" s="583"/>
      <c r="BBM18" s="583"/>
      <c r="BBN18" s="583"/>
      <c r="BBO18" s="583"/>
      <c r="BBP18" s="583"/>
      <c r="BBQ18" s="583"/>
      <c r="BBR18" s="583"/>
      <c r="BBS18" s="583"/>
      <c r="BBT18" s="583"/>
      <c r="BBU18" s="583"/>
      <c r="BBV18" s="583"/>
      <c r="BBW18" s="583"/>
      <c r="BBX18" s="583"/>
      <c r="BBY18" s="583"/>
      <c r="BBZ18" s="583"/>
      <c r="BCA18" s="583"/>
      <c r="BCB18" s="583"/>
      <c r="BCC18" s="583"/>
      <c r="BCD18" s="583"/>
      <c r="BCE18" s="583"/>
      <c r="BCF18" s="583"/>
      <c r="BCG18" s="583"/>
      <c r="BCH18" s="583"/>
      <c r="BCI18" s="583"/>
      <c r="BCJ18" s="583"/>
      <c r="BCK18" s="583"/>
      <c r="BCL18" s="583"/>
      <c r="BCM18" s="583"/>
      <c r="BCN18" s="583"/>
      <c r="BCO18" s="583"/>
      <c r="BCP18" s="583"/>
      <c r="BCQ18" s="583"/>
      <c r="BCR18" s="583"/>
      <c r="BCS18" s="583"/>
      <c r="BCT18" s="583"/>
      <c r="BCU18" s="583"/>
      <c r="BCV18" s="583"/>
      <c r="BCW18" s="583"/>
      <c r="BCX18" s="583"/>
      <c r="BCY18" s="583"/>
      <c r="BCZ18" s="583"/>
      <c r="BDA18" s="583"/>
      <c r="BDB18" s="583"/>
      <c r="BDC18" s="583"/>
      <c r="BDD18" s="583"/>
      <c r="BDE18" s="583"/>
      <c r="BDF18" s="583"/>
      <c r="BDG18" s="583"/>
      <c r="BDH18" s="583"/>
      <c r="BDI18" s="583"/>
      <c r="BDJ18" s="583"/>
      <c r="BDK18" s="583"/>
      <c r="BDL18" s="583"/>
      <c r="BDM18" s="583"/>
      <c r="BDN18" s="583"/>
      <c r="BDO18" s="583"/>
      <c r="BDP18" s="583"/>
      <c r="BDQ18" s="583"/>
      <c r="BDR18" s="583"/>
      <c r="BDS18" s="583"/>
      <c r="BDT18" s="583"/>
      <c r="BDU18" s="583"/>
      <c r="BDV18" s="583"/>
      <c r="BDW18" s="583"/>
      <c r="BDX18" s="583"/>
      <c r="BDY18" s="583"/>
      <c r="BDZ18" s="583"/>
      <c r="BEA18" s="583"/>
      <c r="BEB18" s="583"/>
      <c r="BEC18" s="583"/>
      <c r="BED18" s="583"/>
      <c r="BEE18" s="583"/>
      <c r="BEF18" s="583"/>
      <c r="BEG18" s="583"/>
      <c r="BEH18" s="583"/>
      <c r="BEI18" s="583"/>
      <c r="BEJ18" s="583"/>
      <c r="BEK18" s="583"/>
      <c r="BEL18" s="583"/>
      <c r="BEM18" s="583"/>
      <c r="BEN18" s="583"/>
      <c r="BEO18" s="583"/>
      <c r="BEP18" s="583"/>
      <c r="BEQ18" s="583"/>
      <c r="BER18" s="583"/>
      <c r="BES18" s="583"/>
      <c r="BET18" s="583"/>
      <c r="BEU18" s="583"/>
      <c r="BEV18" s="583"/>
      <c r="BEW18" s="583"/>
      <c r="BEX18" s="583"/>
      <c r="BEY18" s="583"/>
      <c r="BEZ18" s="583"/>
      <c r="BFA18" s="583"/>
      <c r="BFB18" s="583"/>
      <c r="BFC18" s="583"/>
      <c r="BFD18" s="583"/>
      <c r="BFE18" s="583"/>
      <c r="BFF18" s="583"/>
      <c r="BFG18" s="583"/>
      <c r="BFH18" s="583"/>
      <c r="BFI18" s="583"/>
      <c r="BFJ18" s="583"/>
      <c r="BFK18" s="583"/>
      <c r="BFL18" s="583"/>
      <c r="BFM18" s="583"/>
      <c r="BFN18" s="583"/>
      <c r="BFO18" s="583"/>
      <c r="BFP18" s="583"/>
      <c r="BFQ18" s="583"/>
      <c r="BFR18" s="583"/>
      <c r="BFS18" s="583"/>
      <c r="BFT18" s="583"/>
      <c r="BFU18" s="583"/>
      <c r="BFV18" s="583"/>
      <c r="BFW18" s="583"/>
      <c r="BFX18" s="583"/>
      <c r="BFY18" s="583"/>
      <c r="BFZ18" s="583"/>
      <c r="BGA18" s="583"/>
      <c r="BGB18" s="583"/>
      <c r="BGC18" s="583"/>
      <c r="BGD18" s="583"/>
      <c r="BGE18" s="583"/>
      <c r="BGF18" s="583"/>
      <c r="BGG18" s="583"/>
      <c r="BGH18" s="583"/>
      <c r="BGI18" s="583"/>
      <c r="BGJ18" s="583"/>
      <c r="BGK18" s="583"/>
      <c r="BGL18" s="583"/>
      <c r="BGM18" s="583"/>
      <c r="BGN18" s="583"/>
      <c r="BGO18" s="583"/>
      <c r="BGP18" s="583"/>
      <c r="BGQ18" s="583"/>
      <c r="BGR18" s="583"/>
      <c r="BGS18" s="583"/>
      <c r="BGT18" s="583"/>
      <c r="BGU18" s="583"/>
      <c r="BGV18" s="583"/>
      <c r="BGW18" s="583"/>
      <c r="BGX18" s="583"/>
      <c r="BGY18" s="583"/>
      <c r="BGZ18" s="583"/>
      <c r="BHA18" s="583"/>
      <c r="BHB18" s="583"/>
      <c r="BHC18" s="583"/>
      <c r="BHD18" s="583"/>
      <c r="BHE18" s="583"/>
      <c r="BHF18" s="583"/>
      <c r="BHG18" s="583"/>
      <c r="BHH18" s="583"/>
      <c r="BHI18" s="583"/>
      <c r="BHJ18" s="583"/>
      <c r="BHK18" s="583"/>
      <c r="BHL18" s="583"/>
      <c r="BHM18" s="583"/>
      <c r="BHN18" s="583"/>
      <c r="BHO18" s="583"/>
      <c r="BHP18" s="583"/>
      <c r="BHQ18" s="583"/>
      <c r="BHR18" s="583"/>
      <c r="BHS18" s="583"/>
      <c r="BHT18" s="583"/>
      <c r="BHU18" s="583"/>
      <c r="BHV18" s="583"/>
      <c r="BHW18" s="583"/>
      <c r="BHX18" s="583"/>
      <c r="BHY18" s="583"/>
      <c r="BHZ18" s="583"/>
      <c r="BIA18" s="583"/>
      <c r="BIB18" s="583"/>
      <c r="BIC18" s="583"/>
      <c r="BID18" s="583"/>
      <c r="BIE18" s="583"/>
      <c r="BIF18" s="583"/>
      <c r="BIG18" s="583"/>
      <c r="BIH18" s="583"/>
      <c r="BII18" s="583"/>
      <c r="BIJ18" s="583"/>
      <c r="BIK18" s="583"/>
      <c r="BIL18" s="583"/>
      <c r="BIM18" s="583"/>
      <c r="BIN18" s="583"/>
      <c r="BIO18" s="583"/>
      <c r="BIP18" s="583"/>
      <c r="BIQ18" s="583"/>
      <c r="BIR18" s="583"/>
      <c r="BIS18" s="583"/>
      <c r="BIT18" s="583"/>
      <c r="BIU18" s="583"/>
      <c r="BIV18" s="583"/>
      <c r="BIW18" s="583"/>
      <c r="BIX18" s="583"/>
      <c r="BIY18" s="583"/>
      <c r="BIZ18" s="583"/>
      <c r="BJA18" s="583"/>
      <c r="BJB18" s="583"/>
      <c r="BJC18" s="583"/>
      <c r="BJD18" s="583"/>
      <c r="BJE18" s="583"/>
      <c r="BJF18" s="583"/>
      <c r="BJG18" s="583"/>
      <c r="BJH18" s="583"/>
      <c r="BJI18" s="583"/>
      <c r="BJJ18" s="583"/>
      <c r="BJK18" s="583"/>
      <c r="BJL18" s="583"/>
      <c r="BJM18" s="583"/>
      <c r="BJN18" s="583"/>
      <c r="BJO18" s="583"/>
      <c r="BJP18" s="583"/>
      <c r="BJQ18" s="583"/>
      <c r="BJR18" s="583"/>
      <c r="BJS18" s="583"/>
      <c r="BJT18" s="583"/>
      <c r="BJU18" s="583"/>
      <c r="BJV18" s="583"/>
      <c r="BJW18" s="583"/>
      <c r="BJX18" s="583"/>
      <c r="BJY18" s="583"/>
      <c r="BJZ18" s="583"/>
      <c r="BKA18" s="583"/>
      <c r="BKB18" s="583"/>
      <c r="BKC18" s="583"/>
      <c r="BKD18" s="583"/>
      <c r="BKE18" s="583"/>
      <c r="BKF18" s="583"/>
      <c r="BKG18" s="583"/>
      <c r="BKH18" s="583"/>
      <c r="BKI18" s="583"/>
      <c r="BKJ18" s="583"/>
      <c r="BKK18" s="583"/>
      <c r="BKL18" s="583"/>
      <c r="BKM18" s="583"/>
      <c r="BKN18" s="583"/>
      <c r="BKO18" s="583"/>
      <c r="BKP18" s="583"/>
      <c r="BKQ18" s="583"/>
      <c r="BKR18" s="583"/>
      <c r="BKS18" s="583"/>
      <c r="BKT18" s="583"/>
      <c r="BKU18" s="583"/>
      <c r="BKV18" s="583"/>
      <c r="BKW18" s="583"/>
      <c r="BKX18" s="583"/>
      <c r="BKY18" s="583"/>
      <c r="BKZ18" s="583"/>
      <c r="BLA18" s="583"/>
      <c r="BLB18" s="583"/>
      <c r="BLC18" s="583"/>
      <c r="BLD18" s="583"/>
      <c r="BLE18" s="583"/>
      <c r="BLF18" s="583"/>
      <c r="BLG18" s="583"/>
      <c r="BLH18" s="583"/>
      <c r="BLI18" s="583"/>
      <c r="BLJ18" s="583"/>
      <c r="BLK18" s="583"/>
      <c r="BLL18" s="583"/>
      <c r="BLM18" s="583"/>
      <c r="BLN18" s="583"/>
      <c r="BLO18" s="583"/>
      <c r="BLP18" s="583"/>
      <c r="BLQ18" s="583"/>
      <c r="BLR18" s="583"/>
      <c r="BLS18" s="583"/>
      <c r="BLT18" s="583"/>
      <c r="BLU18" s="583"/>
      <c r="BLV18" s="583"/>
      <c r="BLW18" s="583"/>
      <c r="BLX18" s="583"/>
      <c r="BLY18" s="583"/>
      <c r="BLZ18" s="583"/>
      <c r="BMA18" s="583"/>
      <c r="BMB18" s="583"/>
      <c r="BMC18" s="583"/>
      <c r="BMD18" s="583"/>
      <c r="BME18" s="583"/>
      <c r="BMF18" s="583"/>
      <c r="BMG18" s="583"/>
      <c r="BMH18" s="583"/>
      <c r="BMI18" s="583"/>
      <c r="BMJ18" s="583"/>
      <c r="BMK18" s="583"/>
      <c r="BML18" s="583"/>
      <c r="BMM18" s="583"/>
      <c r="BMN18" s="583"/>
      <c r="BMO18" s="583"/>
      <c r="BMP18" s="583"/>
      <c r="BMQ18" s="583"/>
      <c r="BMR18" s="583"/>
      <c r="BMS18" s="583"/>
      <c r="BMT18" s="583"/>
      <c r="BMU18" s="583"/>
      <c r="BMV18" s="583"/>
      <c r="BMW18" s="583"/>
      <c r="BMX18" s="583"/>
      <c r="BMY18" s="583"/>
      <c r="BMZ18" s="583"/>
      <c r="BNA18" s="583"/>
      <c r="BNB18" s="583"/>
      <c r="BNC18" s="583"/>
      <c r="BND18" s="583"/>
      <c r="BNE18" s="583"/>
      <c r="BNF18" s="583"/>
      <c r="BNG18" s="583"/>
      <c r="BNH18" s="583"/>
      <c r="BNI18" s="583"/>
      <c r="BNJ18" s="583"/>
      <c r="BNK18" s="583"/>
      <c r="BNL18" s="583"/>
      <c r="BNM18" s="583"/>
      <c r="BNN18" s="583"/>
      <c r="BNO18" s="583"/>
      <c r="BNP18" s="583"/>
      <c r="BNQ18" s="583"/>
      <c r="BNR18" s="583"/>
      <c r="BNS18" s="583"/>
      <c r="BNT18" s="583"/>
      <c r="BNU18" s="583"/>
      <c r="BNV18" s="583"/>
      <c r="BNW18" s="583"/>
      <c r="BNX18" s="583"/>
      <c r="BNY18" s="583"/>
      <c r="BNZ18" s="583"/>
      <c r="BOA18" s="583"/>
      <c r="BOB18" s="583"/>
      <c r="BOC18" s="583"/>
      <c r="BOD18" s="583"/>
      <c r="BOE18" s="583"/>
      <c r="BOF18" s="583"/>
      <c r="BOG18" s="583"/>
      <c r="BOH18" s="583"/>
      <c r="BOI18" s="583"/>
      <c r="BOJ18" s="583"/>
      <c r="BOK18" s="583"/>
      <c r="BOL18" s="583"/>
      <c r="BOM18" s="583"/>
      <c r="BON18" s="583"/>
      <c r="BOO18" s="583"/>
      <c r="BOP18" s="583"/>
      <c r="BOQ18" s="583"/>
      <c r="BOR18" s="583"/>
      <c r="BOS18" s="583"/>
      <c r="BOT18" s="583"/>
      <c r="BOU18" s="583"/>
      <c r="BOV18" s="583"/>
      <c r="BOW18" s="583"/>
      <c r="BOX18" s="583"/>
      <c r="BOY18" s="583"/>
      <c r="BOZ18" s="583"/>
      <c r="BPA18" s="583"/>
      <c r="BPB18" s="583"/>
      <c r="BPC18" s="583"/>
      <c r="BPD18" s="583"/>
      <c r="BPE18" s="583"/>
      <c r="BPF18" s="583"/>
      <c r="BPG18" s="583"/>
      <c r="BPH18" s="583"/>
      <c r="BPI18" s="583"/>
      <c r="BPJ18" s="583"/>
      <c r="BPK18" s="583"/>
      <c r="BPL18" s="583"/>
      <c r="BPM18" s="583"/>
      <c r="BPN18" s="583"/>
      <c r="BPO18" s="583"/>
      <c r="BPP18" s="583"/>
      <c r="BPQ18" s="583"/>
      <c r="BPR18" s="583"/>
      <c r="BPS18" s="583"/>
      <c r="BPT18" s="583"/>
      <c r="BPU18" s="583"/>
      <c r="BPV18" s="583"/>
      <c r="BPW18" s="583"/>
      <c r="BPX18" s="583"/>
      <c r="BPY18" s="583"/>
      <c r="BPZ18" s="583"/>
      <c r="BQA18" s="583"/>
      <c r="BQB18" s="583"/>
      <c r="BQC18" s="583"/>
      <c r="BQD18" s="583"/>
      <c r="BQE18" s="583"/>
      <c r="BQF18" s="583"/>
      <c r="BQG18" s="583"/>
      <c r="BQH18" s="583"/>
      <c r="BQI18" s="583"/>
      <c r="BQJ18" s="583"/>
      <c r="BQK18" s="583"/>
      <c r="BQL18" s="583"/>
      <c r="BQM18" s="583"/>
      <c r="BQN18" s="583"/>
      <c r="BQO18" s="583"/>
      <c r="BQP18" s="583"/>
      <c r="BQQ18" s="583"/>
      <c r="BQR18" s="583"/>
      <c r="BQS18" s="583"/>
      <c r="BQT18" s="583"/>
      <c r="BQU18" s="583"/>
      <c r="BQV18" s="583"/>
      <c r="BQW18" s="583"/>
      <c r="BQX18" s="583"/>
      <c r="BQY18" s="583"/>
      <c r="BQZ18" s="583"/>
      <c r="BRA18" s="583"/>
      <c r="BRB18" s="583"/>
      <c r="BRC18" s="583"/>
      <c r="BRD18" s="583"/>
      <c r="BRE18" s="583"/>
      <c r="BRF18" s="583"/>
      <c r="BRG18" s="583"/>
      <c r="BRH18" s="583"/>
      <c r="BRI18" s="583"/>
      <c r="BRJ18" s="583"/>
      <c r="BRK18" s="583"/>
      <c r="BRL18" s="583"/>
      <c r="BRM18" s="583"/>
      <c r="BRN18" s="583"/>
      <c r="BRO18" s="583"/>
      <c r="BRP18" s="583"/>
      <c r="BRQ18" s="583"/>
      <c r="BRR18" s="583"/>
      <c r="BRS18" s="583"/>
      <c r="BRT18" s="583"/>
      <c r="BRU18" s="583"/>
      <c r="BRV18" s="583"/>
      <c r="BRW18" s="583"/>
      <c r="BRX18" s="583"/>
      <c r="BRY18" s="583"/>
      <c r="BRZ18" s="583"/>
      <c r="BSA18" s="583"/>
      <c r="BSB18" s="583"/>
      <c r="BSC18" s="583"/>
      <c r="BSD18" s="583"/>
      <c r="BSE18" s="583"/>
      <c r="BSF18" s="583"/>
      <c r="BSG18" s="583"/>
      <c r="BSH18" s="583"/>
      <c r="BSI18" s="583"/>
      <c r="BSJ18" s="583"/>
      <c r="BSK18" s="583"/>
      <c r="BSL18" s="583"/>
      <c r="BSM18" s="583"/>
      <c r="BSN18" s="583"/>
      <c r="BSO18" s="583"/>
      <c r="BSP18" s="583"/>
      <c r="BSQ18" s="583"/>
      <c r="BSR18" s="583"/>
      <c r="BSS18" s="583"/>
      <c r="BST18" s="583"/>
      <c r="BSU18" s="583"/>
      <c r="BSV18" s="583"/>
      <c r="BSW18" s="583"/>
      <c r="BSX18" s="583"/>
      <c r="BSY18" s="583"/>
      <c r="BSZ18" s="583"/>
      <c r="BTA18" s="583"/>
      <c r="BTB18" s="583"/>
      <c r="BTC18" s="583"/>
      <c r="BTD18" s="583"/>
      <c r="BTE18" s="583"/>
      <c r="BTF18" s="583"/>
      <c r="BTG18" s="583"/>
      <c r="BTH18" s="583"/>
      <c r="BTI18" s="583"/>
      <c r="BTJ18" s="583"/>
      <c r="BTK18" s="583"/>
      <c r="BTL18" s="583"/>
      <c r="BTM18" s="583"/>
      <c r="BTN18" s="583"/>
      <c r="BTO18" s="583"/>
      <c r="BTP18" s="583"/>
      <c r="BTQ18" s="583"/>
      <c r="BTR18" s="583"/>
      <c r="BTS18" s="583"/>
      <c r="BTT18" s="583"/>
      <c r="BTU18" s="583"/>
      <c r="BTV18" s="583"/>
      <c r="BTW18" s="583"/>
      <c r="BTX18" s="583"/>
      <c r="BTY18" s="583"/>
      <c r="BTZ18" s="583"/>
      <c r="BUA18" s="583"/>
      <c r="BUB18" s="583"/>
      <c r="BUC18" s="583"/>
      <c r="BUD18" s="583"/>
      <c r="BUE18" s="583"/>
      <c r="BUF18" s="583"/>
      <c r="BUG18" s="583"/>
      <c r="BUH18" s="583"/>
      <c r="BUI18" s="583"/>
      <c r="BUJ18" s="583"/>
      <c r="BUK18" s="583"/>
      <c r="BUL18" s="583"/>
      <c r="BUM18" s="583"/>
      <c r="BUN18" s="583"/>
      <c r="BUO18" s="583"/>
      <c r="BUP18" s="583"/>
      <c r="BUQ18" s="583"/>
      <c r="BUR18" s="583"/>
      <c r="BUS18" s="583"/>
      <c r="BUT18" s="583"/>
      <c r="BUU18" s="583"/>
      <c r="BUV18" s="583"/>
      <c r="BUW18" s="583"/>
      <c r="BUX18" s="583"/>
      <c r="BUY18" s="583"/>
      <c r="BUZ18" s="583"/>
      <c r="BVA18" s="583"/>
      <c r="BVB18" s="583"/>
      <c r="BVC18" s="583"/>
      <c r="BVD18" s="583"/>
      <c r="BVE18" s="583"/>
      <c r="BVF18" s="583"/>
      <c r="BVG18" s="583"/>
      <c r="BVH18" s="583"/>
      <c r="BVI18" s="583"/>
      <c r="BVJ18" s="583"/>
      <c r="BVK18" s="583"/>
      <c r="BVL18" s="583"/>
      <c r="BVM18" s="583"/>
      <c r="BVN18" s="583"/>
      <c r="BVO18" s="583"/>
      <c r="BVP18" s="583"/>
      <c r="BVQ18" s="583"/>
      <c r="BVR18" s="583"/>
      <c r="BVS18" s="583"/>
      <c r="BVT18" s="583"/>
      <c r="BVU18" s="583"/>
      <c r="BVV18" s="583"/>
      <c r="BVW18" s="583"/>
      <c r="BVX18" s="583"/>
      <c r="BVY18" s="583"/>
      <c r="BVZ18" s="583"/>
      <c r="BWA18" s="583"/>
      <c r="BWB18" s="583"/>
      <c r="BWC18" s="583"/>
      <c r="BWD18" s="583"/>
      <c r="BWE18" s="583"/>
      <c r="BWF18" s="583"/>
      <c r="BWG18" s="583"/>
      <c r="BWH18" s="583"/>
      <c r="BWI18" s="583"/>
      <c r="BWJ18" s="583"/>
      <c r="BWK18" s="583"/>
      <c r="BWL18" s="583"/>
      <c r="BWM18" s="583"/>
      <c r="BWN18" s="583"/>
      <c r="BWO18" s="583"/>
      <c r="BWP18" s="583"/>
      <c r="BWQ18" s="583"/>
      <c r="BWR18" s="583"/>
      <c r="BWS18" s="583"/>
      <c r="BWT18" s="583"/>
      <c r="BWU18" s="583"/>
      <c r="BWV18" s="583"/>
      <c r="BWW18" s="583"/>
      <c r="BWX18" s="583"/>
      <c r="BWY18" s="583"/>
      <c r="BWZ18" s="583"/>
      <c r="BXA18" s="583"/>
      <c r="BXB18" s="583"/>
      <c r="BXC18" s="583"/>
      <c r="BXD18" s="583"/>
      <c r="BXE18" s="583"/>
      <c r="BXF18" s="583"/>
      <c r="BXG18" s="583"/>
      <c r="BXH18" s="583"/>
      <c r="BXI18" s="583"/>
      <c r="BXJ18" s="583"/>
      <c r="BXK18" s="583"/>
      <c r="BXL18" s="583"/>
      <c r="BXM18" s="583"/>
      <c r="BXN18" s="583"/>
      <c r="BXO18" s="583"/>
      <c r="BXP18" s="583"/>
      <c r="BXQ18" s="583"/>
      <c r="BXR18" s="583"/>
      <c r="BXS18" s="583"/>
      <c r="BXT18" s="583"/>
      <c r="BXU18" s="583"/>
      <c r="BXV18" s="583"/>
      <c r="BXW18" s="583"/>
      <c r="BXX18" s="583"/>
      <c r="BXY18" s="583"/>
      <c r="BXZ18" s="583"/>
      <c r="BYA18" s="583"/>
      <c r="BYB18" s="583"/>
      <c r="BYC18" s="583"/>
      <c r="BYD18" s="583"/>
      <c r="BYE18" s="583"/>
      <c r="BYF18" s="583"/>
      <c r="BYG18" s="583"/>
      <c r="BYH18" s="583"/>
      <c r="BYI18" s="583"/>
      <c r="BYJ18" s="583"/>
      <c r="BYK18" s="583"/>
      <c r="BYL18" s="583"/>
      <c r="BYM18" s="583"/>
      <c r="BYN18" s="583"/>
      <c r="BYO18" s="583"/>
      <c r="BYP18" s="583"/>
      <c r="BYQ18" s="583"/>
      <c r="BYR18" s="583"/>
      <c r="BYS18" s="583"/>
      <c r="BYT18" s="583"/>
      <c r="BYU18" s="583"/>
      <c r="BYV18" s="583"/>
      <c r="BYW18" s="583"/>
      <c r="BYX18" s="583"/>
      <c r="BYY18" s="583"/>
      <c r="BYZ18" s="583"/>
      <c r="BZA18" s="583"/>
      <c r="BZB18" s="583"/>
      <c r="BZC18" s="583"/>
      <c r="BZD18" s="583"/>
      <c r="BZE18" s="583"/>
      <c r="BZF18" s="583"/>
      <c r="BZG18" s="583"/>
      <c r="BZH18" s="583"/>
      <c r="BZI18" s="583"/>
      <c r="BZJ18" s="583"/>
      <c r="BZK18" s="583"/>
      <c r="BZL18" s="583"/>
      <c r="BZM18" s="583"/>
      <c r="BZN18" s="583"/>
      <c r="BZO18" s="583"/>
      <c r="BZP18" s="583"/>
      <c r="BZQ18" s="583"/>
      <c r="BZR18" s="583"/>
      <c r="BZS18" s="583"/>
      <c r="BZT18" s="583"/>
      <c r="BZU18" s="583"/>
      <c r="BZV18" s="583"/>
      <c r="BZW18" s="583"/>
      <c r="BZX18" s="583"/>
      <c r="BZY18" s="583"/>
      <c r="BZZ18" s="583"/>
      <c r="CAA18" s="583"/>
      <c r="CAB18" s="583"/>
      <c r="CAC18" s="583"/>
      <c r="CAD18" s="583"/>
      <c r="CAE18" s="583"/>
      <c r="CAF18" s="583"/>
      <c r="CAG18" s="583"/>
      <c r="CAH18" s="583"/>
      <c r="CAI18" s="583"/>
      <c r="CAJ18" s="583"/>
      <c r="CAK18" s="583"/>
      <c r="CAL18" s="583"/>
      <c r="CAM18" s="583"/>
      <c r="CAN18" s="583"/>
      <c r="CAO18" s="583"/>
      <c r="CAP18" s="583"/>
      <c r="CAQ18" s="583"/>
      <c r="CAR18" s="583"/>
      <c r="CAS18" s="583"/>
      <c r="CAT18" s="583"/>
      <c r="CAU18" s="583"/>
      <c r="CAV18" s="583"/>
      <c r="CAW18" s="583"/>
      <c r="CAX18" s="583"/>
      <c r="CAY18" s="583"/>
      <c r="CAZ18" s="583"/>
      <c r="CBA18" s="583"/>
      <c r="CBB18" s="583"/>
      <c r="CBC18" s="583"/>
      <c r="CBD18" s="583"/>
      <c r="CBE18" s="583"/>
      <c r="CBF18" s="583"/>
      <c r="CBG18" s="583"/>
      <c r="CBH18" s="583"/>
      <c r="CBI18" s="583"/>
      <c r="CBJ18" s="583"/>
      <c r="CBK18" s="583"/>
      <c r="CBL18" s="583"/>
      <c r="CBM18" s="583"/>
      <c r="CBN18" s="583"/>
      <c r="CBO18" s="583"/>
      <c r="CBP18" s="583"/>
      <c r="CBQ18" s="583"/>
      <c r="CBR18" s="583"/>
      <c r="CBS18" s="583"/>
      <c r="CBT18" s="583"/>
      <c r="CBU18" s="583"/>
      <c r="CBV18" s="583"/>
      <c r="CBW18" s="583"/>
      <c r="CBX18" s="583"/>
      <c r="CBY18" s="583"/>
      <c r="CBZ18" s="583"/>
    </row>
    <row r="19" spans="1:2106">
      <c r="A19" s="611"/>
      <c r="B19" s="617"/>
      <c r="C19" s="613">
        <f t="shared" si="0"/>
        <v>0</v>
      </c>
      <c r="D19" s="613">
        <f>IF(B19&gt;0,VLOOKUP(A19,'Lista Suspensa'!$A$1:$F$92,3,),0)</f>
        <v>0</v>
      </c>
      <c r="E19" s="613">
        <f>IF(OR(B19&gt;0,C19&gt;0),VLOOKUP(A19,'Lista Suspensa'!$A$1:$F$90,4,),0)</f>
        <v>0</v>
      </c>
      <c r="F19" s="613">
        <f>IF(OR(B19&gt;0,C19&gt;0),VLOOKUP(A19,'Lista Suspensa'!$A$1:$F$90,5,),0)</f>
        <v>0</v>
      </c>
      <c r="G19" s="402">
        <f>IF(OR(B19&gt;0,C19&gt;0),VLOOKUP(A19,'Lista Suspensa'!$A$1:$F$90,6,),0)</f>
        <v>0</v>
      </c>
      <c r="H19" s="617"/>
      <c r="I19" s="613">
        <f t="shared" si="12"/>
        <v>0</v>
      </c>
      <c r="J19" s="613">
        <f>IF(H19&gt;0,VLOOKUP(A19,'Lista Suspensa'!$A$1:$F$92,3,),0)</f>
        <v>0</v>
      </c>
      <c r="K19" s="613">
        <f>IF(OR(H19&gt;0,I19&gt;0),VLOOKUP(A19,'Lista Suspensa'!$A$1:$F$90,4,),0)</f>
        <v>0</v>
      </c>
      <c r="L19" s="613">
        <f>IF(OR(H19&gt;0,I19&gt;0),VLOOKUP(A19,'Lista Suspensa'!$A$1:$F$90,5,),0)</f>
        <v>0</v>
      </c>
      <c r="M19" s="402">
        <f>IF(OR(H19&gt;0,I19&gt;0),VLOOKUP(A19,'Lista Suspensa'!$A$1:$F$90,6,),0)</f>
        <v>0</v>
      </c>
      <c r="N19" s="626"/>
      <c r="O19" s="613">
        <f t="shared" si="1"/>
        <v>0</v>
      </c>
      <c r="P19" s="613">
        <f>IF(N19&gt;0,VLOOKUP(A19,'Lista Suspensa'!$A$1:$F$92,3,),0)</f>
        <v>0</v>
      </c>
      <c r="Q19" s="613">
        <f>IF(OR(N19&gt;0,O19&gt;0),VLOOKUP(A19,'Lista Suspensa'!$A$1:$F$90,4,),0)</f>
        <v>0</v>
      </c>
      <c r="R19" s="613">
        <f>IF(OR(N19&gt;0,O19&gt;0),VLOOKUP(A19,'Lista Suspensa'!$A$1:$F$90,5,),0)</f>
        <v>0</v>
      </c>
      <c r="S19" s="402">
        <f>IF(OR(N19&gt;0,O19&gt;0),VLOOKUP(A19,'Lista Suspensa'!$A$1:$F$90,6,),0)</f>
        <v>0</v>
      </c>
      <c r="T19" s="626"/>
      <c r="U19" s="613">
        <f t="shared" si="2"/>
        <v>0</v>
      </c>
      <c r="V19" s="613">
        <f>IF(T19&gt;0,VLOOKUP(A19,'Lista Suspensa'!$A$1:$F$92,3,),0)</f>
        <v>0</v>
      </c>
      <c r="W19" s="613">
        <f>IF(OR(T19&gt;0,U19&gt;0),VLOOKUP(A19,'Lista Suspensa'!$A$1:$F$90,4,),0)</f>
        <v>0</v>
      </c>
      <c r="X19" s="613">
        <f>IF(OR(T19&gt;0,U19&gt;0),VLOOKUP(A19,'Lista Suspensa'!$A$1:$F$90,5,),0)</f>
        <v>0</v>
      </c>
      <c r="Y19" s="402">
        <f>IF(OR(T19&gt;0,U19&gt;0),VLOOKUP(A19,'Lista Suspensa'!$A$1:$F$90,6,),0)</f>
        <v>0</v>
      </c>
      <c r="Z19" s="617"/>
      <c r="AA19" s="613">
        <f t="shared" si="3"/>
        <v>0</v>
      </c>
      <c r="AB19" s="613">
        <f>IF(Z19&gt;0,VLOOKUP(A19,'Lista Suspensa'!$A$1:$F$92,3,),0)</f>
        <v>0</v>
      </c>
      <c r="AC19" s="613">
        <f>IF(OR(Z19&gt;0,AA19&gt;0),VLOOKUP(A19,'Lista Suspensa'!$A$1:$F$90,4,),0)</f>
        <v>0</v>
      </c>
      <c r="AD19" s="613">
        <f>IF(OR(Z19&gt;0,AA19&gt;0),VLOOKUP(A19,'Lista Suspensa'!$A$1:$F$90,5,),0)</f>
        <v>0</v>
      </c>
      <c r="AE19" s="402">
        <f>IF(OR(Z19&gt;0,AA19&gt;0),VLOOKUP(A19,'Lista Suspensa'!$A$1:$F$90,6,),0)</f>
        <v>0</v>
      </c>
      <c r="AF19" s="617"/>
      <c r="AG19" s="613">
        <f t="shared" si="13"/>
        <v>0</v>
      </c>
      <c r="AH19" s="613">
        <f>IF(AF19&gt;0,VLOOKUP(A19,'Lista Suspensa'!$A$1:$F$92,3,),0)</f>
        <v>0</v>
      </c>
      <c r="AI19" s="613">
        <f>IF(OR(AF19&gt;0,AG19&gt;0),VLOOKUP(A19,'Lista Suspensa'!$A$1:$F$90,4,),0)</f>
        <v>0</v>
      </c>
      <c r="AJ19" s="613">
        <f>IF(OR(AF19&gt;0,AG19&gt;0),VLOOKUP(A19,'Lista Suspensa'!$A$1:$F$90,5,),0)</f>
        <v>0</v>
      </c>
      <c r="AK19" s="402">
        <f>IF(OR(AF19&gt;0,AG19&gt;0),VLOOKUP(A19,'Lista Suspensa'!$A$1:$F$90,6,),0)</f>
        <v>0</v>
      </c>
      <c r="AL19" s="626"/>
      <c r="AM19" s="613">
        <f t="shared" si="4"/>
        <v>0</v>
      </c>
      <c r="AN19" s="613">
        <f>IF(AL19&gt;0,VLOOKUP(A19,'Lista Suspensa'!$A$1:$F$92,3,),0)</f>
        <v>0</v>
      </c>
      <c r="AO19" s="613">
        <f>IF(OR(AL19&gt;0,AM19&gt;0),VLOOKUP(A19,'Lista Suspensa'!$A$1:$F$90,4,),0)</f>
        <v>0</v>
      </c>
      <c r="AP19" s="613">
        <f>IF(OR(AL19&gt;0,AM19&gt;0),VLOOKUP(A19,'Lista Suspensa'!$A$1:$F$90,5,),0)</f>
        <v>0</v>
      </c>
      <c r="AQ19" s="402">
        <f>IF(OR(AL19&gt;0,AM19&gt;0),VLOOKUP(A19,'Lista Suspensa'!$A$1:$F$90,6,),0)</f>
        <v>0</v>
      </c>
      <c r="AR19" s="626"/>
      <c r="AS19" s="613">
        <f t="shared" si="14"/>
        <v>0</v>
      </c>
      <c r="AT19" s="613">
        <f>IF(AR19&gt;0,VLOOKUP(A19,'Lista Suspensa'!$A$1:$F$92,3,),0)</f>
        <v>0</v>
      </c>
      <c r="AU19" s="613">
        <f>IF(OR(AR19&gt;0,AS19&gt;0),VLOOKUP(A19,'Lista Suspensa'!$A$1:$F$90,4,),0)</f>
        <v>0</v>
      </c>
      <c r="AV19" s="613">
        <f>IF(OR(AR19&gt;0,AS19&gt;0),VLOOKUP(A19,'Lista Suspensa'!$A$1:$F$90,5,),0)</f>
        <v>0</v>
      </c>
      <c r="AW19" s="37">
        <f>IF(OR(AR19&gt;0,AS19&gt;0),VLOOKUP(A19,'Lista Suspensa'!$A$1:$F$90,6,),0)</f>
        <v>0</v>
      </c>
      <c r="AX19" s="626"/>
      <c r="AY19" s="613">
        <f t="shared" si="5"/>
        <v>0</v>
      </c>
      <c r="AZ19" s="613">
        <f>IF(AX19&gt;0,VLOOKUP(A19,'Lista Suspensa'!$A$1:$F$92,3,),0)</f>
        <v>0</v>
      </c>
      <c r="BA19" s="613">
        <f>IF(OR(AX19&gt;0,AY19&gt;0),VLOOKUP(A19,'Lista Suspensa'!$A$1:$F$90,4,),0)</f>
        <v>0</v>
      </c>
      <c r="BB19" s="613">
        <f>IF(OR(AX19&gt;0,AY19&gt;0),VLOOKUP(A19,'Lista Suspensa'!$A$1:$F$90,5,),0)</f>
        <v>0</v>
      </c>
      <c r="BC19" s="37">
        <f>IF(OR(AX19&gt;0,AY19&gt;0),VLOOKUP(A19,'Lista Suspensa'!$A$1:$F$90,6,),0)</f>
        <v>0</v>
      </c>
      <c r="BD19" s="626"/>
      <c r="BE19" s="613">
        <f t="shared" si="6"/>
        <v>0</v>
      </c>
      <c r="BF19" s="613">
        <f>IF(BD19&gt;0,VLOOKUP(A19,'Lista Suspensa'!$A$1:$F$92,3,),0)</f>
        <v>0</v>
      </c>
      <c r="BG19" s="613">
        <f>IF(OR(BD19&gt;0,BE19&gt;0),VLOOKUP(A19,'Lista Suspensa'!$A$1:$F$90,4,),0)</f>
        <v>0</v>
      </c>
      <c r="BH19" s="613">
        <f>IF(OR(BD19&gt;0,BE19&gt;0),VLOOKUP(A19,'Lista Suspensa'!$A$1:$F$90,5,),0)</f>
        <v>0</v>
      </c>
      <c r="BI19" s="37">
        <f>IF(OR(BD19&gt;0,BE19&gt;0),VLOOKUP(A19,'Lista Suspensa'!$A$1:$F$90,6,),0)</f>
        <v>0</v>
      </c>
      <c r="BJ19" s="626"/>
      <c r="BK19" s="613">
        <f t="shared" si="7"/>
        <v>0</v>
      </c>
      <c r="BL19" s="613">
        <f>IF(BJ19&gt;0,VLOOKUP(A19,'Lista Suspensa'!$A$1:$F$92,3,),0)</f>
        <v>0</v>
      </c>
      <c r="BM19" s="613">
        <f>IF(OR(BJ19&gt;0,BK19&gt;0),VLOOKUP(A19,'Lista Suspensa'!$A$1:$F$90,4,),0)</f>
        <v>0</v>
      </c>
      <c r="BN19" s="613">
        <f>IF(OR(BJ19&gt;0,BK19&gt;0),VLOOKUP(A19,'Lista Suspensa'!$A$1:$F$90,5,),0)</f>
        <v>0</v>
      </c>
      <c r="BO19" s="37">
        <f>IF(OR(BJ19&gt;0,BK19&gt;0),VLOOKUP(A19,'Lista Suspensa'!$A$1:$F$90,6,),0)</f>
        <v>0</v>
      </c>
      <c r="BP19" s="626"/>
      <c r="BQ19" s="613">
        <f t="shared" si="8"/>
        <v>0</v>
      </c>
      <c r="BR19" s="613">
        <f>IF(BP19&gt;0,VLOOKUP(A19,'Lista Suspensa'!$A$1:$F$92,3,),0)</f>
        <v>0</v>
      </c>
      <c r="BS19" s="613">
        <f>IF(OR(BP19&gt;0,BQ19&gt;0),VLOOKUP(A19,'Lista Suspensa'!$A$1:$F$90,4,),0)</f>
        <v>0</v>
      </c>
      <c r="BT19" s="613">
        <f>IF(OR(BP19&gt;0,BQ19&gt;0),VLOOKUP(A19,'Lista Suspensa'!$A$1:$F$90,5,),0)</f>
        <v>0</v>
      </c>
      <c r="BU19" s="37">
        <f>IF(OR(BP19&gt;0,BQ19&gt;0),VLOOKUP(A19,'Lista Suspensa'!$A$1:$F$90,6,),0)</f>
        <v>0</v>
      </c>
      <c r="BV19" s="626"/>
      <c r="BW19" s="613">
        <f t="shared" si="9"/>
        <v>0</v>
      </c>
      <c r="BX19" s="613">
        <f>IF(BV19&gt;0,VLOOKUP(A19,'Lista Suspensa'!$A$1:$F$92,3,),0)</f>
        <v>0</v>
      </c>
      <c r="BY19" s="613">
        <f>IF(OR(BV19&gt;0,BW19&gt;0),VLOOKUP(A19,'Lista Suspensa'!$A$1:$F$90,4,),0)</f>
        <v>0</v>
      </c>
      <c r="BZ19" s="613">
        <f>IF(OR(BV19&gt;0,BW19&gt;0),VLOOKUP(A19,'Lista Suspensa'!$A$1:$F$90,5,),0)</f>
        <v>0</v>
      </c>
      <c r="CA19" s="37">
        <f>IF(OR(BV19&gt;0,BW19&gt;0),VLOOKUP(A19,'Lista Suspensa'!$A$1:$F$90,6,),0)</f>
        <v>0</v>
      </c>
      <c r="CB19" s="626"/>
      <c r="CC19" s="613">
        <f t="shared" si="10"/>
        <v>0</v>
      </c>
      <c r="CD19" s="613">
        <f>IF(CB19&gt;0,VLOOKUP(A19,'Lista Suspensa'!$A$1:$F$92,3,),0)</f>
        <v>0</v>
      </c>
      <c r="CE19" s="613">
        <f>IF(OR(CB19&gt;0,CC19&gt;0),VLOOKUP(A19,'Lista Suspensa'!$A$1:$F$90,4,),0)</f>
        <v>0</v>
      </c>
      <c r="CF19" s="613">
        <f>IF(OR(CB19&gt;0,CC19&gt;0),VLOOKUP(A19,'Lista Suspensa'!$A$1:$F$90,5,),0)</f>
        <v>0</v>
      </c>
      <c r="CG19" s="37">
        <f>IF(OR(CB19&gt;0,CC19&gt;0),VLOOKUP(A19,'Lista Suspensa'!$A$1:$F$90,6,),0)</f>
        <v>0</v>
      </c>
      <c r="CH19" s="626"/>
      <c r="CI19" s="613">
        <f t="shared" si="11"/>
        <v>0</v>
      </c>
      <c r="CJ19" s="613">
        <f>IF(CH19&gt;0,VLOOKUP(A19,'Lista Suspensa'!$A$1:$F$92,3,),0)</f>
        <v>0</v>
      </c>
      <c r="CK19" s="613">
        <f>IF(OR(CH19&gt;0,CI19&gt;0),VLOOKUP(A19,'Lista Suspensa'!$A$1:$F$90,4,),0)</f>
        <v>0</v>
      </c>
      <c r="CL19" s="613">
        <f>IF(OR(CH19&gt;0,CI19&gt;0),VLOOKUP(A19,'Lista Suspensa'!$A$1:$F$90,5,),0)</f>
        <v>0</v>
      </c>
      <c r="CM19" s="636">
        <f>IF(OR(CH19&gt;0,CI19&gt;0),VLOOKUP(A19,'Lista Suspensa'!$A$1:$F$90,6,),0)</f>
        <v>0</v>
      </c>
      <c r="CN19" s="645"/>
      <c r="CO19" s="403">
        <f t="shared" si="15"/>
        <v>0</v>
      </c>
      <c r="CP19" s="756">
        <f>IF(CN19&gt;0,VLOOKUP(A19,'Lista Suspensa'!$A$1:$F$92,3,),0)</f>
        <v>0</v>
      </c>
      <c r="CQ19" s="641">
        <f>IF(OR(CN19&gt;0,CO19&gt;0),VLOOKUP(A19,'Lista Suspensa'!$A$1:$F$90,6,),0)</f>
        <v>0</v>
      </c>
      <c r="CR19" s="628"/>
      <c r="CS19" s="628"/>
      <c r="CT19" s="628"/>
      <c r="CU19" s="628"/>
      <c r="CV19" s="628"/>
      <c r="CW19" s="628"/>
      <c r="CX19" s="628"/>
      <c r="CY19" s="628"/>
      <c r="CZ19" s="628"/>
      <c r="DA19" s="628"/>
      <c r="DB19" s="628"/>
      <c r="DC19" s="628"/>
      <c r="DD19" s="628"/>
      <c r="DE19" s="628"/>
      <c r="DF19" s="628"/>
      <c r="DG19" s="628"/>
      <c r="DH19" s="628"/>
    </row>
    <row r="20" spans="1:2106" s="588" customFormat="1">
      <c r="A20" s="614"/>
      <c r="B20" s="618"/>
      <c r="C20" s="616">
        <f t="shared" si="0"/>
        <v>0</v>
      </c>
      <c r="D20" s="616">
        <f>IF(B20&gt;0,VLOOKUP(A20,'Lista Suspensa'!$A$1:$F$92,3,),0)</f>
        <v>0</v>
      </c>
      <c r="E20" s="616">
        <f>IF(OR(B20&gt;0,C20&gt;0),VLOOKUP(A20,'Lista Suspensa'!$A$1:$F$90,4,),0)</f>
        <v>0</v>
      </c>
      <c r="F20" s="616">
        <f>IF(OR(B20&gt;0,C20&gt;0),VLOOKUP(A20,'Lista Suspensa'!$A$1:$F$90,5,),0)</f>
        <v>0</v>
      </c>
      <c r="G20" s="587">
        <f>IF(OR(B20&gt;0,C20&gt;0),VLOOKUP(A20,'Lista Suspensa'!$A$1:$F$90,6,),0)</f>
        <v>0</v>
      </c>
      <c r="H20" s="618"/>
      <c r="I20" s="623">
        <f t="shared" si="12"/>
        <v>0</v>
      </c>
      <c r="J20" s="616">
        <f>IF(H20&gt;0,VLOOKUP(A20,'Lista Suspensa'!$A$1:$F$92,3,),0)</f>
        <v>0</v>
      </c>
      <c r="K20" s="616">
        <f>IF(OR(H20&gt;0,I20&gt;0),VLOOKUP(A20,'Lista Suspensa'!$A$1:$F$90,4,),0)</f>
        <v>0</v>
      </c>
      <c r="L20" s="616">
        <f>IF(OR(H20&gt;0,I20&gt;0),VLOOKUP(A20,'Lista Suspensa'!$A$1:$F$90,5,),0)</f>
        <v>0</v>
      </c>
      <c r="M20" s="587">
        <f>IF(OR(H20&gt;0,I20&gt;0),VLOOKUP(A20,'Lista Suspensa'!$A$1:$F$90,6,),0)</f>
        <v>0</v>
      </c>
      <c r="N20" s="618"/>
      <c r="O20" s="623">
        <f t="shared" si="1"/>
        <v>0</v>
      </c>
      <c r="P20" s="616">
        <f>IF(N20&gt;0,VLOOKUP(A20,'Lista Suspensa'!$A$1:$F$92,3,),0)</f>
        <v>0</v>
      </c>
      <c r="Q20" s="616">
        <f>IF(OR(N20&gt;0,O20&gt;0),VLOOKUP(A20,'Lista Suspensa'!$A$1:$F$90,4,),0)</f>
        <v>0</v>
      </c>
      <c r="R20" s="616">
        <f>IF(OR(N20&gt;0,O20&gt;0),VLOOKUP(A20,'Lista Suspensa'!$A$1:$F$90,5,),0)</f>
        <v>0</v>
      </c>
      <c r="S20" s="587">
        <f>IF(OR(N20&gt;0,O20&gt;0),VLOOKUP(A20,'Lista Suspensa'!$A$1:$F$90,6,),0)</f>
        <v>0</v>
      </c>
      <c r="T20" s="618"/>
      <c r="U20" s="623">
        <f t="shared" si="2"/>
        <v>0</v>
      </c>
      <c r="V20" s="616">
        <f>IF(T20&gt;0,VLOOKUP(A20,'Lista Suspensa'!$A$1:$F$92,3,),0)</f>
        <v>0</v>
      </c>
      <c r="W20" s="616">
        <f>IF(OR(T20&gt;0,U20&gt;0),VLOOKUP(A20,'Lista Suspensa'!$A$1:$F$90,4,),0)</f>
        <v>0</v>
      </c>
      <c r="X20" s="616">
        <f>IF(OR(T20&gt;0,U20&gt;0),VLOOKUP(A20,'Lista Suspensa'!$A$1:$F$90,5,),0)</f>
        <v>0</v>
      </c>
      <c r="Y20" s="587">
        <f>IF(OR(T20&gt;0,U20&gt;0),VLOOKUP(A20,'Lista Suspensa'!$A$1:$F$90,6,),0)</f>
        <v>0</v>
      </c>
      <c r="Z20" s="618"/>
      <c r="AA20" s="623">
        <f t="shared" si="3"/>
        <v>0</v>
      </c>
      <c r="AB20" s="616">
        <f>IF(Z20&gt;0,VLOOKUP(A20,'Lista Suspensa'!$A$1:$F$92,3,),0)</f>
        <v>0</v>
      </c>
      <c r="AC20" s="616">
        <f>IF(OR(Z20&gt;0,AA20&gt;0),VLOOKUP(A20,'Lista Suspensa'!$A$1:$F$90,4,),0)</f>
        <v>0</v>
      </c>
      <c r="AD20" s="616">
        <f>IF(OR(Z20&gt;0,AA20&gt;0),VLOOKUP(A20,'Lista Suspensa'!$A$1:$F$90,5,),0)</f>
        <v>0</v>
      </c>
      <c r="AE20" s="587">
        <f>IF(OR(Z20&gt;0,AA20&gt;0),VLOOKUP(A20,'Lista Suspensa'!$A$1:$F$90,6,),0)</f>
        <v>0</v>
      </c>
      <c r="AF20" s="618"/>
      <c r="AG20" s="623">
        <f t="shared" si="13"/>
        <v>0</v>
      </c>
      <c r="AH20" s="616">
        <f>IF(AF20&gt;0,VLOOKUP(A20,'Lista Suspensa'!$A$1:$F$92,3,),0)</f>
        <v>0</v>
      </c>
      <c r="AI20" s="616">
        <f>IF(OR(AF20&gt;0,AG20&gt;0),VLOOKUP(A20,'Lista Suspensa'!$A$1:$F$90,4,),0)</f>
        <v>0</v>
      </c>
      <c r="AJ20" s="616">
        <f>IF(OR(AF20&gt;0,AG20&gt;0),VLOOKUP(A20,'Lista Suspensa'!$A$1:$F$90,5,),0)</f>
        <v>0</v>
      </c>
      <c r="AK20" s="587">
        <f>IF(OR(AF20&gt;0,AG20&gt;0),VLOOKUP(A20,'Lista Suspensa'!$A$1:$F$90,6,),0)</f>
        <v>0</v>
      </c>
      <c r="AL20" s="618"/>
      <c r="AM20" s="623">
        <f t="shared" si="4"/>
        <v>0</v>
      </c>
      <c r="AN20" s="616">
        <f>IF(AL20&gt;0,VLOOKUP(A20,'Lista Suspensa'!$A$1:$F$92,3,),0)</f>
        <v>0</v>
      </c>
      <c r="AO20" s="616">
        <f>IF(OR(AL20&gt;0,AM20&gt;0),VLOOKUP(A20,'Lista Suspensa'!$A$1:$F$90,4,),0)</f>
        <v>0</v>
      </c>
      <c r="AP20" s="616">
        <f>IF(OR(AL20&gt;0,AM20&gt;0),VLOOKUP(A20,'Lista Suspensa'!$A$1:$F$90,5,),0)</f>
        <v>0</v>
      </c>
      <c r="AQ20" s="587">
        <f>IF(OR(AL20&gt;0,AM20&gt;0),VLOOKUP(A20,'Lista Suspensa'!$A$1:$F$90,6,),0)</f>
        <v>0</v>
      </c>
      <c r="AR20" s="618"/>
      <c r="AS20" s="623">
        <f t="shared" si="14"/>
        <v>0</v>
      </c>
      <c r="AT20" s="616">
        <f>IF(AR20&gt;0,VLOOKUP(A20,'Lista Suspensa'!$A$1:$F$92,3,),0)</f>
        <v>0</v>
      </c>
      <c r="AU20" s="616">
        <f>IF(OR(AR20&gt;0,AS20&gt;0),VLOOKUP(A20,'Lista Suspensa'!$A$1:$F$90,4,),0)</f>
        <v>0</v>
      </c>
      <c r="AV20" s="616">
        <f>IF(OR(AR20&gt;0,AS20&gt;0),VLOOKUP(A20,'Lista Suspensa'!$A$1:$F$90,5,),0)</f>
        <v>0</v>
      </c>
      <c r="AW20" s="586">
        <f>IF(OR(AR20&gt;0,AS20&gt;0),VLOOKUP(A20,'Lista Suspensa'!$A$1:$F$90,6,),0)</f>
        <v>0</v>
      </c>
      <c r="AX20" s="618"/>
      <c r="AY20" s="623">
        <f t="shared" si="5"/>
        <v>0</v>
      </c>
      <c r="AZ20" s="616">
        <f>IF(AX20&gt;0,VLOOKUP(A20,'Lista Suspensa'!$A$1:$F$92,3,),0)</f>
        <v>0</v>
      </c>
      <c r="BA20" s="616">
        <f>IF(OR(AX20&gt;0,AY20&gt;0),VLOOKUP(A20,'Lista Suspensa'!$A$1:$F$90,4,),0)</f>
        <v>0</v>
      </c>
      <c r="BB20" s="616">
        <f>IF(OR(AX20&gt;0,AY20&gt;0),VLOOKUP(A20,'Lista Suspensa'!$A$1:$F$90,5,),0)</f>
        <v>0</v>
      </c>
      <c r="BC20" s="586">
        <f>IF(OR(AX20&gt;0,AY20&gt;0),VLOOKUP(A20,'Lista Suspensa'!$A$1:$F$90,6,),0)</f>
        <v>0</v>
      </c>
      <c r="BD20" s="618"/>
      <c r="BE20" s="623">
        <f t="shared" si="6"/>
        <v>0</v>
      </c>
      <c r="BF20" s="616">
        <f>IF(BD20&gt;0,VLOOKUP(A20,'Lista Suspensa'!$A$1:$F$92,3,),0)</f>
        <v>0</v>
      </c>
      <c r="BG20" s="616">
        <f>IF(OR(BD20&gt;0,BE20&gt;0),VLOOKUP(A20,'Lista Suspensa'!$A$1:$F$90,4,),0)</f>
        <v>0</v>
      </c>
      <c r="BH20" s="616">
        <f>IF(OR(BD20&gt;0,BE20&gt;0),VLOOKUP(A20,'Lista Suspensa'!$A$1:$F$90,5,),0)</f>
        <v>0</v>
      </c>
      <c r="BI20" s="586">
        <f>IF(OR(BD20&gt;0,BE20&gt;0),VLOOKUP(A20,'Lista Suspensa'!$A$1:$F$90,6,),0)</f>
        <v>0</v>
      </c>
      <c r="BJ20" s="618"/>
      <c r="BK20" s="623">
        <f t="shared" si="7"/>
        <v>0</v>
      </c>
      <c r="BL20" s="616">
        <f>IF(BJ20&gt;0,VLOOKUP(A20,'Lista Suspensa'!$A$1:$F$92,3,),0)</f>
        <v>0</v>
      </c>
      <c r="BM20" s="616">
        <f>IF(OR(BJ20&gt;0,BK20&gt;0),VLOOKUP(A20,'Lista Suspensa'!$A$1:$F$90,4,),0)</f>
        <v>0</v>
      </c>
      <c r="BN20" s="616">
        <f>IF(OR(BJ20&gt;0,BK20&gt;0),VLOOKUP(A20,'Lista Suspensa'!$A$1:$F$90,5,),0)</f>
        <v>0</v>
      </c>
      <c r="BO20" s="586">
        <f>IF(OR(BJ20&gt;0,BK20&gt;0),VLOOKUP(A20,'Lista Suspensa'!$A$1:$F$90,6,),0)</f>
        <v>0</v>
      </c>
      <c r="BP20" s="618"/>
      <c r="BQ20" s="623">
        <f t="shared" si="8"/>
        <v>0</v>
      </c>
      <c r="BR20" s="616">
        <f>IF(BP20&gt;0,VLOOKUP(A20,'Lista Suspensa'!$A$1:$F$92,3,),0)</f>
        <v>0</v>
      </c>
      <c r="BS20" s="616">
        <f>IF(OR(BP20&gt;0,BQ20&gt;0),VLOOKUP(A20,'Lista Suspensa'!$A$1:$F$90,4,),0)</f>
        <v>0</v>
      </c>
      <c r="BT20" s="616">
        <f>IF(OR(BP20&gt;0,BQ20&gt;0),VLOOKUP(A20,'Lista Suspensa'!$A$1:$F$90,5,),0)</f>
        <v>0</v>
      </c>
      <c r="BU20" s="586">
        <f>IF(OR(BP20&gt;0,BQ20&gt;0),VLOOKUP(A20,'Lista Suspensa'!$A$1:$F$90,6,),0)</f>
        <v>0</v>
      </c>
      <c r="BV20" s="618"/>
      <c r="BW20" s="623">
        <f t="shared" si="9"/>
        <v>0</v>
      </c>
      <c r="BX20" s="616">
        <f>IF(BV20&gt;0,VLOOKUP(A20,'Lista Suspensa'!$A$1:$F$92,3,),0)</f>
        <v>0</v>
      </c>
      <c r="BY20" s="616">
        <f>IF(OR(BV20&gt;0,BW20&gt;0),VLOOKUP(A20,'Lista Suspensa'!$A$1:$F$90,4,),0)</f>
        <v>0</v>
      </c>
      <c r="BZ20" s="616">
        <f>IF(OR(BV20&gt;0,BW20&gt;0),VLOOKUP(A20,'Lista Suspensa'!$A$1:$F$90,5,),0)</f>
        <v>0</v>
      </c>
      <c r="CA20" s="586">
        <f>IF(OR(BV20&gt;0,BW20&gt;0),VLOOKUP(A20,'Lista Suspensa'!$A$1:$F$90,6,),0)</f>
        <v>0</v>
      </c>
      <c r="CB20" s="618"/>
      <c r="CC20" s="623">
        <f t="shared" si="10"/>
        <v>0</v>
      </c>
      <c r="CD20" s="616">
        <f>IF(CB20&gt;0,VLOOKUP(A20,'Lista Suspensa'!$A$1:$F$92,3,),0)</f>
        <v>0</v>
      </c>
      <c r="CE20" s="616">
        <f>IF(OR(CB20&gt;0,CC20&gt;0),VLOOKUP(A20,'Lista Suspensa'!$A$1:$F$90,4,),0)</f>
        <v>0</v>
      </c>
      <c r="CF20" s="616">
        <f>IF(OR(CB20&gt;0,CC20&gt;0),VLOOKUP(A20,'Lista Suspensa'!$A$1:$F$90,5,),0)</f>
        <v>0</v>
      </c>
      <c r="CG20" s="586">
        <f>IF(OR(CB20&gt;0,CC20&gt;0),VLOOKUP(A20,'Lista Suspensa'!$A$1:$F$90,6,),0)</f>
        <v>0</v>
      </c>
      <c r="CH20" s="618"/>
      <c r="CI20" s="623">
        <f t="shared" si="11"/>
        <v>0</v>
      </c>
      <c r="CJ20" s="616">
        <f>IF(CH20&gt;0,VLOOKUP(A20,'Lista Suspensa'!$A$1:$F$92,3,),0)</f>
        <v>0</v>
      </c>
      <c r="CK20" s="616">
        <f>IF(OR(CH20&gt;0,CI20&gt;0),VLOOKUP(A20,'Lista Suspensa'!$A$1:$F$90,4,),0)</f>
        <v>0</v>
      </c>
      <c r="CL20" s="616">
        <f>IF(OR(CH20&gt;0,CI20&gt;0),VLOOKUP(A20,'Lista Suspensa'!$A$1:$F$90,5,),0)</f>
        <v>0</v>
      </c>
      <c r="CM20" s="637">
        <f>IF(OR(CH20&gt;0,CI20&gt;0),VLOOKUP(A20,'Lista Suspensa'!$A$1:$F$90,6,),0)</f>
        <v>0</v>
      </c>
      <c r="CN20" s="646"/>
      <c r="CO20" s="403">
        <f t="shared" si="15"/>
        <v>0</v>
      </c>
      <c r="CP20" s="756">
        <f>IF(CN20&gt;0,VLOOKUP(A20,'Lista Suspensa'!$A$1:$F$92,3,),0)</f>
        <v>0</v>
      </c>
      <c r="CQ20" s="643">
        <f>IF(OR(CN20&gt;0,CO20&gt;0),VLOOKUP(A20,'Lista Suspensa'!$A$1:$F$90,6,),0)</f>
        <v>0</v>
      </c>
      <c r="CR20" s="628"/>
      <c r="CS20" s="628"/>
      <c r="CT20" s="628"/>
      <c r="CU20" s="628"/>
      <c r="CV20" s="628"/>
      <c r="CW20" s="628"/>
      <c r="CX20" s="628"/>
      <c r="CY20" s="628"/>
      <c r="CZ20" s="628"/>
      <c r="DA20" s="628"/>
      <c r="DB20" s="628"/>
      <c r="DC20" s="628"/>
      <c r="DD20" s="628"/>
      <c r="DE20" s="628"/>
      <c r="DF20" s="628"/>
      <c r="DG20" s="628"/>
      <c r="DH20" s="628"/>
      <c r="DI20" s="583"/>
      <c r="DJ20" s="583"/>
      <c r="DK20" s="583"/>
      <c r="DL20" s="583"/>
      <c r="DM20" s="583"/>
      <c r="DN20" s="583"/>
      <c r="DO20" s="583"/>
      <c r="DP20" s="583"/>
      <c r="DQ20" s="583"/>
      <c r="DR20" s="583"/>
      <c r="DS20" s="583"/>
      <c r="DT20" s="583"/>
      <c r="DU20" s="583"/>
      <c r="DV20" s="583"/>
      <c r="DW20" s="583"/>
      <c r="DX20" s="583"/>
      <c r="DY20" s="583"/>
      <c r="DZ20" s="583"/>
      <c r="EA20" s="583"/>
      <c r="EB20" s="583"/>
      <c r="EC20" s="583"/>
      <c r="ED20" s="583"/>
      <c r="EE20" s="583"/>
      <c r="EF20" s="583"/>
      <c r="EG20" s="583"/>
      <c r="EH20" s="583"/>
      <c r="EI20" s="583"/>
      <c r="EJ20" s="583"/>
      <c r="EK20" s="583"/>
      <c r="EL20" s="583"/>
      <c r="EM20" s="583"/>
      <c r="EN20" s="583"/>
      <c r="EO20" s="583"/>
      <c r="EP20" s="583"/>
      <c r="EQ20" s="583"/>
      <c r="ER20" s="583"/>
      <c r="ES20" s="583"/>
      <c r="ET20" s="583"/>
      <c r="EU20" s="583"/>
      <c r="EV20" s="583"/>
      <c r="EW20" s="583"/>
      <c r="EX20" s="583"/>
      <c r="EY20" s="583"/>
      <c r="EZ20" s="583"/>
      <c r="FA20" s="583"/>
      <c r="FB20" s="583"/>
      <c r="FC20" s="583"/>
      <c r="FD20" s="583"/>
      <c r="FE20" s="583"/>
      <c r="FF20" s="583"/>
      <c r="FG20" s="583"/>
      <c r="FH20" s="583"/>
      <c r="FI20" s="583"/>
      <c r="FJ20" s="583"/>
      <c r="FK20" s="583"/>
      <c r="FL20" s="583"/>
      <c r="FM20" s="583"/>
      <c r="FN20" s="583"/>
      <c r="FO20" s="583"/>
      <c r="FP20" s="583"/>
      <c r="FQ20" s="583"/>
      <c r="FR20" s="583"/>
      <c r="FS20" s="583"/>
      <c r="FT20" s="583"/>
      <c r="FU20" s="583"/>
      <c r="FV20" s="583"/>
      <c r="FW20" s="583"/>
      <c r="FX20" s="583"/>
      <c r="FY20" s="583"/>
      <c r="FZ20" s="583"/>
      <c r="GA20" s="583"/>
      <c r="GB20" s="583"/>
      <c r="GC20" s="583"/>
      <c r="GD20" s="583"/>
      <c r="GE20" s="583"/>
      <c r="GF20" s="583"/>
      <c r="GG20" s="583"/>
      <c r="GH20" s="583"/>
      <c r="GI20" s="583"/>
      <c r="GJ20" s="583"/>
      <c r="GK20" s="583"/>
      <c r="GL20" s="583"/>
      <c r="GM20" s="583"/>
      <c r="GN20" s="583"/>
      <c r="GO20" s="583"/>
      <c r="GP20" s="583"/>
      <c r="GQ20" s="583"/>
      <c r="GR20" s="583"/>
      <c r="GS20" s="583"/>
      <c r="GT20" s="583"/>
      <c r="GU20" s="583"/>
      <c r="GV20" s="583"/>
      <c r="GW20" s="583"/>
      <c r="GX20" s="583"/>
      <c r="GY20" s="583"/>
      <c r="GZ20" s="583"/>
      <c r="HA20" s="583"/>
      <c r="HB20" s="583"/>
      <c r="HC20" s="583"/>
      <c r="HD20" s="583"/>
      <c r="HE20" s="583"/>
      <c r="HF20" s="583"/>
      <c r="HG20" s="583"/>
      <c r="HH20" s="583"/>
      <c r="HI20" s="583"/>
      <c r="HJ20" s="583"/>
      <c r="HK20" s="583"/>
      <c r="HL20" s="583"/>
      <c r="HM20" s="583"/>
      <c r="HN20" s="583"/>
      <c r="HO20" s="583"/>
      <c r="HP20" s="583"/>
      <c r="HQ20" s="583"/>
      <c r="HR20" s="583"/>
      <c r="HS20" s="583"/>
      <c r="HT20" s="583"/>
      <c r="HU20" s="583"/>
      <c r="HV20" s="583"/>
      <c r="HW20" s="583"/>
      <c r="HX20" s="583"/>
      <c r="HY20" s="583"/>
      <c r="HZ20" s="583"/>
      <c r="IA20" s="583"/>
      <c r="IB20" s="583"/>
      <c r="IC20" s="583"/>
      <c r="ID20" s="583"/>
      <c r="IE20" s="583"/>
      <c r="IF20" s="583"/>
      <c r="IG20" s="583"/>
      <c r="IH20" s="583"/>
      <c r="II20" s="583"/>
      <c r="IJ20" s="583"/>
      <c r="IK20" s="583"/>
      <c r="IL20" s="583"/>
      <c r="IM20" s="583"/>
      <c r="IN20" s="583"/>
      <c r="IO20" s="583"/>
      <c r="IP20" s="583"/>
      <c r="IQ20" s="583"/>
      <c r="IR20" s="583"/>
      <c r="IS20" s="583"/>
      <c r="IT20" s="583"/>
      <c r="IU20" s="583"/>
      <c r="IV20" s="583"/>
      <c r="IW20" s="583"/>
      <c r="IX20" s="583"/>
      <c r="IY20" s="583"/>
      <c r="IZ20" s="583"/>
      <c r="JA20" s="583"/>
      <c r="JB20" s="583"/>
      <c r="JC20" s="583"/>
      <c r="JD20" s="583"/>
      <c r="JE20" s="583"/>
      <c r="JF20" s="583"/>
      <c r="JG20" s="583"/>
      <c r="JH20" s="583"/>
      <c r="JI20" s="583"/>
      <c r="JJ20" s="583"/>
      <c r="JK20" s="583"/>
      <c r="JL20" s="583"/>
      <c r="JM20" s="583"/>
      <c r="JN20" s="583"/>
      <c r="JO20" s="583"/>
      <c r="JP20" s="583"/>
      <c r="JQ20" s="583"/>
      <c r="JR20" s="583"/>
      <c r="JS20" s="583"/>
      <c r="JT20" s="583"/>
      <c r="JU20" s="583"/>
      <c r="JV20" s="583"/>
      <c r="JW20" s="583"/>
      <c r="JX20" s="583"/>
      <c r="JY20" s="583"/>
      <c r="JZ20" s="583"/>
      <c r="KA20" s="583"/>
      <c r="KB20" s="583"/>
      <c r="KC20" s="583"/>
      <c r="KD20" s="583"/>
      <c r="KE20" s="583"/>
      <c r="KF20" s="583"/>
      <c r="KG20" s="583"/>
      <c r="KH20" s="583"/>
      <c r="KI20" s="583"/>
      <c r="KJ20" s="583"/>
      <c r="KK20" s="583"/>
      <c r="KL20" s="583"/>
      <c r="KM20" s="583"/>
      <c r="KN20" s="583"/>
      <c r="KO20" s="583"/>
      <c r="KP20" s="583"/>
      <c r="KQ20" s="583"/>
      <c r="KR20" s="583"/>
      <c r="KS20" s="583"/>
      <c r="KT20" s="583"/>
      <c r="KU20" s="583"/>
      <c r="KV20" s="583"/>
      <c r="KW20" s="583"/>
      <c r="KX20" s="583"/>
      <c r="KY20" s="583"/>
      <c r="KZ20" s="583"/>
      <c r="LA20" s="583"/>
      <c r="LB20" s="583"/>
      <c r="LC20" s="583"/>
      <c r="LD20" s="583"/>
      <c r="LE20" s="583"/>
      <c r="LF20" s="583"/>
      <c r="LG20" s="583"/>
      <c r="LH20" s="583"/>
      <c r="LI20" s="583"/>
      <c r="LJ20" s="583"/>
      <c r="LK20" s="583"/>
      <c r="LL20" s="583"/>
      <c r="LM20" s="583"/>
      <c r="LN20" s="583"/>
      <c r="LO20" s="583"/>
      <c r="LP20" s="583"/>
      <c r="LQ20" s="583"/>
      <c r="LR20" s="583"/>
      <c r="LS20" s="583"/>
      <c r="LT20" s="583"/>
      <c r="LU20" s="583"/>
      <c r="LV20" s="583"/>
      <c r="LW20" s="583"/>
      <c r="LX20" s="583"/>
      <c r="LY20" s="583"/>
      <c r="LZ20" s="583"/>
      <c r="MA20" s="583"/>
      <c r="MB20" s="583"/>
      <c r="MC20" s="583"/>
      <c r="MD20" s="583"/>
      <c r="ME20" s="583"/>
      <c r="MF20" s="583"/>
      <c r="MG20" s="583"/>
      <c r="MH20" s="583"/>
      <c r="MI20" s="583"/>
      <c r="MJ20" s="583"/>
      <c r="MK20" s="583"/>
      <c r="ML20" s="583"/>
      <c r="MM20" s="583"/>
      <c r="MN20" s="583"/>
      <c r="MO20" s="583"/>
      <c r="MP20" s="583"/>
      <c r="MQ20" s="583"/>
      <c r="MR20" s="583"/>
      <c r="MS20" s="583"/>
      <c r="MT20" s="583"/>
      <c r="MU20" s="583"/>
      <c r="MV20" s="583"/>
      <c r="MW20" s="583"/>
      <c r="MX20" s="583"/>
      <c r="MY20" s="583"/>
      <c r="MZ20" s="583"/>
      <c r="NA20" s="583"/>
      <c r="NB20" s="583"/>
      <c r="NC20" s="583"/>
      <c r="ND20" s="583"/>
      <c r="NE20" s="583"/>
      <c r="NF20" s="583"/>
      <c r="NG20" s="583"/>
      <c r="NH20" s="583"/>
      <c r="NI20" s="583"/>
      <c r="NJ20" s="583"/>
      <c r="NK20" s="583"/>
      <c r="NL20" s="583"/>
      <c r="NM20" s="583"/>
      <c r="NN20" s="583"/>
      <c r="NO20" s="583"/>
      <c r="NP20" s="583"/>
      <c r="NQ20" s="583"/>
      <c r="NR20" s="583"/>
      <c r="NS20" s="583"/>
      <c r="NT20" s="583"/>
      <c r="NU20" s="583"/>
      <c r="NV20" s="583"/>
      <c r="NW20" s="583"/>
      <c r="NX20" s="583"/>
      <c r="NY20" s="583"/>
      <c r="NZ20" s="583"/>
      <c r="OA20" s="583"/>
      <c r="OB20" s="583"/>
      <c r="OC20" s="583"/>
      <c r="OD20" s="583"/>
      <c r="OE20" s="583"/>
      <c r="OF20" s="583"/>
      <c r="OG20" s="583"/>
      <c r="OH20" s="583"/>
      <c r="OI20" s="583"/>
      <c r="OJ20" s="583"/>
      <c r="OK20" s="583"/>
      <c r="OL20" s="583"/>
      <c r="OM20" s="583"/>
      <c r="ON20" s="583"/>
      <c r="OO20" s="583"/>
      <c r="OP20" s="583"/>
      <c r="OQ20" s="583"/>
      <c r="OR20" s="583"/>
      <c r="OS20" s="583"/>
      <c r="OT20" s="583"/>
      <c r="OU20" s="583"/>
      <c r="OV20" s="583"/>
      <c r="OW20" s="583"/>
      <c r="OX20" s="583"/>
      <c r="OY20" s="583"/>
      <c r="OZ20" s="583"/>
      <c r="PA20" s="583"/>
      <c r="PB20" s="583"/>
      <c r="PC20" s="583"/>
      <c r="PD20" s="583"/>
      <c r="PE20" s="583"/>
      <c r="PF20" s="583"/>
      <c r="PG20" s="583"/>
      <c r="PH20" s="583"/>
      <c r="PI20" s="583"/>
      <c r="PJ20" s="583"/>
      <c r="PK20" s="583"/>
      <c r="PL20" s="583"/>
      <c r="PM20" s="583"/>
      <c r="PN20" s="583"/>
      <c r="PO20" s="583"/>
      <c r="PP20" s="583"/>
      <c r="PQ20" s="583"/>
      <c r="PR20" s="583"/>
      <c r="PS20" s="583"/>
      <c r="PT20" s="583"/>
      <c r="PU20" s="583"/>
      <c r="PV20" s="583"/>
      <c r="PW20" s="583"/>
      <c r="PX20" s="583"/>
      <c r="PY20" s="583"/>
      <c r="PZ20" s="583"/>
      <c r="QA20" s="583"/>
      <c r="QB20" s="583"/>
      <c r="QC20" s="583"/>
      <c r="QD20" s="583"/>
      <c r="QE20" s="583"/>
      <c r="QF20" s="583"/>
      <c r="QG20" s="583"/>
      <c r="QH20" s="583"/>
      <c r="QI20" s="583"/>
      <c r="QJ20" s="583"/>
      <c r="QK20" s="583"/>
      <c r="QL20" s="583"/>
      <c r="QM20" s="583"/>
      <c r="QN20" s="583"/>
      <c r="QO20" s="583"/>
      <c r="QP20" s="583"/>
      <c r="QQ20" s="583"/>
      <c r="QR20" s="583"/>
      <c r="QS20" s="583"/>
      <c r="QT20" s="583"/>
      <c r="QU20" s="583"/>
      <c r="QV20" s="583"/>
      <c r="QW20" s="583"/>
      <c r="QX20" s="583"/>
      <c r="QY20" s="583"/>
      <c r="QZ20" s="583"/>
      <c r="RA20" s="583"/>
      <c r="RB20" s="583"/>
      <c r="RC20" s="583"/>
      <c r="RD20" s="583"/>
      <c r="RE20" s="583"/>
      <c r="RF20" s="583"/>
      <c r="RG20" s="583"/>
      <c r="RH20" s="583"/>
      <c r="RI20" s="583"/>
      <c r="RJ20" s="583"/>
      <c r="RK20" s="583"/>
      <c r="RL20" s="583"/>
      <c r="RM20" s="583"/>
      <c r="RN20" s="583"/>
      <c r="RO20" s="583"/>
      <c r="RP20" s="583"/>
      <c r="RQ20" s="583"/>
      <c r="RR20" s="583"/>
      <c r="RS20" s="583"/>
      <c r="RT20" s="583"/>
      <c r="RU20" s="583"/>
      <c r="RV20" s="583"/>
      <c r="RW20" s="583"/>
      <c r="RX20" s="583"/>
      <c r="RY20" s="583"/>
      <c r="RZ20" s="583"/>
      <c r="SA20" s="583"/>
      <c r="SB20" s="583"/>
      <c r="SC20" s="583"/>
      <c r="SD20" s="583"/>
      <c r="SE20" s="583"/>
      <c r="SF20" s="583"/>
      <c r="SG20" s="583"/>
      <c r="SH20" s="583"/>
      <c r="SI20" s="583"/>
      <c r="SJ20" s="583"/>
      <c r="SK20" s="583"/>
      <c r="SL20" s="583"/>
      <c r="SM20" s="583"/>
      <c r="SN20" s="583"/>
      <c r="SO20" s="583"/>
      <c r="SP20" s="583"/>
      <c r="SQ20" s="583"/>
      <c r="SR20" s="583"/>
      <c r="SS20" s="583"/>
      <c r="ST20" s="583"/>
      <c r="SU20" s="583"/>
      <c r="SV20" s="583"/>
      <c r="SW20" s="583"/>
      <c r="SX20" s="583"/>
      <c r="SY20" s="583"/>
      <c r="SZ20" s="583"/>
      <c r="TA20" s="583"/>
      <c r="TB20" s="583"/>
      <c r="TC20" s="583"/>
      <c r="TD20" s="583"/>
      <c r="TE20" s="583"/>
      <c r="TF20" s="583"/>
      <c r="TG20" s="583"/>
      <c r="TH20" s="583"/>
      <c r="TI20" s="583"/>
      <c r="TJ20" s="583"/>
      <c r="TK20" s="583"/>
      <c r="TL20" s="583"/>
      <c r="TM20" s="583"/>
      <c r="TN20" s="583"/>
      <c r="TO20" s="583"/>
      <c r="TP20" s="583"/>
      <c r="TQ20" s="583"/>
      <c r="TR20" s="583"/>
      <c r="TS20" s="583"/>
      <c r="TT20" s="583"/>
      <c r="TU20" s="583"/>
      <c r="TV20" s="583"/>
      <c r="TW20" s="583"/>
      <c r="TX20" s="583"/>
      <c r="TY20" s="583"/>
      <c r="TZ20" s="583"/>
      <c r="UA20" s="583"/>
      <c r="UB20" s="583"/>
      <c r="UC20" s="583"/>
      <c r="UD20" s="583"/>
      <c r="UE20" s="583"/>
      <c r="UF20" s="583"/>
      <c r="UG20" s="583"/>
      <c r="UH20" s="583"/>
      <c r="UI20" s="583"/>
      <c r="UJ20" s="583"/>
      <c r="UK20" s="583"/>
      <c r="UL20" s="583"/>
      <c r="UM20" s="583"/>
      <c r="UN20" s="583"/>
      <c r="UO20" s="583"/>
      <c r="UP20" s="583"/>
      <c r="UQ20" s="583"/>
      <c r="UR20" s="583"/>
      <c r="US20" s="583"/>
      <c r="UT20" s="583"/>
      <c r="UU20" s="583"/>
      <c r="UV20" s="583"/>
      <c r="UW20" s="583"/>
      <c r="UX20" s="583"/>
      <c r="UY20" s="583"/>
      <c r="UZ20" s="583"/>
      <c r="VA20" s="583"/>
      <c r="VB20" s="583"/>
      <c r="VC20" s="583"/>
      <c r="VD20" s="583"/>
      <c r="VE20" s="583"/>
      <c r="VF20" s="583"/>
      <c r="VG20" s="583"/>
      <c r="VH20" s="583"/>
      <c r="VI20" s="583"/>
      <c r="VJ20" s="583"/>
      <c r="VK20" s="583"/>
      <c r="VL20" s="583"/>
      <c r="VM20" s="583"/>
      <c r="VN20" s="583"/>
      <c r="VO20" s="583"/>
      <c r="VP20" s="583"/>
      <c r="VQ20" s="583"/>
      <c r="VR20" s="583"/>
      <c r="VS20" s="583"/>
      <c r="VT20" s="583"/>
      <c r="VU20" s="583"/>
      <c r="VV20" s="583"/>
      <c r="VW20" s="583"/>
      <c r="VX20" s="583"/>
      <c r="VY20" s="583"/>
      <c r="VZ20" s="583"/>
      <c r="WA20" s="583"/>
      <c r="WB20" s="583"/>
      <c r="WC20" s="583"/>
      <c r="WD20" s="583"/>
      <c r="WE20" s="583"/>
      <c r="WF20" s="583"/>
      <c r="WG20" s="583"/>
      <c r="WH20" s="583"/>
      <c r="WI20" s="583"/>
      <c r="WJ20" s="583"/>
      <c r="WK20" s="583"/>
      <c r="WL20" s="583"/>
      <c r="WM20" s="583"/>
      <c r="WN20" s="583"/>
      <c r="WO20" s="583"/>
      <c r="WP20" s="583"/>
      <c r="WQ20" s="583"/>
      <c r="WR20" s="583"/>
      <c r="WS20" s="583"/>
      <c r="WT20" s="583"/>
      <c r="WU20" s="583"/>
      <c r="WV20" s="583"/>
      <c r="WW20" s="583"/>
      <c r="WX20" s="583"/>
      <c r="WY20" s="583"/>
      <c r="WZ20" s="583"/>
      <c r="XA20" s="583"/>
      <c r="XB20" s="583"/>
      <c r="XC20" s="583"/>
      <c r="XD20" s="583"/>
      <c r="XE20" s="583"/>
      <c r="XF20" s="583"/>
      <c r="XG20" s="583"/>
      <c r="XH20" s="583"/>
      <c r="XI20" s="583"/>
      <c r="XJ20" s="583"/>
      <c r="XK20" s="583"/>
      <c r="XL20" s="583"/>
      <c r="XM20" s="583"/>
      <c r="XN20" s="583"/>
      <c r="XO20" s="583"/>
      <c r="XP20" s="583"/>
      <c r="XQ20" s="583"/>
      <c r="XR20" s="583"/>
      <c r="XS20" s="583"/>
      <c r="XT20" s="583"/>
      <c r="XU20" s="583"/>
      <c r="XV20" s="583"/>
      <c r="XW20" s="583"/>
      <c r="XX20" s="583"/>
      <c r="XY20" s="583"/>
      <c r="XZ20" s="583"/>
      <c r="YA20" s="583"/>
      <c r="YB20" s="583"/>
      <c r="YC20" s="583"/>
      <c r="YD20" s="583"/>
      <c r="YE20" s="583"/>
      <c r="YF20" s="583"/>
      <c r="YG20" s="583"/>
      <c r="YH20" s="583"/>
      <c r="YI20" s="583"/>
      <c r="YJ20" s="583"/>
      <c r="YK20" s="583"/>
      <c r="YL20" s="583"/>
      <c r="YM20" s="583"/>
      <c r="YN20" s="583"/>
      <c r="YO20" s="583"/>
      <c r="YP20" s="583"/>
      <c r="YQ20" s="583"/>
      <c r="YR20" s="583"/>
      <c r="YS20" s="583"/>
      <c r="YT20" s="583"/>
      <c r="YU20" s="583"/>
      <c r="YV20" s="583"/>
      <c r="YW20" s="583"/>
      <c r="YX20" s="583"/>
      <c r="YY20" s="583"/>
      <c r="YZ20" s="583"/>
      <c r="ZA20" s="583"/>
      <c r="ZB20" s="583"/>
      <c r="ZC20" s="583"/>
      <c r="ZD20" s="583"/>
      <c r="ZE20" s="583"/>
      <c r="ZF20" s="583"/>
      <c r="ZG20" s="583"/>
      <c r="ZH20" s="583"/>
      <c r="ZI20" s="583"/>
      <c r="ZJ20" s="583"/>
      <c r="ZK20" s="583"/>
      <c r="ZL20" s="583"/>
      <c r="ZM20" s="583"/>
      <c r="ZN20" s="583"/>
      <c r="ZO20" s="583"/>
      <c r="ZP20" s="583"/>
      <c r="ZQ20" s="583"/>
      <c r="ZR20" s="583"/>
      <c r="ZS20" s="583"/>
      <c r="ZT20" s="583"/>
      <c r="ZU20" s="583"/>
      <c r="ZV20" s="583"/>
      <c r="ZW20" s="583"/>
      <c r="ZX20" s="583"/>
      <c r="ZY20" s="583"/>
      <c r="ZZ20" s="583"/>
      <c r="AAA20" s="583"/>
      <c r="AAB20" s="583"/>
      <c r="AAC20" s="583"/>
      <c r="AAD20" s="583"/>
      <c r="AAE20" s="583"/>
      <c r="AAF20" s="583"/>
      <c r="AAG20" s="583"/>
      <c r="AAH20" s="583"/>
      <c r="AAI20" s="583"/>
      <c r="AAJ20" s="583"/>
      <c r="AAK20" s="583"/>
      <c r="AAL20" s="583"/>
      <c r="AAM20" s="583"/>
      <c r="AAN20" s="583"/>
      <c r="AAO20" s="583"/>
      <c r="AAP20" s="583"/>
      <c r="AAQ20" s="583"/>
      <c r="AAR20" s="583"/>
      <c r="AAS20" s="583"/>
      <c r="AAT20" s="583"/>
      <c r="AAU20" s="583"/>
      <c r="AAV20" s="583"/>
      <c r="AAW20" s="583"/>
      <c r="AAX20" s="583"/>
      <c r="AAY20" s="583"/>
      <c r="AAZ20" s="583"/>
      <c r="ABA20" s="583"/>
      <c r="ABB20" s="583"/>
      <c r="ABC20" s="583"/>
      <c r="ABD20" s="583"/>
      <c r="ABE20" s="583"/>
      <c r="ABF20" s="583"/>
      <c r="ABG20" s="583"/>
      <c r="ABH20" s="583"/>
      <c r="ABI20" s="583"/>
      <c r="ABJ20" s="583"/>
      <c r="ABK20" s="583"/>
      <c r="ABL20" s="583"/>
      <c r="ABM20" s="583"/>
      <c r="ABN20" s="583"/>
      <c r="ABO20" s="583"/>
      <c r="ABP20" s="583"/>
      <c r="ABQ20" s="583"/>
      <c r="ABR20" s="583"/>
      <c r="ABS20" s="583"/>
      <c r="ABT20" s="583"/>
      <c r="ABU20" s="583"/>
      <c r="ABV20" s="583"/>
      <c r="ABW20" s="583"/>
      <c r="ABX20" s="583"/>
      <c r="ABY20" s="583"/>
      <c r="ABZ20" s="583"/>
      <c r="ACA20" s="583"/>
      <c r="ACB20" s="583"/>
      <c r="ACC20" s="583"/>
      <c r="ACD20" s="583"/>
      <c r="ACE20" s="583"/>
      <c r="ACF20" s="583"/>
      <c r="ACG20" s="583"/>
      <c r="ACH20" s="583"/>
      <c r="ACI20" s="583"/>
      <c r="ACJ20" s="583"/>
      <c r="ACK20" s="583"/>
      <c r="ACL20" s="583"/>
      <c r="ACM20" s="583"/>
      <c r="ACN20" s="583"/>
      <c r="ACO20" s="583"/>
      <c r="ACP20" s="583"/>
      <c r="ACQ20" s="583"/>
      <c r="ACR20" s="583"/>
      <c r="ACS20" s="583"/>
      <c r="ACT20" s="583"/>
      <c r="ACU20" s="583"/>
      <c r="ACV20" s="583"/>
      <c r="ACW20" s="583"/>
      <c r="ACX20" s="583"/>
      <c r="ACY20" s="583"/>
      <c r="ACZ20" s="583"/>
      <c r="ADA20" s="583"/>
      <c r="ADB20" s="583"/>
      <c r="ADC20" s="583"/>
      <c r="ADD20" s="583"/>
      <c r="ADE20" s="583"/>
      <c r="ADF20" s="583"/>
      <c r="ADG20" s="583"/>
      <c r="ADH20" s="583"/>
      <c r="ADI20" s="583"/>
      <c r="ADJ20" s="583"/>
      <c r="ADK20" s="583"/>
      <c r="ADL20" s="583"/>
      <c r="ADM20" s="583"/>
      <c r="ADN20" s="583"/>
      <c r="ADO20" s="583"/>
      <c r="ADP20" s="583"/>
      <c r="ADQ20" s="583"/>
      <c r="ADR20" s="583"/>
      <c r="ADS20" s="583"/>
      <c r="ADT20" s="583"/>
      <c r="ADU20" s="583"/>
      <c r="ADV20" s="583"/>
      <c r="ADW20" s="583"/>
      <c r="ADX20" s="583"/>
      <c r="ADY20" s="583"/>
      <c r="ADZ20" s="583"/>
      <c r="AEA20" s="583"/>
      <c r="AEB20" s="583"/>
      <c r="AEC20" s="583"/>
      <c r="AED20" s="583"/>
      <c r="AEE20" s="583"/>
      <c r="AEF20" s="583"/>
      <c r="AEG20" s="583"/>
      <c r="AEH20" s="583"/>
      <c r="AEI20" s="583"/>
      <c r="AEJ20" s="583"/>
      <c r="AEK20" s="583"/>
      <c r="AEL20" s="583"/>
      <c r="AEM20" s="583"/>
      <c r="AEN20" s="583"/>
      <c r="AEO20" s="583"/>
      <c r="AEP20" s="583"/>
      <c r="AEQ20" s="583"/>
      <c r="AER20" s="583"/>
      <c r="AES20" s="583"/>
      <c r="AET20" s="583"/>
      <c r="AEU20" s="583"/>
      <c r="AEV20" s="583"/>
      <c r="AEW20" s="583"/>
      <c r="AEX20" s="583"/>
      <c r="AEY20" s="583"/>
      <c r="AEZ20" s="583"/>
      <c r="AFA20" s="583"/>
      <c r="AFB20" s="583"/>
      <c r="AFC20" s="583"/>
      <c r="AFD20" s="583"/>
      <c r="AFE20" s="583"/>
      <c r="AFF20" s="583"/>
      <c r="AFG20" s="583"/>
      <c r="AFH20" s="583"/>
      <c r="AFI20" s="583"/>
      <c r="AFJ20" s="583"/>
      <c r="AFK20" s="583"/>
      <c r="AFL20" s="583"/>
      <c r="AFM20" s="583"/>
      <c r="AFN20" s="583"/>
      <c r="AFO20" s="583"/>
      <c r="AFP20" s="583"/>
      <c r="AFQ20" s="583"/>
      <c r="AFR20" s="583"/>
      <c r="AFS20" s="583"/>
      <c r="AFT20" s="583"/>
      <c r="AFU20" s="583"/>
      <c r="AFV20" s="583"/>
      <c r="AFW20" s="583"/>
      <c r="AFX20" s="583"/>
      <c r="AFY20" s="583"/>
      <c r="AFZ20" s="583"/>
      <c r="AGA20" s="583"/>
      <c r="AGB20" s="583"/>
      <c r="AGC20" s="583"/>
      <c r="AGD20" s="583"/>
      <c r="AGE20" s="583"/>
      <c r="AGF20" s="583"/>
      <c r="AGG20" s="583"/>
      <c r="AGH20" s="583"/>
      <c r="AGI20" s="583"/>
      <c r="AGJ20" s="583"/>
      <c r="AGK20" s="583"/>
      <c r="AGL20" s="583"/>
      <c r="AGM20" s="583"/>
      <c r="AGN20" s="583"/>
      <c r="AGO20" s="583"/>
      <c r="AGP20" s="583"/>
      <c r="AGQ20" s="583"/>
      <c r="AGR20" s="583"/>
      <c r="AGS20" s="583"/>
      <c r="AGT20" s="583"/>
      <c r="AGU20" s="583"/>
      <c r="AGV20" s="583"/>
      <c r="AGW20" s="583"/>
      <c r="AGX20" s="583"/>
      <c r="AGY20" s="583"/>
      <c r="AGZ20" s="583"/>
      <c r="AHA20" s="583"/>
      <c r="AHB20" s="583"/>
      <c r="AHC20" s="583"/>
      <c r="AHD20" s="583"/>
      <c r="AHE20" s="583"/>
      <c r="AHF20" s="583"/>
      <c r="AHG20" s="583"/>
      <c r="AHH20" s="583"/>
      <c r="AHI20" s="583"/>
      <c r="AHJ20" s="583"/>
      <c r="AHK20" s="583"/>
      <c r="AHL20" s="583"/>
      <c r="AHM20" s="583"/>
      <c r="AHN20" s="583"/>
      <c r="AHO20" s="583"/>
      <c r="AHP20" s="583"/>
      <c r="AHQ20" s="583"/>
      <c r="AHR20" s="583"/>
      <c r="AHS20" s="583"/>
      <c r="AHT20" s="583"/>
      <c r="AHU20" s="583"/>
      <c r="AHV20" s="583"/>
      <c r="AHW20" s="583"/>
      <c r="AHX20" s="583"/>
      <c r="AHY20" s="583"/>
      <c r="AHZ20" s="583"/>
      <c r="AIA20" s="583"/>
      <c r="AIB20" s="583"/>
      <c r="AIC20" s="583"/>
      <c r="AID20" s="583"/>
      <c r="AIE20" s="583"/>
      <c r="AIF20" s="583"/>
      <c r="AIG20" s="583"/>
      <c r="AIH20" s="583"/>
      <c r="AII20" s="583"/>
      <c r="AIJ20" s="583"/>
      <c r="AIK20" s="583"/>
      <c r="AIL20" s="583"/>
      <c r="AIM20" s="583"/>
      <c r="AIN20" s="583"/>
      <c r="AIO20" s="583"/>
      <c r="AIP20" s="583"/>
      <c r="AIQ20" s="583"/>
      <c r="AIR20" s="583"/>
      <c r="AIS20" s="583"/>
      <c r="AIT20" s="583"/>
      <c r="AIU20" s="583"/>
      <c r="AIV20" s="583"/>
      <c r="AIW20" s="583"/>
      <c r="AIX20" s="583"/>
      <c r="AIY20" s="583"/>
      <c r="AIZ20" s="583"/>
      <c r="AJA20" s="583"/>
      <c r="AJB20" s="583"/>
      <c r="AJC20" s="583"/>
      <c r="AJD20" s="583"/>
      <c r="AJE20" s="583"/>
      <c r="AJF20" s="583"/>
      <c r="AJG20" s="583"/>
      <c r="AJH20" s="583"/>
      <c r="AJI20" s="583"/>
      <c r="AJJ20" s="583"/>
      <c r="AJK20" s="583"/>
      <c r="AJL20" s="583"/>
      <c r="AJM20" s="583"/>
      <c r="AJN20" s="583"/>
      <c r="AJO20" s="583"/>
      <c r="AJP20" s="583"/>
      <c r="AJQ20" s="583"/>
      <c r="AJR20" s="583"/>
      <c r="AJS20" s="583"/>
      <c r="AJT20" s="583"/>
      <c r="AJU20" s="583"/>
      <c r="AJV20" s="583"/>
      <c r="AJW20" s="583"/>
      <c r="AJX20" s="583"/>
      <c r="AJY20" s="583"/>
      <c r="AJZ20" s="583"/>
      <c r="AKA20" s="583"/>
      <c r="AKB20" s="583"/>
      <c r="AKC20" s="583"/>
      <c r="AKD20" s="583"/>
      <c r="AKE20" s="583"/>
      <c r="AKF20" s="583"/>
      <c r="AKG20" s="583"/>
      <c r="AKH20" s="583"/>
      <c r="AKI20" s="583"/>
      <c r="AKJ20" s="583"/>
      <c r="AKK20" s="583"/>
      <c r="AKL20" s="583"/>
      <c r="AKM20" s="583"/>
      <c r="AKN20" s="583"/>
      <c r="AKO20" s="583"/>
      <c r="AKP20" s="583"/>
      <c r="AKQ20" s="583"/>
      <c r="AKR20" s="583"/>
      <c r="AKS20" s="583"/>
      <c r="AKT20" s="583"/>
      <c r="AKU20" s="583"/>
      <c r="AKV20" s="583"/>
      <c r="AKW20" s="583"/>
      <c r="AKX20" s="583"/>
      <c r="AKY20" s="583"/>
      <c r="AKZ20" s="583"/>
      <c r="ALA20" s="583"/>
      <c r="ALB20" s="583"/>
      <c r="ALC20" s="583"/>
      <c r="ALD20" s="583"/>
      <c r="ALE20" s="583"/>
      <c r="ALF20" s="583"/>
      <c r="ALG20" s="583"/>
      <c r="ALH20" s="583"/>
      <c r="ALI20" s="583"/>
      <c r="ALJ20" s="583"/>
      <c r="ALK20" s="583"/>
      <c r="ALL20" s="583"/>
      <c r="ALM20" s="583"/>
      <c r="ALN20" s="583"/>
      <c r="ALO20" s="583"/>
      <c r="ALP20" s="583"/>
      <c r="ALQ20" s="583"/>
      <c r="ALR20" s="583"/>
      <c r="ALS20" s="583"/>
      <c r="ALT20" s="583"/>
      <c r="ALU20" s="583"/>
      <c r="ALV20" s="583"/>
      <c r="ALW20" s="583"/>
      <c r="ALX20" s="583"/>
      <c r="ALY20" s="583"/>
      <c r="ALZ20" s="583"/>
      <c r="AMA20" s="583"/>
      <c r="AMB20" s="583"/>
      <c r="AMC20" s="583"/>
      <c r="AMD20" s="583"/>
      <c r="AME20" s="583"/>
      <c r="AMF20" s="583"/>
      <c r="AMG20" s="583"/>
      <c r="AMH20" s="583"/>
      <c r="AMI20" s="583"/>
      <c r="AMJ20" s="583"/>
      <c r="AMK20" s="583"/>
      <c r="AML20" s="583"/>
      <c r="AMM20" s="583"/>
      <c r="AMN20" s="583"/>
      <c r="AMO20" s="583"/>
      <c r="AMP20" s="583"/>
      <c r="AMQ20" s="583"/>
      <c r="AMR20" s="583"/>
      <c r="AMS20" s="583"/>
      <c r="AMT20" s="583"/>
      <c r="AMU20" s="583"/>
      <c r="AMV20" s="583"/>
      <c r="AMW20" s="583"/>
      <c r="AMX20" s="583"/>
      <c r="AMY20" s="583"/>
      <c r="AMZ20" s="583"/>
      <c r="ANA20" s="583"/>
      <c r="ANB20" s="583"/>
      <c r="ANC20" s="583"/>
      <c r="AND20" s="583"/>
      <c r="ANE20" s="583"/>
      <c r="ANF20" s="583"/>
      <c r="ANG20" s="583"/>
      <c r="ANH20" s="583"/>
      <c r="ANI20" s="583"/>
      <c r="ANJ20" s="583"/>
      <c r="ANK20" s="583"/>
      <c r="ANL20" s="583"/>
      <c r="ANM20" s="583"/>
      <c r="ANN20" s="583"/>
      <c r="ANO20" s="583"/>
      <c r="ANP20" s="583"/>
      <c r="ANQ20" s="583"/>
      <c r="ANR20" s="583"/>
      <c r="ANS20" s="583"/>
      <c r="ANT20" s="583"/>
      <c r="ANU20" s="583"/>
      <c r="ANV20" s="583"/>
      <c r="ANW20" s="583"/>
      <c r="ANX20" s="583"/>
      <c r="ANY20" s="583"/>
      <c r="ANZ20" s="583"/>
      <c r="AOA20" s="583"/>
      <c r="AOB20" s="583"/>
      <c r="AOC20" s="583"/>
      <c r="AOD20" s="583"/>
      <c r="AOE20" s="583"/>
      <c r="AOF20" s="583"/>
      <c r="AOG20" s="583"/>
      <c r="AOH20" s="583"/>
      <c r="AOI20" s="583"/>
      <c r="AOJ20" s="583"/>
      <c r="AOK20" s="583"/>
      <c r="AOL20" s="583"/>
      <c r="AOM20" s="583"/>
      <c r="AON20" s="583"/>
      <c r="AOO20" s="583"/>
      <c r="AOP20" s="583"/>
      <c r="AOQ20" s="583"/>
      <c r="AOR20" s="583"/>
      <c r="AOS20" s="583"/>
      <c r="AOT20" s="583"/>
      <c r="AOU20" s="583"/>
      <c r="AOV20" s="583"/>
      <c r="AOW20" s="583"/>
      <c r="AOX20" s="583"/>
      <c r="AOY20" s="583"/>
      <c r="AOZ20" s="583"/>
      <c r="APA20" s="583"/>
      <c r="APB20" s="583"/>
      <c r="APC20" s="583"/>
      <c r="APD20" s="583"/>
      <c r="APE20" s="583"/>
      <c r="APF20" s="583"/>
      <c r="APG20" s="583"/>
      <c r="APH20" s="583"/>
      <c r="API20" s="583"/>
      <c r="APJ20" s="583"/>
      <c r="APK20" s="583"/>
      <c r="APL20" s="583"/>
      <c r="APM20" s="583"/>
      <c r="APN20" s="583"/>
      <c r="APO20" s="583"/>
      <c r="APP20" s="583"/>
      <c r="APQ20" s="583"/>
      <c r="APR20" s="583"/>
      <c r="APS20" s="583"/>
      <c r="APT20" s="583"/>
      <c r="APU20" s="583"/>
      <c r="APV20" s="583"/>
      <c r="APW20" s="583"/>
      <c r="APX20" s="583"/>
      <c r="APY20" s="583"/>
      <c r="APZ20" s="583"/>
      <c r="AQA20" s="583"/>
      <c r="AQB20" s="583"/>
      <c r="AQC20" s="583"/>
      <c r="AQD20" s="583"/>
      <c r="AQE20" s="583"/>
      <c r="AQF20" s="583"/>
      <c r="AQG20" s="583"/>
      <c r="AQH20" s="583"/>
      <c r="AQI20" s="583"/>
      <c r="AQJ20" s="583"/>
      <c r="AQK20" s="583"/>
      <c r="AQL20" s="583"/>
      <c r="AQM20" s="583"/>
      <c r="AQN20" s="583"/>
      <c r="AQO20" s="583"/>
      <c r="AQP20" s="583"/>
      <c r="AQQ20" s="583"/>
      <c r="AQR20" s="583"/>
      <c r="AQS20" s="583"/>
      <c r="AQT20" s="583"/>
      <c r="AQU20" s="583"/>
      <c r="AQV20" s="583"/>
      <c r="AQW20" s="583"/>
      <c r="AQX20" s="583"/>
      <c r="AQY20" s="583"/>
      <c r="AQZ20" s="583"/>
      <c r="ARA20" s="583"/>
      <c r="ARB20" s="583"/>
      <c r="ARC20" s="583"/>
      <c r="ARD20" s="583"/>
      <c r="ARE20" s="583"/>
      <c r="ARF20" s="583"/>
      <c r="ARG20" s="583"/>
      <c r="ARH20" s="583"/>
      <c r="ARI20" s="583"/>
      <c r="ARJ20" s="583"/>
      <c r="ARK20" s="583"/>
      <c r="ARL20" s="583"/>
      <c r="ARM20" s="583"/>
      <c r="ARN20" s="583"/>
      <c r="ARO20" s="583"/>
      <c r="ARP20" s="583"/>
      <c r="ARQ20" s="583"/>
      <c r="ARR20" s="583"/>
      <c r="ARS20" s="583"/>
      <c r="ART20" s="583"/>
      <c r="ARU20" s="583"/>
      <c r="ARV20" s="583"/>
      <c r="ARW20" s="583"/>
      <c r="ARX20" s="583"/>
      <c r="ARY20" s="583"/>
      <c r="ARZ20" s="583"/>
      <c r="ASA20" s="583"/>
      <c r="ASB20" s="583"/>
      <c r="ASC20" s="583"/>
      <c r="ASD20" s="583"/>
      <c r="ASE20" s="583"/>
      <c r="ASF20" s="583"/>
      <c r="ASG20" s="583"/>
      <c r="ASH20" s="583"/>
      <c r="ASI20" s="583"/>
      <c r="ASJ20" s="583"/>
      <c r="ASK20" s="583"/>
      <c r="ASL20" s="583"/>
      <c r="ASM20" s="583"/>
      <c r="ASN20" s="583"/>
      <c r="ASO20" s="583"/>
      <c r="ASP20" s="583"/>
      <c r="ASQ20" s="583"/>
      <c r="ASR20" s="583"/>
      <c r="ASS20" s="583"/>
      <c r="AST20" s="583"/>
      <c r="ASU20" s="583"/>
      <c r="ASV20" s="583"/>
      <c r="ASW20" s="583"/>
      <c r="ASX20" s="583"/>
      <c r="ASY20" s="583"/>
      <c r="ASZ20" s="583"/>
      <c r="ATA20" s="583"/>
      <c r="ATB20" s="583"/>
      <c r="ATC20" s="583"/>
      <c r="ATD20" s="583"/>
      <c r="ATE20" s="583"/>
      <c r="ATF20" s="583"/>
      <c r="ATG20" s="583"/>
      <c r="ATH20" s="583"/>
      <c r="ATI20" s="583"/>
      <c r="ATJ20" s="583"/>
      <c r="ATK20" s="583"/>
      <c r="ATL20" s="583"/>
      <c r="ATM20" s="583"/>
      <c r="ATN20" s="583"/>
      <c r="ATO20" s="583"/>
      <c r="ATP20" s="583"/>
      <c r="ATQ20" s="583"/>
      <c r="ATR20" s="583"/>
      <c r="ATS20" s="583"/>
      <c r="ATT20" s="583"/>
      <c r="ATU20" s="583"/>
      <c r="ATV20" s="583"/>
      <c r="ATW20" s="583"/>
      <c r="ATX20" s="583"/>
      <c r="ATY20" s="583"/>
      <c r="ATZ20" s="583"/>
      <c r="AUA20" s="583"/>
      <c r="AUB20" s="583"/>
      <c r="AUC20" s="583"/>
      <c r="AUD20" s="583"/>
      <c r="AUE20" s="583"/>
      <c r="AUF20" s="583"/>
      <c r="AUG20" s="583"/>
      <c r="AUH20" s="583"/>
      <c r="AUI20" s="583"/>
      <c r="AUJ20" s="583"/>
      <c r="AUK20" s="583"/>
      <c r="AUL20" s="583"/>
      <c r="AUM20" s="583"/>
      <c r="AUN20" s="583"/>
      <c r="AUO20" s="583"/>
      <c r="AUP20" s="583"/>
      <c r="AUQ20" s="583"/>
      <c r="AUR20" s="583"/>
      <c r="AUS20" s="583"/>
      <c r="AUT20" s="583"/>
      <c r="AUU20" s="583"/>
      <c r="AUV20" s="583"/>
      <c r="AUW20" s="583"/>
      <c r="AUX20" s="583"/>
      <c r="AUY20" s="583"/>
      <c r="AUZ20" s="583"/>
      <c r="AVA20" s="583"/>
      <c r="AVB20" s="583"/>
      <c r="AVC20" s="583"/>
      <c r="AVD20" s="583"/>
      <c r="AVE20" s="583"/>
      <c r="AVF20" s="583"/>
      <c r="AVG20" s="583"/>
      <c r="AVH20" s="583"/>
      <c r="AVI20" s="583"/>
      <c r="AVJ20" s="583"/>
      <c r="AVK20" s="583"/>
      <c r="AVL20" s="583"/>
      <c r="AVM20" s="583"/>
      <c r="AVN20" s="583"/>
      <c r="AVO20" s="583"/>
      <c r="AVP20" s="583"/>
      <c r="AVQ20" s="583"/>
      <c r="AVR20" s="583"/>
      <c r="AVS20" s="583"/>
      <c r="AVT20" s="583"/>
      <c r="AVU20" s="583"/>
      <c r="AVV20" s="583"/>
      <c r="AVW20" s="583"/>
      <c r="AVX20" s="583"/>
      <c r="AVY20" s="583"/>
      <c r="AVZ20" s="583"/>
      <c r="AWA20" s="583"/>
      <c r="AWB20" s="583"/>
      <c r="AWC20" s="583"/>
      <c r="AWD20" s="583"/>
      <c r="AWE20" s="583"/>
      <c r="AWF20" s="583"/>
      <c r="AWG20" s="583"/>
      <c r="AWH20" s="583"/>
      <c r="AWI20" s="583"/>
      <c r="AWJ20" s="583"/>
      <c r="AWK20" s="583"/>
      <c r="AWL20" s="583"/>
      <c r="AWM20" s="583"/>
      <c r="AWN20" s="583"/>
      <c r="AWO20" s="583"/>
      <c r="AWP20" s="583"/>
      <c r="AWQ20" s="583"/>
      <c r="AWR20" s="583"/>
      <c r="AWS20" s="583"/>
      <c r="AWT20" s="583"/>
      <c r="AWU20" s="583"/>
      <c r="AWV20" s="583"/>
      <c r="AWW20" s="583"/>
      <c r="AWX20" s="583"/>
      <c r="AWY20" s="583"/>
      <c r="AWZ20" s="583"/>
      <c r="AXA20" s="583"/>
      <c r="AXB20" s="583"/>
      <c r="AXC20" s="583"/>
      <c r="AXD20" s="583"/>
      <c r="AXE20" s="583"/>
      <c r="AXF20" s="583"/>
      <c r="AXG20" s="583"/>
      <c r="AXH20" s="583"/>
      <c r="AXI20" s="583"/>
      <c r="AXJ20" s="583"/>
      <c r="AXK20" s="583"/>
      <c r="AXL20" s="583"/>
      <c r="AXM20" s="583"/>
      <c r="AXN20" s="583"/>
      <c r="AXO20" s="583"/>
      <c r="AXP20" s="583"/>
      <c r="AXQ20" s="583"/>
      <c r="AXR20" s="583"/>
      <c r="AXS20" s="583"/>
      <c r="AXT20" s="583"/>
      <c r="AXU20" s="583"/>
      <c r="AXV20" s="583"/>
      <c r="AXW20" s="583"/>
      <c r="AXX20" s="583"/>
      <c r="AXY20" s="583"/>
      <c r="AXZ20" s="583"/>
      <c r="AYA20" s="583"/>
      <c r="AYB20" s="583"/>
      <c r="AYC20" s="583"/>
      <c r="AYD20" s="583"/>
      <c r="AYE20" s="583"/>
      <c r="AYF20" s="583"/>
      <c r="AYG20" s="583"/>
      <c r="AYH20" s="583"/>
      <c r="AYI20" s="583"/>
      <c r="AYJ20" s="583"/>
      <c r="AYK20" s="583"/>
      <c r="AYL20" s="583"/>
      <c r="AYM20" s="583"/>
      <c r="AYN20" s="583"/>
      <c r="AYO20" s="583"/>
      <c r="AYP20" s="583"/>
      <c r="AYQ20" s="583"/>
      <c r="AYR20" s="583"/>
      <c r="AYS20" s="583"/>
      <c r="AYT20" s="583"/>
      <c r="AYU20" s="583"/>
      <c r="AYV20" s="583"/>
      <c r="AYW20" s="583"/>
      <c r="AYX20" s="583"/>
      <c r="AYY20" s="583"/>
      <c r="AYZ20" s="583"/>
      <c r="AZA20" s="583"/>
      <c r="AZB20" s="583"/>
      <c r="AZC20" s="583"/>
      <c r="AZD20" s="583"/>
      <c r="AZE20" s="583"/>
      <c r="AZF20" s="583"/>
      <c r="AZG20" s="583"/>
      <c r="AZH20" s="583"/>
      <c r="AZI20" s="583"/>
      <c r="AZJ20" s="583"/>
      <c r="AZK20" s="583"/>
      <c r="AZL20" s="583"/>
      <c r="AZM20" s="583"/>
      <c r="AZN20" s="583"/>
      <c r="AZO20" s="583"/>
      <c r="AZP20" s="583"/>
      <c r="AZQ20" s="583"/>
      <c r="AZR20" s="583"/>
      <c r="AZS20" s="583"/>
      <c r="AZT20" s="583"/>
      <c r="AZU20" s="583"/>
      <c r="AZV20" s="583"/>
      <c r="AZW20" s="583"/>
      <c r="AZX20" s="583"/>
      <c r="AZY20" s="583"/>
      <c r="AZZ20" s="583"/>
      <c r="BAA20" s="583"/>
      <c r="BAB20" s="583"/>
      <c r="BAC20" s="583"/>
      <c r="BAD20" s="583"/>
      <c r="BAE20" s="583"/>
      <c r="BAF20" s="583"/>
      <c r="BAG20" s="583"/>
      <c r="BAH20" s="583"/>
      <c r="BAI20" s="583"/>
      <c r="BAJ20" s="583"/>
      <c r="BAK20" s="583"/>
      <c r="BAL20" s="583"/>
      <c r="BAM20" s="583"/>
      <c r="BAN20" s="583"/>
      <c r="BAO20" s="583"/>
      <c r="BAP20" s="583"/>
      <c r="BAQ20" s="583"/>
      <c r="BAR20" s="583"/>
      <c r="BAS20" s="583"/>
      <c r="BAT20" s="583"/>
      <c r="BAU20" s="583"/>
      <c r="BAV20" s="583"/>
      <c r="BAW20" s="583"/>
      <c r="BAX20" s="583"/>
      <c r="BAY20" s="583"/>
      <c r="BAZ20" s="583"/>
      <c r="BBA20" s="583"/>
      <c r="BBB20" s="583"/>
      <c r="BBC20" s="583"/>
      <c r="BBD20" s="583"/>
      <c r="BBE20" s="583"/>
      <c r="BBF20" s="583"/>
      <c r="BBG20" s="583"/>
      <c r="BBH20" s="583"/>
      <c r="BBI20" s="583"/>
      <c r="BBJ20" s="583"/>
      <c r="BBK20" s="583"/>
      <c r="BBL20" s="583"/>
      <c r="BBM20" s="583"/>
      <c r="BBN20" s="583"/>
      <c r="BBO20" s="583"/>
      <c r="BBP20" s="583"/>
      <c r="BBQ20" s="583"/>
      <c r="BBR20" s="583"/>
      <c r="BBS20" s="583"/>
      <c r="BBT20" s="583"/>
      <c r="BBU20" s="583"/>
      <c r="BBV20" s="583"/>
      <c r="BBW20" s="583"/>
      <c r="BBX20" s="583"/>
      <c r="BBY20" s="583"/>
      <c r="BBZ20" s="583"/>
      <c r="BCA20" s="583"/>
      <c r="BCB20" s="583"/>
      <c r="BCC20" s="583"/>
      <c r="BCD20" s="583"/>
      <c r="BCE20" s="583"/>
      <c r="BCF20" s="583"/>
      <c r="BCG20" s="583"/>
      <c r="BCH20" s="583"/>
      <c r="BCI20" s="583"/>
      <c r="BCJ20" s="583"/>
      <c r="BCK20" s="583"/>
      <c r="BCL20" s="583"/>
      <c r="BCM20" s="583"/>
      <c r="BCN20" s="583"/>
      <c r="BCO20" s="583"/>
      <c r="BCP20" s="583"/>
      <c r="BCQ20" s="583"/>
      <c r="BCR20" s="583"/>
      <c r="BCS20" s="583"/>
      <c r="BCT20" s="583"/>
      <c r="BCU20" s="583"/>
      <c r="BCV20" s="583"/>
      <c r="BCW20" s="583"/>
      <c r="BCX20" s="583"/>
      <c r="BCY20" s="583"/>
      <c r="BCZ20" s="583"/>
      <c r="BDA20" s="583"/>
      <c r="BDB20" s="583"/>
      <c r="BDC20" s="583"/>
      <c r="BDD20" s="583"/>
      <c r="BDE20" s="583"/>
      <c r="BDF20" s="583"/>
      <c r="BDG20" s="583"/>
      <c r="BDH20" s="583"/>
      <c r="BDI20" s="583"/>
      <c r="BDJ20" s="583"/>
      <c r="BDK20" s="583"/>
      <c r="BDL20" s="583"/>
      <c r="BDM20" s="583"/>
      <c r="BDN20" s="583"/>
      <c r="BDO20" s="583"/>
      <c r="BDP20" s="583"/>
      <c r="BDQ20" s="583"/>
      <c r="BDR20" s="583"/>
      <c r="BDS20" s="583"/>
      <c r="BDT20" s="583"/>
      <c r="BDU20" s="583"/>
      <c r="BDV20" s="583"/>
      <c r="BDW20" s="583"/>
      <c r="BDX20" s="583"/>
      <c r="BDY20" s="583"/>
      <c r="BDZ20" s="583"/>
      <c r="BEA20" s="583"/>
      <c r="BEB20" s="583"/>
      <c r="BEC20" s="583"/>
      <c r="BED20" s="583"/>
      <c r="BEE20" s="583"/>
      <c r="BEF20" s="583"/>
      <c r="BEG20" s="583"/>
      <c r="BEH20" s="583"/>
      <c r="BEI20" s="583"/>
      <c r="BEJ20" s="583"/>
      <c r="BEK20" s="583"/>
      <c r="BEL20" s="583"/>
      <c r="BEM20" s="583"/>
      <c r="BEN20" s="583"/>
      <c r="BEO20" s="583"/>
      <c r="BEP20" s="583"/>
      <c r="BEQ20" s="583"/>
      <c r="BER20" s="583"/>
      <c r="BES20" s="583"/>
      <c r="BET20" s="583"/>
      <c r="BEU20" s="583"/>
      <c r="BEV20" s="583"/>
      <c r="BEW20" s="583"/>
      <c r="BEX20" s="583"/>
      <c r="BEY20" s="583"/>
      <c r="BEZ20" s="583"/>
      <c r="BFA20" s="583"/>
      <c r="BFB20" s="583"/>
      <c r="BFC20" s="583"/>
      <c r="BFD20" s="583"/>
      <c r="BFE20" s="583"/>
      <c r="BFF20" s="583"/>
      <c r="BFG20" s="583"/>
      <c r="BFH20" s="583"/>
      <c r="BFI20" s="583"/>
      <c r="BFJ20" s="583"/>
      <c r="BFK20" s="583"/>
      <c r="BFL20" s="583"/>
      <c r="BFM20" s="583"/>
      <c r="BFN20" s="583"/>
      <c r="BFO20" s="583"/>
      <c r="BFP20" s="583"/>
      <c r="BFQ20" s="583"/>
      <c r="BFR20" s="583"/>
      <c r="BFS20" s="583"/>
      <c r="BFT20" s="583"/>
      <c r="BFU20" s="583"/>
      <c r="BFV20" s="583"/>
      <c r="BFW20" s="583"/>
      <c r="BFX20" s="583"/>
      <c r="BFY20" s="583"/>
      <c r="BFZ20" s="583"/>
      <c r="BGA20" s="583"/>
      <c r="BGB20" s="583"/>
      <c r="BGC20" s="583"/>
      <c r="BGD20" s="583"/>
      <c r="BGE20" s="583"/>
      <c r="BGF20" s="583"/>
      <c r="BGG20" s="583"/>
      <c r="BGH20" s="583"/>
      <c r="BGI20" s="583"/>
      <c r="BGJ20" s="583"/>
      <c r="BGK20" s="583"/>
      <c r="BGL20" s="583"/>
      <c r="BGM20" s="583"/>
      <c r="BGN20" s="583"/>
      <c r="BGO20" s="583"/>
      <c r="BGP20" s="583"/>
      <c r="BGQ20" s="583"/>
      <c r="BGR20" s="583"/>
      <c r="BGS20" s="583"/>
      <c r="BGT20" s="583"/>
      <c r="BGU20" s="583"/>
      <c r="BGV20" s="583"/>
      <c r="BGW20" s="583"/>
      <c r="BGX20" s="583"/>
      <c r="BGY20" s="583"/>
      <c r="BGZ20" s="583"/>
      <c r="BHA20" s="583"/>
      <c r="BHB20" s="583"/>
      <c r="BHC20" s="583"/>
      <c r="BHD20" s="583"/>
      <c r="BHE20" s="583"/>
      <c r="BHF20" s="583"/>
      <c r="BHG20" s="583"/>
      <c r="BHH20" s="583"/>
      <c r="BHI20" s="583"/>
      <c r="BHJ20" s="583"/>
      <c r="BHK20" s="583"/>
      <c r="BHL20" s="583"/>
      <c r="BHM20" s="583"/>
      <c r="BHN20" s="583"/>
      <c r="BHO20" s="583"/>
      <c r="BHP20" s="583"/>
      <c r="BHQ20" s="583"/>
      <c r="BHR20" s="583"/>
      <c r="BHS20" s="583"/>
      <c r="BHT20" s="583"/>
      <c r="BHU20" s="583"/>
      <c r="BHV20" s="583"/>
      <c r="BHW20" s="583"/>
      <c r="BHX20" s="583"/>
      <c r="BHY20" s="583"/>
      <c r="BHZ20" s="583"/>
      <c r="BIA20" s="583"/>
      <c r="BIB20" s="583"/>
      <c r="BIC20" s="583"/>
      <c r="BID20" s="583"/>
      <c r="BIE20" s="583"/>
      <c r="BIF20" s="583"/>
      <c r="BIG20" s="583"/>
      <c r="BIH20" s="583"/>
      <c r="BII20" s="583"/>
      <c r="BIJ20" s="583"/>
      <c r="BIK20" s="583"/>
      <c r="BIL20" s="583"/>
      <c r="BIM20" s="583"/>
      <c r="BIN20" s="583"/>
      <c r="BIO20" s="583"/>
      <c r="BIP20" s="583"/>
      <c r="BIQ20" s="583"/>
      <c r="BIR20" s="583"/>
      <c r="BIS20" s="583"/>
      <c r="BIT20" s="583"/>
      <c r="BIU20" s="583"/>
      <c r="BIV20" s="583"/>
      <c r="BIW20" s="583"/>
      <c r="BIX20" s="583"/>
      <c r="BIY20" s="583"/>
      <c r="BIZ20" s="583"/>
      <c r="BJA20" s="583"/>
      <c r="BJB20" s="583"/>
      <c r="BJC20" s="583"/>
      <c r="BJD20" s="583"/>
      <c r="BJE20" s="583"/>
      <c r="BJF20" s="583"/>
      <c r="BJG20" s="583"/>
      <c r="BJH20" s="583"/>
      <c r="BJI20" s="583"/>
      <c r="BJJ20" s="583"/>
      <c r="BJK20" s="583"/>
      <c r="BJL20" s="583"/>
      <c r="BJM20" s="583"/>
      <c r="BJN20" s="583"/>
      <c r="BJO20" s="583"/>
      <c r="BJP20" s="583"/>
      <c r="BJQ20" s="583"/>
      <c r="BJR20" s="583"/>
      <c r="BJS20" s="583"/>
      <c r="BJT20" s="583"/>
      <c r="BJU20" s="583"/>
      <c r="BJV20" s="583"/>
      <c r="BJW20" s="583"/>
      <c r="BJX20" s="583"/>
      <c r="BJY20" s="583"/>
      <c r="BJZ20" s="583"/>
      <c r="BKA20" s="583"/>
      <c r="BKB20" s="583"/>
      <c r="BKC20" s="583"/>
      <c r="BKD20" s="583"/>
      <c r="BKE20" s="583"/>
      <c r="BKF20" s="583"/>
      <c r="BKG20" s="583"/>
      <c r="BKH20" s="583"/>
      <c r="BKI20" s="583"/>
      <c r="BKJ20" s="583"/>
      <c r="BKK20" s="583"/>
      <c r="BKL20" s="583"/>
      <c r="BKM20" s="583"/>
      <c r="BKN20" s="583"/>
      <c r="BKO20" s="583"/>
      <c r="BKP20" s="583"/>
      <c r="BKQ20" s="583"/>
      <c r="BKR20" s="583"/>
      <c r="BKS20" s="583"/>
      <c r="BKT20" s="583"/>
      <c r="BKU20" s="583"/>
      <c r="BKV20" s="583"/>
      <c r="BKW20" s="583"/>
      <c r="BKX20" s="583"/>
      <c r="BKY20" s="583"/>
      <c r="BKZ20" s="583"/>
      <c r="BLA20" s="583"/>
      <c r="BLB20" s="583"/>
      <c r="BLC20" s="583"/>
      <c r="BLD20" s="583"/>
      <c r="BLE20" s="583"/>
      <c r="BLF20" s="583"/>
      <c r="BLG20" s="583"/>
      <c r="BLH20" s="583"/>
      <c r="BLI20" s="583"/>
      <c r="BLJ20" s="583"/>
      <c r="BLK20" s="583"/>
      <c r="BLL20" s="583"/>
      <c r="BLM20" s="583"/>
      <c r="BLN20" s="583"/>
      <c r="BLO20" s="583"/>
      <c r="BLP20" s="583"/>
      <c r="BLQ20" s="583"/>
      <c r="BLR20" s="583"/>
      <c r="BLS20" s="583"/>
      <c r="BLT20" s="583"/>
      <c r="BLU20" s="583"/>
      <c r="BLV20" s="583"/>
      <c r="BLW20" s="583"/>
      <c r="BLX20" s="583"/>
      <c r="BLY20" s="583"/>
      <c r="BLZ20" s="583"/>
      <c r="BMA20" s="583"/>
      <c r="BMB20" s="583"/>
      <c r="BMC20" s="583"/>
      <c r="BMD20" s="583"/>
      <c r="BME20" s="583"/>
      <c r="BMF20" s="583"/>
      <c r="BMG20" s="583"/>
      <c r="BMH20" s="583"/>
      <c r="BMI20" s="583"/>
      <c r="BMJ20" s="583"/>
      <c r="BMK20" s="583"/>
      <c r="BML20" s="583"/>
      <c r="BMM20" s="583"/>
      <c r="BMN20" s="583"/>
      <c r="BMO20" s="583"/>
      <c r="BMP20" s="583"/>
      <c r="BMQ20" s="583"/>
      <c r="BMR20" s="583"/>
      <c r="BMS20" s="583"/>
      <c r="BMT20" s="583"/>
      <c r="BMU20" s="583"/>
      <c r="BMV20" s="583"/>
      <c r="BMW20" s="583"/>
      <c r="BMX20" s="583"/>
      <c r="BMY20" s="583"/>
      <c r="BMZ20" s="583"/>
      <c r="BNA20" s="583"/>
      <c r="BNB20" s="583"/>
      <c r="BNC20" s="583"/>
      <c r="BND20" s="583"/>
      <c r="BNE20" s="583"/>
      <c r="BNF20" s="583"/>
      <c r="BNG20" s="583"/>
      <c r="BNH20" s="583"/>
      <c r="BNI20" s="583"/>
      <c r="BNJ20" s="583"/>
      <c r="BNK20" s="583"/>
      <c r="BNL20" s="583"/>
      <c r="BNM20" s="583"/>
      <c r="BNN20" s="583"/>
      <c r="BNO20" s="583"/>
      <c r="BNP20" s="583"/>
      <c r="BNQ20" s="583"/>
      <c r="BNR20" s="583"/>
      <c r="BNS20" s="583"/>
      <c r="BNT20" s="583"/>
      <c r="BNU20" s="583"/>
      <c r="BNV20" s="583"/>
      <c r="BNW20" s="583"/>
      <c r="BNX20" s="583"/>
      <c r="BNY20" s="583"/>
      <c r="BNZ20" s="583"/>
      <c r="BOA20" s="583"/>
      <c r="BOB20" s="583"/>
      <c r="BOC20" s="583"/>
      <c r="BOD20" s="583"/>
      <c r="BOE20" s="583"/>
      <c r="BOF20" s="583"/>
      <c r="BOG20" s="583"/>
      <c r="BOH20" s="583"/>
      <c r="BOI20" s="583"/>
      <c r="BOJ20" s="583"/>
      <c r="BOK20" s="583"/>
      <c r="BOL20" s="583"/>
      <c r="BOM20" s="583"/>
      <c r="BON20" s="583"/>
      <c r="BOO20" s="583"/>
      <c r="BOP20" s="583"/>
      <c r="BOQ20" s="583"/>
      <c r="BOR20" s="583"/>
      <c r="BOS20" s="583"/>
      <c r="BOT20" s="583"/>
      <c r="BOU20" s="583"/>
      <c r="BOV20" s="583"/>
      <c r="BOW20" s="583"/>
      <c r="BOX20" s="583"/>
      <c r="BOY20" s="583"/>
      <c r="BOZ20" s="583"/>
      <c r="BPA20" s="583"/>
      <c r="BPB20" s="583"/>
      <c r="BPC20" s="583"/>
      <c r="BPD20" s="583"/>
      <c r="BPE20" s="583"/>
      <c r="BPF20" s="583"/>
      <c r="BPG20" s="583"/>
      <c r="BPH20" s="583"/>
      <c r="BPI20" s="583"/>
      <c r="BPJ20" s="583"/>
      <c r="BPK20" s="583"/>
      <c r="BPL20" s="583"/>
      <c r="BPM20" s="583"/>
      <c r="BPN20" s="583"/>
      <c r="BPO20" s="583"/>
      <c r="BPP20" s="583"/>
      <c r="BPQ20" s="583"/>
      <c r="BPR20" s="583"/>
      <c r="BPS20" s="583"/>
      <c r="BPT20" s="583"/>
      <c r="BPU20" s="583"/>
      <c r="BPV20" s="583"/>
      <c r="BPW20" s="583"/>
      <c r="BPX20" s="583"/>
      <c r="BPY20" s="583"/>
      <c r="BPZ20" s="583"/>
      <c r="BQA20" s="583"/>
      <c r="BQB20" s="583"/>
      <c r="BQC20" s="583"/>
      <c r="BQD20" s="583"/>
      <c r="BQE20" s="583"/>
      <c r="BQF20" s="583"/>
      <c r="BQG20" s="583"/>
      <c r="BQH20" s="583"/>
      <c r="BQI20" s="583"/>
      <c r="BQJ20" s="583"/>
      <c r="BQK20" s="583"/>
      <c r="BQL20" s="583"/>
      <c r="BQM20" s="583"/>
      <c r="BQN20" s="583"/>
      <c r="BQO20" s="583"/>
      <c r="BQP20" s="583"/>
      <c r="BQQ20" s="583"/>
      <c r="BQR20" s="583"/>
      <c r="BQS20" s="583"/>
      <c r="BQT20" s="583"/>
      <c r="BQU20" s="583"/>
      <c r="BQV20" s="583"/>
      <c r="BQW20" s="583"/>
      <c r="BQX20" s="583"/>
      <c r="BQY20" s="583"/>
      <c r="BQZ20" s="583"/>
      <c r="BRA20" s="583"/>
      <c r="BRB20" s="583"/>
      <c r="BRC20" s="583"/>
      <c r="BRD20" s="583"/>
      <c r="BRE20" s="583"/>
      <c r="BRF20" s="583"/>
      <c r="BRG20" s="583"/>
      <c r="BRH20" s="583"/>
      <c r="BRI20" s="583"/>
      <c r="BRJ20" s="583"/>
      <c r="BRK20" s="583"/>
      <c r="BRL20" s="583"/>
      <c r="BRM20" s="583"/>
      <c r="BRN20" s="583"/>
      <c r="BRO20" s="583"/>
      <c r="BRP20" s="583"/>
      <c r="BRQ20" s="583"/>
      <c r="BRR20" s="583"/>
      <c r="BRS20" s="583"/>
      <c r="BRT20" s="583"/>
      <c r="BRU20" s="583"/>
      <c r="BRV20" s="583"/>
      <c r="BRW20" s="583"/>
      <c r="BRX20" s="583"/>
      <c r="BRY20" s="583"/>
      <c r="BRZ20" s="583"/>
      <c r="BSA20" s="583"/>
      <c r="BSB20" s="583"/>
      <c r="BSC20" s="583"/>
      <c r="BSD20" s="583"/>
      <c r="BSE20" s="583"/>
      <c r="BSF20" s="583"/>
      <c r="BSG20" s="583"/>
      <c r="BSH20" s="583"/>
      <c r="BSI20" s="583"/>
      <c r="BSJ20" s="583"/>
      <c r="BSK20" s="583"/>
      <c r="BSL20" s="583"/>
      <c r="BSM20" s="583"/>
      <c r="BSN20" s="583"/>
      <c r="BSO20" s="583"/>
      <c r="BSP20" s="583"/>
      <c r="BSQ20" s="583"/>
      <c r="BSR20" s="583"/>
      <c r="BSS20" s="583"/>
      <c r="BST20" s="583"/>
      <c r="BSU20" s="583"/>
      <c r="BSV20" s="583"/>
      <c r="BSW20" s="583"/>
      <c r="BSX20" s="583"/>
      <c r="BSY20" s="583"/>
      <c r="BSZ20" s="583"/>
      <c r="BTA20" s="583"/>
      <c r="BTB20" s="583"/>
      <c r="BTC20" s="583"/>
      <c r="BTD20" s="583"/>
      <c r="BTE20" s="583"/>
      <c r="BTF20" s="583"/>
      <c r="BTG20" s="583"/>
      <c r="BTH20" s="583"/>
      <c r="BTI20" s="583"/>
      <c r="BTJ20" s="583"/>
      <c r="BTK20" s="583"/>
      <c r="BTL20" s="583"/>
      <c r="BTM20" s="583"/>
      <c r="BTN20" s="583"/>
      <c r="BTO20" s="583"/>
      <c r="BTP20" s="583"/>
      <c r="BTQ20" s="583"/>
      <c r="BTR20" s="583"/>
      <c r="BTS20" s="583"/>
      <c r="BTT20" s="583"/>
      <c r="BTU20" s="583"/>
      <c r="BTV20" s="583"/>
      <c r="BTW20" s="583"/>
      <c r="BTX20" s="583"/>
      <c r="BTY20" s="583"/>
      <c r="BTZ20" s="583"/>
      <c r="BUA20" s="583"/>
      <c r="BUB20" s="583"/>
      <c r="BUC20" s="583"/>
      <c r="BUD20" s="583"/>
      <c r="BUE20" s="583"/>
      <c r="BUF20" s="583"/>
      <c r="BUG20" s="583"/>
      <c r="BUH20" s="583"/>
      <c r="BUI20" s="583"/>
      <c r="BUJ20" s="583"/>
      <c r="BUK20" s="583"/>
      <c r="BUL20" s="583"/>
      <c r="BUM20" s="583"/>
      <c r="BUN20" s="583"/>
      <c r="BUO20" s="583"/>
      <c r="BUP20" s="583"/>
      <c r="BUQ20" s="583"/>
      <c r="BUR20" s="583"/>
      <c r="BUS20" s="583"/>
      <c r="BUT20" s="583"/>
      <c r="BUU20" s="583"/>
      <c r="BUV20" s="583"/>
      <c r="BUW20" s="583"/>
      <c r="BUX20" s="583"/>
      <c r="BUY20" s="583"/>
      <c r="BUZ20" s="583"/>
      <c r="BVA20" s="583"/>
      <c r="BVB20" s="583"/>
      <c r="BVC20" s="583"/>
      <c r="BVD20" s="583"/>
      <c r="BVE20" s="583"/>
      <c r="BVF20" s="583"/>
      <c r="BVG20" s="583"/>
      <c r="BVH20" s="583"/>
      <c r="BVI20" s="583"/>
      <c r="BVJ20" s="583"/>
      <c r="BVK20" s="583"/>
      <c r="BVL20" s="583"/>
      <c r="BVM20" s="583"/>
      <c r="BVN20" s="583"/>
      <c r="BVO20" s="583"/>
      <c r="BVP20" s="583"/>
      <c r="BVQ20" s="583"/>
      <c r="BVR20" s="583"/>
      <c r="BVS20" s="583"/>
      <c r="BVT20" s="583"/>
      <c r="BVU20" s="583"/>
      <c r="BVV20" s="583"/>
      <c r="BVW20" s="583"/>
      <c r="BVX20" s="583"/>
      <c r="BVY20" s="583"/>
      <c r="BVZ20" s="583"/>
      <c r="BWA20" s="583"/>
      <c r="BWB20" s="583"/>
      <c r="BWC20" s="583"/>
      <c r="BWD20" s="583"/>
      <c r="BWE20" s="583"/>
      <c r="BWF20" s="583"/>
      <c r="BWG20" s="583"/>
      <c r="BWH20" s="583"/>
      <c r="BWI20" s="583"/>
      <c r="BWJ20" s="583"/>
      <c r="BWK20" s="583"/>
      <c r="BWL20" s="583"/>
      <c r="BWM20" s="583"/>
      <c r="BWN20" s="583"/>
      <c r="BWO20" s="583"/>
      <c r="BWP20" s="583"/>
      <c r="BWQ20" s="583"/>
      <c r="BWR20" s="583"/>
      <c r="BWS20" s="583"/>
      <c r="BWT20" s="583"/>
      <c r="BWU20" s="583"/>
      <c r="BWV20" s="583"/>
      <c r="BWW20" s="583"/>
      <c r="BWX20" s="583"/>
      <c r="BWY20" s="583"/>
      <c r="BWZ20" s="583"/>
      <c r="BXA20" s="583"/>
      <c r="BXB20" s="583"/>
      <c r="BXC20" s="583"/>
      <c r="BXD20" s="583"/>
      <c r="BXE20" s="583"/>
      <c r="BXF20" s="583"/>
      <c r="BXG20" s="583"/>
      <c r="BXH20" s="583"/>
      <c r="BXI20" s="583"/>
      <c r="BXJ20" s="583"/>
      <c r="BXK20" s="583"/>
      <c r="BXL20" s="583"/>
      <c r="BXM20" s="583"/>
      <c r="BXN20" s="583"/>
      <c r="BXO20" s="583"/>
      <c r="BXP20" s="583"/>
      <c r="BXQ20" s="583"/>
      <c r="BXR20" s="583"/>
      <c r="BXS20" s="583"/>
      <c r="BXT20" s="583"/>
      <c r="BXU20" s="583"/>
      <c r="BXV20" s="583"/>
      <c r="BXW20" s="583"/>
      <c r="BXX20" s="583"/>
      <c r="BXY20" s="583"/>
      <c r="BXZ20" s="583"/>
      <c r="BYA20" s="583"/>
      <c r="BYB20" s="583"/>
      <c r="BYC20" s="583"/>
      <c r="BYD20" s="583"/>
      <c r="BYE20" s="583"/>
      <c r="BYF20" s="583"/>
      <c r="BYG20" s="583"/>
      <c r="BYH20" s="583"/>
      <c r="BYI20" s="583"/>
      <c r="BYJ20" s="583"/>
      <c r="BYK20" s="583"/>
      <c r="BYL20" s="583"/>
      <c r="BYM20" s="583"/>
      <c r="BYN20" s="583"/>
      <c r="BYO20" s="583"/>
      <c r="BYP20" s="583"/>
      <c r="BYQ20" s="583"/>
      <c r="BYR20" s="583"/>
      <c r="BYS20" s="583"/>
      <c r="BYT20" s="583"/>
      <c r="BYU20" s="583"/>
      <c r="BYV20" s="583"/>
      <c r="BYW20" s="583"/>
      <c r="BYX20" s="583"/>
      <c r="BYY20" s="583"/>
      <c r="BYZ20" s="583"/>
      <c r="BZA20" s="583"/>
      <c r="BZB20" s="583"/>
      <c r="BZC20" s="583"/>
      <c r="BZD20" s="583"/>
      <c r="BZE20" s="583"/>
      <c r="BZF20" s="583"/>
      <c r="BZG20" s="583"/>
      <c r="BZH20" s="583"/>
      <c r="BZI20" s="583"/>
      <c r="BZJ20" s="583"/>
      <c r="BZK20" s="583"/>
      <c r="BZL20" s="583"/>
      <c r="BZM20" s="583"/>
      <c r="BZN20" s="583"/>
      <c r="BZO20" s="583"/>
      <c r="BZP20" s="583"/>
      <c r="BZQ20" s="583"/>
      <c r="BZR20" s="583"/>
      <c r="BZS20" s="583"/>
      <c r="BZT20" s="583"/>
      <c r="BZU20" s="583"/>
      <c r="BZV20" s="583"/>
      <c r="BZW20" s="583"/>
      <c r="BZX20" s="583"/>
      <c r="BZY20" s="583"/>
      <c r="BZZ20" s="583"/>
      <c r="CAA20" s="583"/>
      <c r="CAB20" s="583"/>
      <c r="CAC20" s="583"/>
      <c r="CAD20" s="583"/>
      <c r="CAE20" s="583"/>
      <c r="CAF20" s="583"/>
      <c r="CAG20" s="583"/>
      <c r="CAH20" s="583"/>
      <c r="CAI20" s="583"/>
      <c r="CAJ20" s="583"/>
      <c r="CAK20" s="583"/>
      <c r="CAL20" s="583"/>
      <c r="CAM20" s="583"/>
      <c r="CAN20" s="583"/>
      <c r="CAO20" s="583"/>
      <c r="CAP20" s="583"/>
      <c r="CAQ20" s="583"/>
      <c r="CAR20" s="583"/>
      <c r="CAS20" s="583"/>
      <c r="CAT20" s="583"/>
      <c r="CAU20" s="583"/>
      <c r="CAV20" s="583"/>
      <c r="CAW20" s="583"/>
      <c r="CAX20" s="583"/>
      <c r="CAY20" s="583"/>
      <c r="CAZ20" s="583"/>
      <c r="CBA20" s="583"/>
      <c r="CBB20" s="583"/>
      <c r="CBC20" s="583"/>
      <c r="CBD20" s="583"/>
      <c r="CBE20" s="583"/>
      <c r="CBF20" s="583"/>
      <c r="CBG20" s="583"/>
      <c r="CBH20" s="583"/>
      <c r="CBI20" s="583"/>
      <c r="CBJ20" s="583"/>
      <c r="CBK20" s="583"/>
      <c r="CBL20" s="583"/>
      <c r="CBM20" s="583"/>
      <c r="CBN20" s="583"/>
      <c r="CBO20" s="583"/>
      <c r="CBP20" s="583"/>
      <c r="CBQ20" s="583"/>
      <c r="CBR20" s="583"/>
      <c r="CBS20" s="583"/>
      <c r="CBT20" s="583"/>
      <c r="CBU20" s="583"/>
      <c r="CBV20" s="583"/>
      <c r="CBW20" s="583"/>
      <c r="CBX20" s="583"/>
      <c r="CBY20" s="583"/>
      <c r="CBZ20" s="583"/>
    </row>
    <row r="21" spans="1:2106" ht="15.75" customHeight="1">
      <c r="A21" s="611"/>
      <c r="B21" s="617"/>
      <c r="C21" s="613">
        <f t="shared" si="0"/>
        <v>0</v>
      </c>
      <c r="D21" s="613">
        <f>IF(B21&gt;0,VLOOKUP(A21,'Lista Suspensa'!$A$1:$F$92,3,),0)</f>
        <v>0</v>
      </c>
      <c r="E21" s="613">
        <f>IF(OR(B21&gt;0,C21&gt;0),VLOOKUP(A21,'Lista Suspensa'!$A$1:$F$90,4,),0)</f>
        <v>0</v>
      </c>
      <c r="F21" s="613">
        <f>IF(OR(B21&gt;0,C21&gt;0),VLOOKUP(A21,'Lista Suspensa'!$A$1:$F$90,5,),0)</f>
        <v>0</v>
      </c>
      <c r="G21" s="402">
        <f>IF(OR(B21&gt;0,C21&gt;0),VLOOKUP(A21,'Lista Suspensa'!$A$1:$F$90,6,),0)</f>
        <v>0</v>
      </c>
      <c r="H21" s="617"/>
      <c r="I21" s="613">
        <f t="shared" si="12"/>
        <v>0</v>
      </c>
      <c r="J21" s="613">
        <f>IF(H21&gt;0,VLOOKUP(A21,'Lista Suspensa'!$A$1:$F$92,3,),0)</f>
        <v>0</v>
      </c>
      <c r="K21" s="613">
        <f>IF(OR(H21&gt;0,I21&gt;0),VLOOKUP(A21,'Lista Suspensa'!$A$1:$F$90,4,),0)</f>
        <v>0</v>
      </c>
      <c r="L21" s="613">
        <f>IF(OR(H21&gt;0,I21&gt;0),VLOOKUP(A21,'Lista Suspensa'!$A$1:$F$90,5,),0)</f>
        <v>0</v>
      </c>
      <c r="M21" s="402">
        <f>IF(OR(H21&gt;0,I21&gt;0),VLOOKUP(A21,'Lista Suspensa'!$A$1:$F$90,6,),0)</f>
        <v>0</v>
      </c>
      <c r="N21" s="617"/>
      <c r="O21" s="613">
        <f t="shared" si="1"/>
        <v>0</v>
      </c>
      <c r="P21" s="613">
        <f>IF(N21&gt;0,VLOOKUP(A21,'Lista Suspensa'!$A$1:$F$92,3,),0)</f>
        <v>0</v>
      </c>
      <c r="Q21" s="613">
        <f>IF(OR(N21&gt;0,O21&gt;0),VLOOKUP(A21,'Lista Suspensa'!$A$1:$F$90,4,),0)</f>
        <v>0</v>
      </c>
      <c r="R21" s="613">
        <f>IF(OR(N21&gt;0,O21&gt;0),VLOOKUP(A21,'Lista Suspensa'!$A$1:$F$90,5,),0)</f>
        <v>0</v>
      </c>
      <c r="S21" s="402">
        <f>IF(OR(N21&gt;0,O21&gt;0),VLOOKUP(A21,'Lista Suspensa'!$A$1:$F$90,6,),0)</f>
        <v>0</v>
      </c>
      <c r="T21" s="617"/>
      <c r="U21" s="613">
        <f t="shared" si="2"/>
        <v>0</v>
      </c>
      <c r="V21" s="613">
        <f>IF(T21&gt;0,VLOOKUP(A21,'Lista Suspensa'!$A$1:$F$92,3,),0)</f>
        <v>0</v>
      </c>
      <c r="W21" s="613">
        <f>IF(OR(T21&gt;0,U21&gt;0),VLOOKUP(A21,'Lista Suspensa'!$A$1:$F$90,4,),0)</f>
        <v>0</v>
      </c>
      <c r="X21" s="613">
        <f>IF(OR(T21&gt;0,U21&gt;0),VLOOKUP(A21,'Lista Suspensa'!$A$1:$F$90,5,),0)</f>
        <v>0</v>
      </c>
      <c r="Y21" s="402">
        <f>IF(OR(T21&gt;0,U21&gt;0),VLOOKUP(A21,'Lista Suspensa'!$A$1:$F$90,6,),0)</f>
        <v>0</v>
      </c>
      <c r="Z21" s="617"/>
      <c r="AA21" s="613">
        <f t="shared" si="3"/>
        <v>0</v>
      </c>
      <c r="AB21" s="613">
        <f>IF(Z21&gt;0,VLOOKUP(A21,'Lista Suspensa'!$A$1:$F$92,3,),0)</f>
        <v>0</v>
      </c>
      <c r="AC21" s="613">
        <f>IF(OR(Z21&gt;0,AA21&gt;0),VLOOKUP(A21,'Lista Suspensa'!$A$1:$F$90,4,),0)</f>
        <v>0</v>
      </c>
      <c r="AD21" s="613">
        <f>IF(OR(Z21&gt;0,AA21&gt;0),VLOOKUP(A21,'Lista Suspensa'!$A$1:$F$90,5,),0)</f>
        <v>0</v>
      </c>
      <c r="AE21" s="402">
        <f>IF(OR(Z21&gt;0,AA21&gt;0),VLOOKUP(A21,'Lista Suspensa'!$A$1:$F$90,6,),0)</f>
        <v>0</v>
      </c>
      <c r="AF21" s="617"/>
      <c r="AG21" s="613">
        <f t="shared" si="13"/>
        <v>0</v>
      </c>
      <c r="AH21" s="613">
        <f>IF(AF21&gt;0,VLOOKUP(A21,'Lista Suspensa'!$A$1:$F$92,3,),0)</f>
        <v>0</v>
      </c>
      <c r="AI21" s="613">
        <f>IF(OR(AF21&gt;0,AG21&gt;0),VLOOKUP(A21,'Lista Suspensa'!$A$1:$F$90,4,),0)</f>
        <v>0</v>
      </c>
      <c r="AJ21" s="613">
        <f>IF(OR(AF21&gt;0,AG21&gt;0),VLOOKUP(A21,'Lista Suspensa'!$A$1:$F$90,5,),0)</f>
        <v>0</v>
      </c>
      <c r="AK21" s="402">
        <f>IF(OR(AF21&gt;0,AG21&gt;0),VLOOKUP(A21,'Lista Suspensa'!$A$1:$F$90,6,),0)</f>
        <v>0</v>
      </c>
      <c r="AL21" s="617"/>
      <c r="AM21" s="613">
        <f t="shared" si="4"/>
        <v>0</v>
      </c>
      <c r="AN21" s="613">
        <f>IF(AL21&gt;0,VLOOKUP(A21,'Lista Suspensa'!$A$1:$F$92,3,),0)</f>
        <v>0</v>
      </c>
      <c r="AO21" s="613">
        <f>IF(OR(AL21&gt;0,AM21&gt;0),VLOOKUP(A21,'Lista Suspensa'!$A$1:$F$90,4,),0)</f>
        <v>0</v>
      </c>
      <c r="AP21" s="613">
        <f>IF(OR(AL21&gt;0,AM21&gt;0),VLOOKUP(A21,'Lista Suspensa'!$A$1:$F$90,5,),0)</f>
        <v>0</v>
      </c>
      <c r="AQ21" s="402">
        <f>IF(OR(AL21&gt;0,AM21&gt;0),VLOOKUP(A21,'Lista Suspensa'!$A$1:$F$90,6,),0)</f>
        <v>0</v>
      </c>
      <c r="AR21" s="617"/>
      <c r="AS21" s="613">
        <f t="shared" si="14"/>
        <v>0</v>
      </c>
      <c r="AT21" s="613">
        <f>IF(AR21&gt;0,VLOOKUP(A21,'Lista Suspensa'!$A$1:$F$92,3,),0)</f>
        <v>0</v>
      </c>
      <c r="AU21" s="613">
        <f>IF(OR(AR21&gt;0,AS21&gt;0),VLOOKUP(A21,'Lista Suspensa'!$A$1:$F$90,4,),0)</f>
        <v>0</v>
      </c>
      <c r="AV21" s="613">
        <f>IF(OR(AR21&gt;0,AS21&gt;0),VLOOKUP(A21,'Lista Suspensa'!$A$1:$F$90,5,),0)</f>
        <v>0</v>
      </c>
      <c r="AW21" s="37">
        <f>IF(OR(AR21&gt;0,AS21&gt;0),VLOOKUP(A21,'Lista Suspensa'!$A$1:$F$90,6,),0)</f>
        <v>0</v>
      </c>
      <c r="AX21" s="617"/>
      <c r="AY21" s="613">
        <f t="shared" si="5"/>
        <v>0</v>
      </c>
      <c r="AZ21" s="613">
        <f>IF(AX21&gt;0,VLOOKUP(A21,'Lista Suspensa'!$A$1:$F$92,3,),0)</f>
        <v>0</v>
      </c>
      <c r="BA21" s="613">
        <f>IF(OR(AX21&gt;0,AY21&gt;0),VLOOKUP(A21,'Lista Suspensa'!$A$1:$F$90,4,),0)</f>
        <v>0</v>
      </c>
      <c r="BB21" s="613">
        <f>IF(OR(AX21&gt;0,AY21&gt;0),VLOOKUP(A21,'Lista Suspensa'!$A$1:$F$90,5,),0)</f>
        <v>0</v>
      </c>
      <c r="BC21" s="37">
        <f>IF(OR(AX21&gt;0,AY21&gt;0),VLOOKUP(A21,'Lista Suspensa'!$A$1:$F$90,6,),0)</f>
        <v>0</v>
      </c>
      <c r="BD21" s="617"/>
      <c r="BE21" s="613">
        <f t="shared" si="6"/>
        <v>0</v>
      </c>
      <c r="BF21" s="613">
        <f>IF(BD21&gt;0,VLOOKUP(A21,'Lista Suspensa'!$A$1:$F$92,3,),0)</f>
        <v>0</v>
      </c>
      <c r="BG21" s="613">
        <f>IF(OR(BD21&gt;0,BE21&gt;0),VLOOKUP(A21,'Lista Suspensa'!$A$1:$F$90,4,),0)</f>
        <v>0</v>
      </c>
      <c r="BH21" s="613">
        <f>IF(OR(BD21&gt;0,BE21&gt;0),VLOOKUP(A21,'Lista Suspensa'!$A$1:$F$90,5,),0)</f>
        <v>0</v>
      </c>
      <c r="BI21" s="37">
        <f>IF(OR(BD21&gt;0,BE21&gt;0),VLOOKUP(A21,'Lista Suspensa'!$A$1:$F$90,6,),0)</f>
        <v>0</v>
      </c>
      <c r="BJ21" s="617"/>
      <c r="BK21" s="613">
        <f t="shared" si="7"/>
        <v>0</v>
      </c>
      <c r="BL21" s="613">
        <f>IF(BJ21&gt;0,VLOOKUP(A21,'Lista Suspensa'!$A$1:$F$92,3,),0)</f>
        <v>0</v>
      </c>
      <c r="BM21" s="613">
        <f>IF(OR(BJ21&gt;0,BK21&gt;0),VLOOKUP(A21,'Lista Suspensa'!$A$1:$F$90,4,),0)</f>
        <v>0</v>
      </c>
      <c r="BN21" s="613">
        <f>IF(OR(BJ21&gt;0,BK21&gt;0),VLOOKUP(A21,'Lista Suspensa'!$A$1:$F$90,5,),0)</f>
        <v>0</v>
      </c>
      <c r="BO21" s="37">
        <f>IF(OR(BJ21&gt;0,BK21&gt;0),VLOOKUP(A21,'Lista Suspensa'!$A$1:$F$90,6,),0)</f>
        <v>0</v>
      </c>
      <c r="BP21" s="617"/>
      <c r="BQ21" s="613">
        <f t="shared" si="8"/>
        <v>0</v>
      </c>
      <c r="BR21" s="613">
        <f>IF(BP21&gt;0,VLOOKUP(A21,'Lista Suspensa'!$A$1:$F$92,3,),0)</f>
        <v>0</v>
      </c>
      <c r="BS21" s="613">
        <f>IF(OR(BP21&gt;0,BQ21&gt;0),VLOOKUP(A21,'Lista Suspensa'!$A$1:$F$90,4,),0)</f>
        <v>0</v>
      </c>
      <c r="BT21" s="613">
        <f>IF(OR(BP21&gt;0,BQ21&gt;0),VLOOKUP(A21,'Lista Suspensa'!$A$1:$F$90,5,),0)</f>
        <v>0</v>
      </c>
      <c r="BU21" s="37">
        <f>IF(OR(BP21&gt;0,BQ21&gt;0),VLOOKUP(A21,'Lista Suspensa'!$A$1:$F$90,6,),0)</f>
        <v>0</v>
      </c>
      <c r="BV21" s="617"/>
      <c r="BW21" s="613">
        <f t="shared" si="9"/>
        <v>0</v>
      </c>
      <c r="BX21" s="613">
        <f>IF(BV21&gt;0,VLOOKUP(A21,'Lista Suspensa'!$A$1:$F$92,3,),0)</f>
        <v>0</v>
      </c>
      <c r="BY21" s="613">
        <f>IF(OR(BV21&gt;0,BW21&gt;0),VLOOKUP(A21,'Lista Suspensa'!$A$1:$F$90,4,),0)</f>
        <v>0</v>
      </c>
      <c r="BZ21" s="613">
        <f>IF(OR(BV21&gt;0,BW21&gt;0),VLOOKUP(A21,'Lista Suspensa'!$A$1:$F$90,5,),0)</f>
        <v>0</v>
      </c>
      <c r="CA21" s="37">
        <f>IF(OR(BV21&gt;0,BW21&gt;0),VLOOKUP(A21,'Lista Suspensa'!$A$1:$F$90,6,),0)</f>
        <v>0</v>
      </c>
      <c r="CB21" s="617"/>
      <c r="CC21" s="613">
        <f t="shared" si="10"/>
        <v>0</v>
      </c>
      <c r="CD21" s="613">
        <f>IF(CB21&gt;0,VLOOKUP(A21,'Lista Suspensa'!$A$1:$F$92,3,),0)</f>
        <v>0</v>
      </c>
      <c r="CE21" s="613">
        <f>IF(OR(CB21&gt;0,CC21&gt;0),VLOOKUP(A21,'Lista Suspensa'!$A$1:$F$90,4,),0)</f>
        <v>0</v>
      </c>
      <c r="CF21" s="613">
        <f>IF(OR(CB21&gt;0,CC21&gt;0),VLOOKUP(A21,'Lista Suspensa'!$A$1:$F$90,5,),0)</f>
        <v>0</v>
      </c>
      <c r="CG21" s="37">
        <f>IF(OR(CB21&gt;0,CC21&gt;0),VLOOKUP(A21,'Lista Suspensa'!$A$1:$F$90,6,),0)</f>
        <v>0</v>
      </c>
      <c r="CH21" s="617"/>
      <c r="CI21" s="613">
        <f t="shared" si="11"/>
        <v>0</v>
      </c>
      <c r="CJ21" s="613">
        <f>IF(CH21&gt;0,VLOOKUP(A21,'Lista Suspensa'!$A$1:$F$92,3,),0)</f>
        <v>0</v>
      </c>
      <c r="CK21" s="613">
        <f>IF(OR(CH21&gt;0,CI21&gt;0),VLOOKUP(A21,'Lista Suspensa'!$A$1:$F$90,4,),0)</f>
        <v>0</v>
      </c>
      <c r="CL21" s="613">
        <f>IF(OR(CH21&gt;0,CI21&gt;0),VLOOKUP(A21,'Lista Suspensa'!$A$1:$F$90,5,),0)</f>
        <v>0</v>
      </c>
      <c r="CM21" s="636">
        <f>IF(OR(CH21&gt;0,CI21&gt;0),VLOOKUP(A21,'Lista Suspensa'!$A$1:$F$90,6,),0)</f>
        <v>0</v>
      </c>
      <c r="CN21" s="645"/>
      <c r="CO21" s="403">
        <f t="shared" si="15"/>
        <v>0</v>
      </c>
      <c r="CP21" s="756">
        <f>IF(CN21&gt;0,VLOOKUP(A21,'Lista Suspensa'!$A$1:$F$92,3,),0)</f>
        <v>0</v>
      </c>
      <c r="CQ21" s="641">
        <f>IF(OR(CN21&gt;0,CO21&gt;0),VLOOKUP(A21,'Lista Suspensa'!$A$1:$F$90,6,),0)</f>
        <v>0</v>
      </c>
      <c r="CR21" s="628"/>
      <c r="CS21" s="628"/>
      <c r="CT21" s="628"/>
      <c r="CU21" s="628"/>
      <c r="CV21" s="628"/>
      <c r="CW21" s="628"/>
      <c r="CX21" s="628"/>
      <c r="CY21" s="628"/>
      <c r="CZ21" s="628"/>
      <c r="DA21" s="628"/>
      <c r="DB21" s="628"/>
      <c r="DC21" s="628"/>
      <c r="DD21" s="628"/>
      <c r="DE21" s="628"/>
      <c r="DF21" s="628"/>
      <c r="DG21" s="628"/>
      <c r="DH21" s="628"/>
    </row>
    <row r="22" spans="1:2106" s="588" customFormat="1" ht="15.75" customHeight="1">
      <c r="A22" s="614"/>
      <c r="B22" s="618"/>
      <c r="C22" s="616">
        <f t="shared" si="0"/>
        <v>0</v>
      </c>
      <c r="D22" s="616">
        <f>IF(B22&gt;0,VLOOKUP(A22,'Lista Suspensa'!$A$1:$F$92,3,),0)</f>
        <v>0</v>
      </c>
      <c r="E22" s="616">
        <f>IF(OR(B22&gt;0,C22&gt;0),VLOOKUP(A22,'Lista Suspensa'!$A$1:$F$90,4,),0)</f>
        <v>0</v>
      </c>
      <c r="F22" s="616">
        <f>IF(OR(B22&gt;0,C22&gt;0),VLOOKUP(A22,'Lista Suspensa'!$A$1:$F$90,5,),0)</f>
        <v>0</v>
      </c>
      <c r="G22" s="587">
        <f>IF(OR(B22&gt;0,C22&gt;0),VLOOKUP(A22,'Lista Suspensa'!$A$1:$F$90,6,),0)</f>
        <v>0</v>
      </c>
      <c r="H22" s="618"/>
      <c r="I22" s="623">
        <f t="shared" si="12"/>
        <v>0</v>
      </c>
      <c r="J22" s="616">
        <f>IF(H22&gt;0,VLOOKUP(A22,'Lista Suspensa'!$A$1:$F$92,3,),0)</f>
        <v>0</v>
      </c>
      <c r="K22" s="616">
        <f>IF(OR(H22&gt;0,I22&gt;0),VLOOKUP(A22,'Lista Suspensa'!$A$1:$F$90,4,),0)</f>
        <v>0</v>
      </c>
      <c r="L22" s="616">
        <f>IF(OR(H22&gt;0,I22&gt;0),VLOOKUP(A22,'Lista Suspensa'!$A$1:$F$90,5,),0)</f>
        <v>0</v>
      </c>
      <c r="M22" s="587">
        <f>IF(OR(H22&gt;0,I22&gt;0),VLOOKUP(A22,'Lista Suspensa'!$A$1:$F$90,6,),0)</f>
        <v>0</v>
      </c>
      <c r="N22" s="618"/>
      <c r="O22" s="623">
        <f t="shared" si="1"/>
        <v>0</v>
      </c>
      <c r="P22" s="616">
        <f>IF(N22&gt;0,VLOOKUP(A22,'Lista Suspensa'!$A$1:$F$92,3,),0)</f>
        <v>0</v>
      </c>
      <c r="Q22" s="616">
        <f>IF(OR(N22&gt;0,O22&gt;0),VLOOKUP(A22,'Lista Suspensa'!$A$1:$F$90,4,),0)</f>
        <v>0</v>
      </c>
      <c r="R22" s="616">
        <f>IF(OR(N22&gt;0,O22&gt;0),VLOOKUP(A22,'Lista Suspensa'!$A$1:$F$90,5,),0)</f>
        <v>0</v>
      </c>
      <c r="S22" s="587">
        <f>IF(OR(N22&gt;0,O22&gt;0),VLOOKUP(A22,'Lista Suspensa'!$A$1:$F$90,6,),0)</f>
        <v>0</v>
      </c>
      <c r="T22" s="618"/>
      <c r="U22" s="623">
        <f t="shared" si="2"/>
        <v>0</v>
      </c>
      <c r="V22" s="616">
        <f>IF(T22&gt;0,VLOOKUP(A22,'Lista Suspensa'!$A$1:$F$92,3,),0)</f>
        <v>0</v>
      </c>
      <c r="W22" s="616">
        <f>IF(OR(T22&gt;0,U22&gt;0),VLOOKUP(A22,'Lista Suspensa'!$A$1:$F$90,4,),0)</f>
        <v>0</v>
      </c>
      <c r="X22" s="616">
        <f>IF(OR(T22&gt;0,U22&gt;0),VLOOKUP(A22,'Lista Suspensa'!$A$1:$F$90,5,),0)</f>
        <v>0</v>
      </c>
      <c r="Y22" s="587">
        <f>IF(OR(T22&gt;0,U22&gt;0),VLOOKUP(A22,'Lista Suspensa'!$A$1:$F$90,6,),0)</f>
        <v>0</v>
      </c>
      <c r="Z22" s="618"/>
      <c r="AA22" s="623">
        <f t="shared" si="3"/>
        <v>0</v>
      </c>
      <c r="AB22" s="616">
        <f>IF(Z22&gt;0,VLOOKUP(A22,'Lista Suspensa'!$A$1:$F$92,3,),0)</f>
        <v>0</v>
      </c>
      <c r="AC22" s="616">
        <f>IF(OR(Z22&gt;0,AA22&gt;0),VLOOKUP(A22,'Lista Suspensa'!$A$1:$F$90,4,),0)</f>
        <v>0</v>
      </c>
      <c r="AD22" s="616">
        <f>IF(OR(Z22&gt;0,AA22&gt;0),VLOOKUP(A22,'Lista Suspensa'!$A$1:$F$90,5,),0)</f>
        <v>0</v>
      </c>
      <c r="AE22" s="587">
        <f>IF(OR(Z22&gt;0,AA22&gt;0),VLOOKUP(A22,'Lista Suspensa'!$A$1:$F$90,6,),0)</f>
        <v>0</v>
      </c>
      <c r="AF22" s="618"/>
      <c r="AG22" s="623">
        <f t="shared" si="13"/>
        <v>0</v>
      </c>
      <c r="AH22" s="616">
        <f>IF(AF22&gt;0,VLOOKUP(A22,'Lista Suspensa'!$A$1:$F$92,3,),0)</f>
        <v>0</v>
      </c>
      <c r="AI22" s="616">
        <f>IF(OR(AF22&gt;0,AG22&gt;0),VLOOKUP(A22,'Lista Suspensa'!$A$1:$F$90,4,),0)</f>
        <v>0</v>
      </c>
      <c r="AJ22" s="616">
        <f>IF(OR(AF22&gt;0,AG22&gt;0),VLOOKUP(A22,'Lista Suspensa'!$A$1:$F$90,5,),0)</f>
        <v>0</v>
      </c>
      <c r="AK22" s="587">
        <f>IF(OR(AF22&gt;0,AG22&gt;0),VLOOKUP(A22,'Lista Suspensa'!$A$1:$F$90,6,),0)</f>
        <v>0</v>
      </c>
      <c r="AL22" s="618"/>
      <c r="AM22" s="623">
        <f t="shared" si="4"/>
        <v>0</v>
      </c>
      <c r="AN22" s="616">
        <f>IF(AL22&gt;0,VLOOKUP(A22,'Lista Suspensa'!$A$1:$F$92,3,),0)</f>
        <v>0</v>
      </c>
      <c r="AO22" s="616">
        <f>IF(OR(AL22&gt;0,AM22&gt;0),VLOOKUP(A22,'Lista Suspensa'!$A$1:$F$90,4,),0)</f>
        <v>0</v>
      </c>
      <c r="AP22" s="616">
        <f>IF(OR(AL22&gt;0,AM22&gt;0),VLOOKUP(A22,'Lista Suspensa'!$A$1:$F$90,5,),0)</f>
        <v>0</v>
      </c>
      <c r="AQ22" s="587">
        <f>IF(OR(AL22&gt;0,AM22&gt;0),VLOOKUP(A22,'Lista Suspensa'!$A$1:$F$90,6,),0)</f>
        <v>0</v>
      </c>
      <c r="AR22" s="618"/>
      <c r="AS22" s="623">
        <f t="shared" si="14"/>
        <v>0</v>
      </c>
      <c r="AT22" s="616">
        <f>IF(AR22&gt;0,VLOOKUP(A22,'Lista Suspensa'!$A$1:$F$92,3,),0)</f>
        <v>0</v>
      </c>
      <c r="AU22" s="616">
        <f>IF(OR(AR22&gt;0,AS22&gt;0),VLOOKUP(A22,'Lista Suspensa'!$A$1:$F$90,4,),0)</f>
        <v>0</v>
      </c>
      <c r="AV22" s="616">
        <f>IF(OR(AR22&gt;0,AS22&gt;0),VLOOKUP(A22,'Lista Suspensa'!$A$1:$F$90,5,),0)</f>
        <v>0</v>
      </c>
      <c r="AW22" s="586">
        <f>IF(OR(AR22&gt;0,AS22&gt;0),VLOOKUP(A22,'Lista Suspensa'!$A$1:$F$90,6,),0)</f>
        <v>0</v>
      </c>
      <c r="AX22" s="618"/>
      <c r="AY22" s="623">
        <f t="shared" si="5"/>
        <v>0</v>
      </c>
      <c r="AZ22" s="616">
        <f>IF(AX22&gt;0,VLOOKUP(A22,'Lista Suspensa'!$A$1:$F$92,3,),0)</f>
        <v>0</v>
      </c>
      <c r="BA22" s="616">
        <f>IF(OR(AX22&gt;0,AY22&gt;0),VLOOKUP(A22,'Lista Suspensa'!$A$1:$F$90,4,),0)</f>
        <v>0</v>
      </c>
      <c r="BB22" s="616">
        <f>IF(OR(AX22&gt;0,AY22&gt;0),VLOOKUP(A22,'Lista Suspensa'!$A$1:$F$90,5,),0)</f>
        <v>0</v>
      </c>
      <c r="BC22" s="586">
        <f>IF(OR(AX22&gt;0,AY22&gt;0),VLOOKUP(A22,'Lista Suspensa'!$A$1:$F$90,6,),0)</f>
        <v>0</v>
      </c>
      <c r="BD22" s="618"/>
      <c r="BE22" s="623">
        <f t="shared" si="6"/>
        <v>0</v>
      </c>
      <c r="BF22" s="616">
        <f>IF(BD22&gt;0,VLOOKUP(A22,'Lista Suspensa'!$A$1:$F$92,3,),0)</f>
        <v>0</v>
      </c>
      <c r="BG22" s="616">
        <f>IF(OR(BD22&gt;0,BE22&gt;0),VLOOKUP(A22,'Lista Suspensa'!$A$1:$F$90,4,),0)</f>
        <v>0</v>
      </c>
      <c r="BH22" s="616">
        <f>IF(OR(BD22&gt;0,BE22&gt;0),VLOOKUP(A22,'Lista Suspensa'!$A$1:$F$90,5,),0)</f>
        <v>0</v>
      </c>
      <c r="BI22" s="586">
        <f>IF(OR(BD22&gt;0,BE22&gt;0),VLOOKUP(A22,'Lista Suspensa'!$A$1:$F$90,6,),0)</f>
        <v>0</v>
      </c>
      <c r="BJ22" s="618"/>
      <c r="BK22" s="623">
        <f t="shared" si="7"/>
        <v>0</v>
      </c>
      <c r="BL22" s="616">
        <f>IF(BJ22&gt;0,VLOOKUP(A22,'Lista Suspensa'!$A$1:$F$92,3,),0)</f>
        <v>0</v>
      </c>
      <c r="BM22" s="616">
        <f>IF(OR(BJ22&gt;0,BK22&gt;0),VLOOKUP(A22,'Lista Suspensa'!$A$1:$F$90,4,),0)</f>
        <v>0</v>
      </c>
      <c r="BN22" s="616">
        <f>IF(OR(BJ22&gt;0,BK22&gt;0),VLOOKUP(A22,'Lista Suspensa'!$A$1:$F$90,5,),0)</f>
        <v>0</v>
      </c>
      <c r="BO22" s="586">
        <f>IF(OR(BJ22&gt;0,BK22&gt;0),VLOOKUP(A22,'Lista Suspensa'!$A$1:$F$90,6,),0)</f>
        <v>0</v>
      </c>
      <c r="BP22" s="618"/>
      <c r="BQ22" s="623">
        <f t="shared" si="8"/>
        <v>0</v>
      </c>
      <c r="BR22" s="616">
        <f>IF(BP22&gt;0,VLOOKUP(A22,'Lista Suspensa'!$A$1:$F$92,3,),0)</f>
        <v>0</v>
      </c>
      <c r="BS22" s="616">
        <f>IF(OR(BP22&gt;0,BQ22&gt;0),VLOOKUP(A22,'Lista Suspensa'!$A$1:$F$90,4,),0)</f>
        <v>0</v>
      </c>
      <c r="BT22" s="616">
        <f>IF(OR(BP22&gt;0,BQ22&gt;0),VLOOKUP(A22,'Lista Suspensa'!$A$1:$F$90,5,),0)</f>
        <v>0</v>
      </c>
      <c r="BU22" s="586">
        <f>IF(OR(BP22&gt;0,BQ22&gt;0),VLOOKUP(A22,'Lista Suspensa'!$A$1:$F$90,6,),0)</f>
        <v>0</v>
      </c>
      <c r="BV22" s="618"/>
      <c r="BW22" s="623">
        <f t="shared" si="9"/>
        <v>0</v>
      </c>
      <c r="BX22" s="616">
        <f>IF(BV22&gt;0,VLOOKUP(A22,'Lista Suspensa'!$A$1:$F$92,3,),0)</f>
        <v>0</v>
      </c>
      <c r="BY22" s="616">
        <f>IF(OR(BV22&gt;0,BW22&gt;0),VLOOKUP(A22,'Lista Suspensa'!$A$1:$F$90,4,),0)</f>
        <v>0</v>
      </c>
      <c r="BZ22" s="616">
        <f>IF(OR(BV22&gt;0,BW22&gt;0),VLOOKUP(A22,'Lista Suspensa'!$A$1:$F$90,5,),0)</f>
        <v>0</v>
      </c>
      <c r="CA22" s="586">
        <f>IF(OR(BV22&gt;0,BW22&gt;0),VLOOKUP(A22,'Lista Suspensa'!$A$1:$F$90,6,),0)</f>
        <v>0</v>
      </c>
      <c r="CB22" s="618"/>
      <c r="CC22" s="623">
        <f t="shared" si="10"/>
        <v>0</v>
      </c>
      <c r="CD22" s="616">
        <f>IF(CB22&gt;0,VLOOKUP(A22,'Lista Suspensa'!$A$1:$F$92,3,),0)</f>
        <v>0</v>
      </c>
      <c r="CE22" s="616">
        <f>IF(OR(CB22&gt;0,CC22&gt;0),VLOOKUP(A22,'Lista Suspensa'!$A$1:$F$90,4,),0)</f>
        <v>0</v>
      </c>
      <c r="CF22" s="616">
        <f>IF(OR(CB22&gt;0,CC22&gt;0),VLOOKUP(A22,'Lista Suspensa'!$A$1:$F$90,5,),0)</f>
        <v>0</v>
      </c>
      <c r="CG22" s="586">
        <f>IF(OR(CB22&gt;0,CC22&gt;0),VLOOKUP(A22,'Lista Suspensa'!$A$1:$F$90,6,),0)</f>
        <v>0</v>
      </c>
      <c r="CH22" s="618"/>
      <c r="CI22" s="623">
        <f t="shared" si="11"/>
        <v>0</v>
      </c>
      <c r="CJ22" s="616">
        <f>IF(CH22&gt;0,VLOOKUP(A22,'Lista Suspensa'!$A$1:$F$92,3,),0)</f>
        <v>0</v>
      </c>
      <c r="CK22" s="616">
        <f>IF(OR(CH22&gt;0,CI22&gt;0),VLOOKUP(A22,'Lista Suspensa'!$A$1:$F$90,4,),0)</f>
        <v>0</v>
      </c>
      <c r="CL22" s="616">
        <f>IF(OR(CH22&gt;0,CI22&gt;0),VLOOKUP(A22,'Lista Suspensa'!$A$1:$F$90,5,),0)</f>
        <v>0</v>
      </c>
      <c r="CM22" s="637">
        <f>IF(OR(CH22&gt;0,CI22&gt;0),VLOOKUP(A22,'Lista Suspensa'!$A$1:$F$90,6,),0)</f>
        <v>0</v>
      </c>
      <c r="CN22" s="646"/>
      <c r="CO22" s="403">
        <f t="shared" si="15"/>
        <v>0</v>
      </c>
      <c r="CP22" s="756">
        <f>IF(CN22&gt;0,VLOOKUP(A22,'Lista Suspensa'!$A$1:$F$92,3,),0)</f>
        <v>0</v>
      </c>
      <c r="CQ22" s="643">
        <f>IF(OR(CN22&gt;0,CO22&gt;0),VLOOKUP(A22,'Lista Suspensa'!$A$1:$F$90,6,),0)</f>
        <v>0</v>
      </c>
      <c r="CR22" s="628"/>
      <c r="CS22" s="628"/>
      <c r="CT22" s="628"/>
      <c r="CU22" s="628"/>
      <c r="CV22" s="628"/>
      <c r="CW22" s="628"/>
      <c r="CX22" s="628"/>
      <c r="CY22" s="628"/>
      <c r="CZ22" s="628"/>
      <c r="DA22" s="628"/>
      <c r="DB22" s="628"/>
      <c r="DC22" s="628"/>
      <c r="DD22" s="628"/>
      <c r="DE22" s="628"/>
      <c r="DF22" s="628"/>
      <c r="DG22" s="628"/>
      <c r="DH22" s="628"/>
      <c r="DI22" s="583"/>
      <c r="DJ22" s="583"/>
      <c r="DK22" s="583"/>
      <c r="DL22" s="583"/>
      <c r="DM22" s="583"/>
      <c r="DN22" s="583"/>
      <c r="DO22" s="583"/>
      <c r="DP22" s="583"/>
      <c r="DQ22" s="583"/>
      <c r="DR22" s="583"/>
      <c r="DS22" s="583"/>
      <c r="DT22" s="583"/>
      <c r="DU22" s="583"/>
      <c r="DV22" s="583"/>
      <c r="DW22" s="583"/>
      <c r="DX22" s="583"/>
      <c r="DY22" s="583"/>
      <c r="DZ22" s="583"/>
      <c r="EA22" s="583"/>
      <c r="EB22" s="583"/>
      <c r="EC22" s="583"/>
      <c r="ED22" s="583"/>
      <c r="EE22" s="583"/>
      <c r="EF22" s="583"/>
      <c r="EG22" s="583"/>
      <c r="EH22" s="583"/>
      <c r="EI22" s="583"/>
      <c r="EJ22" s="583"/>
      <c r="EK22" s="583"/>
      <c r="EL22" s="583"/>
      <c r="EM22" s="583"/>
      <c r="EN22" s="583"/>
      <c r="EO22" s="583"/>
      <c r="EP22" s="583"/>
      <c r="EQ22" s="583"/>
      <c r="ER22" s="583"/>
      <c r="ES22" s="583"/>
      <c r="ET22" s="583"/>
      <c r="EU22" s="583"/>
      <c r="EV22" s="583"/>
      <c r="EW22" s="583"/>
      <c r="EX22" s="583"/>
      <c r="EY22" s="583"/>
      <c r="EZ22" s="583"/>
      <c r="FA22" s="583"/>
      <c r="FB22" s="583"/>
      <c r="FC22" s="583"/>
      <c r="FD22" s="583"/>
      <c r="FE22" s="583"/>
      <c r="FF22" s="583"/>
      <c r="FG22" s="583"/>
      <c r="FH22" s="583"/>
      <c r="FI22" s="583"/>
      <c r="FJ22" s="583"/>
      <c r="FK22" s="583"/>
      <c r="FL22" s="583"/>
      <c r="FM22" s="583"/>
      <c r="FN22" s="583"/>
      <c r="FO22" s="583"/>
      <c r="FP22" s="583"/>
      <c r="FQ22" s="583"/>
      <c r="FR22" s="583"/>
      <c r="FS22" s="583"/>
      <c r="FT22" s="583"/>
      <c r="FU22" s="583"/>
      <c r="FV22" s="583"/>
      <c r="FW22" s="583"/>
      <c r="FX22" s="583"/>
      <c r="FY22" s="583"/>
      <c r="FZ22" s="583"/>
      <c r="GA22" s="583"/>
      <c r="GB22" s="583"/>
      <c r="GC22" s="583"/>
      <c r="GD22" s="583"/>
      <c r="GE22" s="583"/>
      <c r="GF22" s="583"/>
      <c r="GG22" s="583"/>
      <c r="GH22" s="583"/>
      <c r="GI22" s="583"/>
      <c r="GJ22" s="583"/>
      <c r="GK22" s="583"/>
      <c r="GL22" s="583"/>
      <c r="GM22" s="583"/>
      <c r="GN22" s="583"/>
      <c r="GO22" s="583"/>
      <c r="GP22" s="583"/>
      <c r="GQ22" s="583"/>
      <c r="GR22" s="583"/>
      <c r="GS22" s="583"/>
      <c r="GT22" s="583"/>
      <c r="GU22" s="583"/>
      <c r="GV22" s="583"/>
      <c r="GW22" s="583"/>
      <c r="GX22" s="583"/>
      <c r="GY22" s="583"/>
      <c r="GZ22" s="583"/>
      <c r="HA22" s="583"/>
      <c r="HB22" s="583"/>
      <c r="HC22" s="583"/>
      <c r="HD22" s="583"/>
      <c r="HE22" s="583"/>
      <c r="HF22" s="583"/>
      <c r="HG22" s="583"/>
      <c r="HH22" s="583"/>
      <c r="HI22" s="583"/>
      <c r="HJ22" s="583"/>
      <c r="HK22" s="583"/>
      <c r="HL22" s="583"/>
      <c r="HM22" s="583"/>
      <c r="HN22" s="583"/>
      <c r="HO22" s="583"/>
      <c r="HP22" s="583"/>
      <c r="HQ22" s="583"/>
      <c r="HR22" s="583"/>
      <c r="HS22" s="583"/>
      <c r="HT22" s="583"/>
      <c r="HU22" s="583"/>
      <c r="HV22" s="583"/>
      <c r="HW22" s="583"/>
      <c r="HX22" s="583"/>
      <c r="HY22" s="583"/>
      <c r="HZ22" s="583"/>
      <c r="IA22" s="583"/>
      <c r="IB22" s="583"/>
      <c r="IC22" s="583"/>
      <c r="ID22" s="583"/>
      <c r="IE22" s="583"/>
      <c r="IF22" s="583"/>
      <c r="IG22" s="583"/>
      <c r="IH22" s="583"/>
      <c r="II22" s="583"/>
      <c r="IJ22" s="583"/>
      <c r="IK22" s="583"/>
      <c r="IL22" s="583"/>
      <c r="IM22" s="583"/>
      <c r="IN22" s="583"/>
      <c r="IO22" s="583"/>
      <c r="IP22" s="583"/>
      <c r="IQ22" s="583"/>
      <c r="IR22" s="583"/>
      <c r="IS22" s="583"/>
      <c r="IT22" s="583"/>
      <c r="IU22" s="583"/>
      <c r="IV22" s="583"/>
      <c r="IW22" s="583"/>
      <c r="IX22" s="583"/>
      <c r="IY22" s="583"/>
      <c r="IZ22" s="583"/>
      <c r="JA22" s="583"/>
      <c r="JB22" s="583"/>
      <c r="JC22" s="583"/>
      <c r="JD22" s="583"/>
      <c r="JE22" s="583"/>
      <c r="JF22" s="583"/>
      <c r="JG22" s="583"/>
      <c r="JH22" s="583"/>
      <c r="JI22" s="583"/>
      <c r="JJ22" s="583"/>
      <c r="JK22" s="583"/>
      <c r="JL22" s="583"/>
      <c r="JM22" s="583"/>
      <c r="JN22" s="583"/>
      <c r="JO22" s="583"/>
      <c r="JP22" s="583"/>
      <c r="JQ22" s="583"/>
      <c r="JR22" s="583"/>
      <c r="JS22" s="583"/>
      <c r="JT22" s="583"/>
      <c r="JU22" s="583"/>
      <c r="JV22" s="583"/>
      <c r="JW22" s="583"/>
      <c r="JX22" s="583"/>
      <c r="JY22" s="583"/>
      <c r="JZ22" s="583"/>
      <c r="KA22" s="583"/>
      <c r="KB22" s="583"/>
      <c r="KC22" s="583"/>
      <c r="KD22" s="583"/>
      <c r="KE22" s="583"/>
      <c r="KF22" s="583"/>
      <c r="KG22" s="583"/>
      <c r="KH22" s="583"/>
      <c r="KI22" s="583"/>
      <c r="KJ22" s="583"/>
      <c r="KK22" s="583"/>
      <c r="KL22" s="583"/>
      <c r="KM22" s="583"/>
      <c r="KN22" s="583"/>
      <c r="KO22" s="583"/>
      <c r="KP22" s="583"/>
      <c r="KQ22" s="583"/>
      <c r="KR22" s="583"/>
      <c r="KS22" s="583"/>
      <c r="KT22" s="583"/>
      <c r="KU22" s="583"/>
      <c r="KV22" s="583"/>
      <c r="KW22" s="583"/>
      <c r="KX22" s="583"/>
      <c r="KY22" s="583"/>
      <c r="KZ22" s="583"/>
      <c r="LA22" s="583"/>
      <c r="LB22" s="583"/>
      <c r="LC22" s="583"/>
      <c r="LD22" s="583"/>
      <c r="LE22" s="583"/>
      <c r="LF22" s="583"/>
      <c r="LG22" s="583"/>
      <c r="LH22" s="583"/>
      <c r="LI22" s="583"/>
      <c r="LJ22" s="583"/>
      <c r="LK22" s="583"/>
      <c r="LL22" s="583"/>
      <c r="LM22" s="583"/>
      <c r="LN22" s="583"/>
      <c r="LO22" s="583"/>
      <c r="LP22" s="583"/>
      <c r="LQ22" s="583"/>
      <c r="LR22" s="583"/>
      <c r="LS22" s="583"/>
      <c r="LT22" s="583"/>
      <c r="LU22" s="583"/>
      <c r="LV22" s="583"/>
      <c r="LW22" s="583"/>
      <c r="LX22" s="583"/>
      <c r="LY22" s="583"/>
      <c r="LZ22" s="583"/>
      <c r="MA22" s="583"/>
      <c r="MB22" s="583"/>
      <c r="MC22" s="583"/>
      <c r="MD22" s="583"/>
      <c r="ME22" s="583"/>
      <c r="MF22" s="583"/>
      <c r="MG22" s="583"/>
      <c r="MH22" s="583"/>
      <c r="MI22" s="583"/>
      <c r="MJ22" s="583"/>
      <c r="MK22" s="583"/>
      <c r="ML22" s="583"/>
      <c r="MM22" s="583"/>
      <c r="MN22" s="583"/>
      <c r="MO22" s="583"/>
      <c r="MP22" s="583"/>
      <c r="MQ22" s="583"/>
      <c r="MR22" s="583"/>
      <c r="MS22" s="583"/>
      <c r="MT22" s="583"/>
      <c r="MU22" s="583"/>
      <c r="MV22" s="583"/>
      <c r="MW22" s="583"/>
      <c r="MX22" s="583"/>
      <c r="MY22" s="583"/>
      <c r="MZ22" s="583"/>
      <c r="NA22" s="583"/>
      <c r="NB22" s="583"/>
      <c r="NC22" s="583"/>
      <c r="ND22" s="583"/>
      <c r="NE22" s="583"/>
      <c r="NF22" s="583"/>
      <c r="NG22" s="583"/>
      <c r="NH22" s="583"/>
      <c r="NI22" s="583"/>
      <c r="NJ22" s="583"/>
      <c r="NK22" s="583"/>
      <c r="NL22" s="583"/>
      <c r="NM22" s="583"/>
      <c r="NN22" s="583"/>
      <c r="NO22" s="583"/>
      <c r="NP22" s="583"/>
      <c r="NQ22" s="583"/>
      <c r="NR22" s="583"/>
      <c r="NS22" s="583"/>
      <c r="NT22" s="583"/>
      <c r="NU22" s="583"/>
      <c r="NV22" s="583"/>
      <c r="NW22" s="583"/>
      <c r="NX22" s="583"/>
      <c r="NY22" s="583"/>
      <c r="NZ22" s="583"/>
      <c r="OA22" s="583"/>
      <c r="OB22" s="583"/>
      <c r="OC22" s="583"/>
      <c r="OD22" s="583"/>
      <c r="OE22" s="583"/>
      <c r="OF22" s="583"/>
      <c r="OG22" s="583"/>
      <c r="OH22" s="583"/>
      <c r="OI22" s="583"/>
      <c r="OJ22" s="583"/>
      <c r="OK22" s="583"/>
      <c r="OL22" s="583"/>
      <c r="OM22" s="583"/>
      <c r="ON22" s="583"/>
      <c r="OO22" s="583"/>
      <c r="OP22" s="583"/>
      <c r="OQ22" s="583"/>
      <c r="OR22" s="583"/>
      <c r="OS22" s="583"/>
      <c r="OT22" s="583"/>
      <c r="OU22" s="583"/>
      <c r="OV22" s="583"/>
      <c r="OW22" s="583"/>
      <c r="OX22" s="583"/>
      <c r="OY22" s="583"/>
      <c r="OZ22" s="583"/>
      <c r="PA22" s="583"/>
      <c r="PB22" s="583"/>
      <c r="PC22" s="583"/>
      <c r="PD22" s="583"/>
      <c r="PE22" s="583"/>
      <c r="PF22" s="583"/>
      <c r="PG22" s="583"/>
      <c r="PH22" s="583"/>
      <c r="PI22" s="583"/>
      <c r="PJ22" s="583"/>
      <c r="PK22" s="583"/>
      <c r="PL22" s="583"/>
      <c r="PM22" s="583"/>
      <c r="PN22" s="583"/>
      <c r="PO22" s="583"/>
      <c r="PP22" s="583"/>
      <c r="PQ22" s="583"/>
      <c r="PR22" s="583"/>
      <c r="PS22" s="583"/>
      <c r="PT22" s="583"/>
      <c r="PU22" s="583"/>
      <c r="PV22" s="583"/>
      <c r="PW22" s="583"/>
      <c r="PX22" s="583"/>
      <c r="PY22" s="583"/>
      <c r="PZ22" s="583"/>
      <c r="QA22" s="583"/>
      <c r="QB22" s="583"/>
      <c r="QC22" s="583"/>
      <c r="QD22" s="583"/>
      <c r="QE22" s="583"/>
      <c r="QF22" s="583"/>
      <c r="QG22" s="583"/>
      <c r="QH22" s="583"/>
      <c r="QI22" s="583"/>
      <c r="QJ22" s="583"/>
      <c r="QK22" s="583"/>
      <c r="QL22" s="583"/>
      <c r="QM22" s="583"/>
      <c r="QN22" s="583"/>
      <c r="QO22" s="583"/>
      <c r="QP22" s="583"/>
      <c r="QQ22" s="583"/>
      <c r="QR22" s="583"/>
      <c r="QS22" s="583"/>
      <c r="QT22" s="583"/>
      <c r="QU22" s="583"/>
      <c r="QV22" s="583"/>
      <c r="QW22" s="583"/>
      <c r="QX22" s="583"/>
      <c r="QY22" s="583"/>
      <c r="QZ22" s="583"/>
      <c r="RA22" s="583"/>
      <c r="RB22" s="583"/>
      <c r="RC22" s="583"/>
      <c r="RD22" s="583"/>
      <c r="RE22" s="583"/>
      <c r="RF22" s="583"/>
      <c r="RG22" s="583"/>
      <c r="RH22" s="583"/>
      <c r="RI22" s="583"/>
      <c r="RJ22" s="583"/>
      <c r="RK22" s="583"/>
      <c r="RL22" s="583"/>
      <c r="RM22" s="583"/>
      <c r="RN22" s="583"/>
      <c r="RO22" s="583"/>
      <c r="RP22" s="583"/>
      <c r="RQ22" s="583"/>
      <c r="RR22" s="583"/>
      <c r="RS22" s="583"/>
      <c r="RT22" s="583"/>
      <c r="RU22" s="583"/>
      <c r="RV22" s="583"/>
      <c r="RW22" s="583"/>
      <c r="RX22" s="583"/>
      <c r="RY22" s="583"/>
      <c r="RZ22" s="583"/>
      <c r="SA22" s="583"/>
      <c r="SB22" s="583"/>
      <c r="SC22" s="583"/>
      <c r="SD22" s="583"/>
      <c r="SE22" s="583"/>
      <c r="SF22" s="583"/>
      <c r="SG22" s="583"/>
      <c r="SH22" s="583"/>
      <c r="SI22" s="583"/>
      <c r="SJ22" s="583"/>
      <c r="SK22" s="583"/>
      <c r="SL22" s="583"/>
      <c r="SM22" s="583"/>
      <c r="SN22" s="583"/>
      <c r="SO22" s="583"/>
      <c r="SP22" s="583"/>
      <c r="SQ22" s="583"/>
      <c r="SR22" s="583"/>
      <c r="SS22" s="583"/>
      <c r="ST22" s="583"/>
      <c r="SU22" s="583"/>
      <c r="SV22" s="583"/>
      <c r="SW22" s="583"/>
      <c r="SX22" s="583"/>
      <c r="SY22" s="583"/>
      <c r="SZ22" s="583"/>
      <c r="TA22" s="583"/>
      <c r="TB22" s="583"/>
      <c r="TC22" s="583"/>
      <c r="TD22" s="583"/>
      <c r="TE22" s="583"/>
      <c r="TF22" s="583"/>
      <c r="TG22" s="583"/>
      <c r="TH22" s="583"/>
      <c r="TI22" s="583"/>
      <c r="TJ22" s="583"/>
      <c r="TK22" s="583"/>
      <c r="TL22" s="583"/>
      <c r="TM22" s="583"/>
      <c r="TN22" s="583"/>
      <c r="TO22" s="583"/>
      <c r="TP22" s="583"/>
      <c r="TQ22" s="583"/>
      <c r="TR22" s="583"/>
      <c r="TS22" s="583"/>
      <c r="TT22" s="583"/>
      <c r="TU22" s="583"/>
      <c r="TV22" s="583"/>
      <c r="TW22" s="583"/>
      <c r="TX22" s="583"/>
      <c r="TY22" s="583"/>
      <c r="TZ22" s="583"/>
      <c r="UA22" s="583"/>
      <c r="UB22" s="583"/>
      <c r="UC22" s="583"/>
      <c r="UD22" s="583"/>
      <c r="UE22" s="583"/>
      <c r="UF22" s="583"/>
      <c r="UG22" s="583"/>
      <c r="UH22" s="583"/>
      <c r="UI22" s="583"/>
      <c r="UJ22" s="583"/>
      <c r="UK22" s="583"/>
      <c r="UL22" s="583"/>
      <c r="UM22" s="583"/>
      <c r="UN22" s="583"/>
      <c r="UO22" s="583"/>
      <c r="UP22" s="583"/>
      <c r="UQ22" s="583"/>
      <c r="UR22" s="583"/>
      <c r="US22" s="583"/>
      <c r="UT22" s="583"/>
      <c r="UU22" s="583"/>
      <c r="UV22" s="583"/>
      <c r="UW22" s="583"/>
      <c r="UX22" s="583"/>
      <c r="UY22" s="583"/>
      <c r="UZ22" s="583"/>
      <c r="VA22" s="583"/>
      <c r="VB22" s="583"/>
      <c r="VC22" s="583"/>
      <c r="VD22" s="583"/>
      <c r="VE22" s="583"/>
      <c r="VF22" s="583"/>
      <c r="VG22" s="583"/>
      <c r="VH22" s="583"/>
      <c r="VI22" s="583"/>
      <c r="VJ22" s="583"/>
      <c r="VK22" s="583"/>
      <c r="VL22" s="583"/>
      <c r="VM22" s="583"/>
      <c r="VN22" s="583"/>
      <c r="VO22" s="583"/>
      <c r="VP22" s="583"/>
      <c r="VQ22" s="583"/>
      <c r="VR22" s="583"/>
      <c r="VS22" s="583"/>
      <c r="VT22" s="583"/>
      <c r="VU22" s="583"/>
      <c r="VV22" s="583"/>
      <c r="VW22" s="583"/>
      <c r="VX22" s="583"/>
      <c r="VY22" s="583"/>
      <c r="VZ22" s="583"/>
      <c r="WA22" s="583"/>
      <c r="WB22" s="583"/>
      <c r="WC22" s="583"/>
      <c r="WD22" s="583"/>
      <c r="WE22" s="583"/>
      <c r="WF22" s="583"/>
      <c r="WG22" s="583"/>
      <c r="WH22" s="583"/>
      <c r="WI22" s="583"/>
      <c r="WJ22" s="583"/>
      <c r="WK22" s="583"/>
      <c r="WL22" s="583"/>
      <c r="WM22" s="583"/>
      <c r="WN22" s="583"/>
      <c r="WO22" s="583"/>
      <c r="WP22" s="583"/>
      <c r="WQ22" s="583"/>
      <c r="WR22" s="583"/>
      <c r="WS22" s="583"/>
      <c r="WT22" s="583"/>
      <c r="WU22" s="583"/>
      <c r="WV22" s="583"/>
      <c r="WW22" s="583"/>
      <c r="WX22" s="583"/>
      <c r="WY22" s="583"/>
      <c r="WZ22" s="583"/>
      <c r="XA22" s="583"/>
      <c r="XB22" s="583"/>
      <c r="XC22" s="583"/>
      <c r="XD22" s="583"/>
      <c r="XE22" s="583"/>
      <c r="XF22" s="583"/>
      <c r="XG22" s="583"/>
      <c r="XH22" s="583"/>
      <c r="XI22" s="583"/>
      <c r="XJ22" s="583"/>
      <c r="XK22" s="583"/>
      <c r="XL22" s="583"/>
      <c r="XM22" s="583"/>
      <c r="XN22" s="583"/>
      <c r="XO22" s="583"/>
      <c r="XP22" s="583"/>
      <c r="XQ22" s="583"/>
      <c r="XR22" s="583"/>
      <c r="XS22" s="583"/>
      <c r="XT22" s="583"/>
      <c r="XU22" s="583"/>
      <c r="XV22" s="583"/>
      <c r="XW22" s="583"/>
      <c r="XX22" s="583"/>
      <c r="XY22" s="583"/>
      <c r="XZ22" s="583"/>
      <c r="YA22" s="583"/>
      <c r="YB22" s="583"/>
      <c r="YC22" s="583"/>
      <c r="YD22" s="583"/>
      <c r="YE22" s="583"/>
      <c r="YF22" s="583"/>
      <c r="YG22" s="583"/>
      <c r="YH22" s="583"/>
      <c r="YI22" s="583"/>
      <c r="YJ22" s="583"/>
      <c r="YK22" s="583"/>
      <c r="YL22" s="583"/>
      <c r="YM22" s="583"/>
      <c r="YN22" s="583"/>
      <c r="YO22" s="583"/>
      <c r="YP22" s="583"/>
      <c r="YQ22" s="583"/>
      <c r="YR22" s="583"/>
      <c r="YS22" s="583"/>
      <c r="YT22" s="583"/>
      <c r="YU22" s="583"/>
      <c r="YV22" s="583"/>
      <c r="YW22" s="583"/>
      <c r="YX22" s="583"/>
      <c r="YY22" s="583"/>
      <c r="YZ22" s="583"/>
      <c r="ZA22" s="583"/>
      <c r="ZB22" s="583"/>
      <c r="ZC22" s="583"/>
      <c r="ZD22" s="583"/>
      <c r="ZE22" s="583"/>
      <c r="ZF22" s="583"/>
      <c r="ZG22" s="583"/>
      <c r="ZH22" s="583"/>
      <c r="ZI22" s="583"/>
      <c r="ZJ22" s="583"/>
      <c r="ZK22" s="583"/>
      <c r="ZL22" s="583"/>
      <c r="ZM22" s="583"/>
      <c r="ZN22" s="583"/>
      <c r="ZO22" s="583"/>
      <c r="ZP22" s="583"/>
      <c r="ZQ22" s="583"/>
      <c r="ZR22" s="583"/>
      <c r="ZS22" s="583"/>
      <c r="ZT22" s="583"/>
      <c r="ZU22" s="583"/>
      <c r="ZV22" s="583"/>
      <c r="ZW22" s="583"/>
      <c r="ZX22" s="583"/>
      <c r="ZY22" s="583"/>
      <c r="ZZ22" s="583"/>
      <c r="AAA22" s="583"/>
      <c r="AAB22" s="583"/>
      <c r="AAC22" s="583"/>
      <c r="AAD22" s="583"/>
      <c r="AAE22" s="583"/>
      <c r="AAF22" s="583"/>
      <c r="AAG22" s="583"/>
      <c r="AAH22" s="583"/>
      <c r="AAI22" s="583"/>
      <c r="AAJ22" s="583"/>
      <c r="AAK22" s="583"/>
      <c r="AAL22" s="583"/>
      <c r="AAM22" s="583"/>
      <c r="AAN22" s="583"/>
      <c r="AAO22" s="583"/>
      <c r="AAP22" s="583"/>
      <c r="AAQ22" s="583"/>
      <c r="AAR22" s="583"/>
      <c r="AAS22" s="583"/>
      <c r="AAT22" s="583"/>
      <c r="AAU22" s="583"/>
      <c r="AAV22" s="583"/>
      <c r="AAW22" s="583"/>
      <c r="AAX22" s="583"/>
      <c r="AAY22" s="583"/>
      <c r="AAZ22" s="583"/>
      <c r="ABA22" s="583"/>
      <c r="ABB22" s="583"/>
      <c r="ABC22" s="583"/>
      <c r="ABD22" s="583"/>
      <c r="ABE22" s="583"/>
      <c r="ABF22" s="583"/>
      <c r="ABG22" s="583"/>
      <c r="ABH22" s="583"/>
      <c r="ABI22" s="583"/>
      <c r="ABJ22" s="583"/>
      <c r="ABK22" s="583"/>
      <c r="ABL22" s="583"/>
      <c r="ABM22" s="583"/>
      <c r="ABN22" s="583"/>
      <c r="ABO22" s="583"/>
      <c r="ABP22" s="583"/>
      <c r="ABQ22" s="583"/>
      <c r="ABR22" s="583"/>
      <c r="ABS22" s="583"/>
      <c r="ABT22" s="583"/>
      <c r="ABU22" s="583"/>
      <c r="ABV22" s="583"/>
      <c r="ABW22" s="583"/>
      <c r="ABX22" s="583"/>
      <c r="ABY22" s="583"/>
      <c r="ABZ22" s="583"/>
      <c r="ACA22" s="583"/>
      <c r="ACB22" s="583"/>
      <c r="ACC22" s="583"/>
      <c r="ACD22" s="583"/>
      <c r="ACE22" s="583"/>
      <c r="ACF22" s="583"/>
      <c r="ACG22" s="583"/>
      <c r="ACH22" s="583"/>
      <c r="ACI22" s="583"/>
      <c r="ACJ22" s="583"/>
      <c r="ACK22" s="583"/>
      <c r="ACL22" s="583"/>
      <c r="ACM22" s="583"/>
      <c r="ACN22" s="583"/>
      <c r="ACO22" s="583"/>
      <c r="ACP22" s="583"/>
      <c r="ACQ22" s="583"/>
      <c r="ACR22" s="583"/>
      <c r="ACS22" s="583"/>
      <c r="ACT22" s="583"/>
      <c r="ACU22" s="583"/>
      <c r="ACV22" s="583"/>
      <c r="ACW22" s="583"/>
      <c r="ACX22" s="583"/>
      <c r="ACY22" s="583"/>
      <c r="ACZ22" s="583"/>
      <c r="ADA22" s="583"/>
      <c r="ADB22" s="583"/>
      <c r="ADC22" s="583"/>
      <c r="ADD22" s="583"/>
      <c r="ADE22" s="583"/>
      <c r="ADF22" s="583"/>
      <c r="ADG22" s="583"/>
      <c r="ADH22" s="583"/>
      <c r="ADI22" s="583"/>
      <c r="ADJ22" s="583"/>
      <c r="ADK22" s="583"/>
      <c r="ADL22" s="583"/>
      <c r="ADM22" s="583"/>
      <c r="ADN22" s="583"/>
      <c r="ADO22" s="583"/>
      <c r="ADP22" s="583"/>
      <c r="ADQ22" s="583"/>
      <c r="ADR22" s="583"/>
      <c r="ADS22" s="583"/>
      <c r="ADT22" s="583"/>
      <c r="ADU22" s="583"/>
      <c r="ADV22" s="583"/>
      <c r="ADW22" s="583"/>
      <c r="ADX22" s="583"/>
      <c r="ADY22" s="583"/>
      <c r="ADZ22" s="583"/>
      <c r="AEA22" s="583"/>
      <c r="AEB22" s="583"/>
      <c r="AEC22" s="583"/>
      <c r="AED22" s="583"/>
      <c r="AEE22" s="583"/>
      <c r="AEF22" s="583"/>
      <c r="AEG22" s="583"/>
      <c r="AEH22" s="583"/>
      <c r="AEI22" s="583"/>
      <c r="AEJ22" s="583"/>
      <c r="AEK22" s="583"/>
      <c r="AEL22" s="583"/>
      <c r="AEM22" s="583"/>
      <c r="AEN22" s="583"/>
      <c r="AEO22" s="583"/>
      <c r="AEP22" s="583"/>
      <c r="AEQ22" s="583"/>
      <c r="AER22" s="583"/>
      <c r="AES22" s="583"/>
      <c r="AET22" s="583"/>
      <c r="AEU22" s="583"/>
      <c r="AEV22" s="583"/>
      <c r="AEW22" s="583"/>
      <c r="AEX22" s="583"/>
      <c r="AEY22" s="583"/>
      <c r="AEZ22" s="583"/>
      <c r="AFA22" s="583"/>
      <c r="AFB22" s="583"/>
      <c r="AFC22" s="583"/>
      <c r="AFD22" s="583"/>
      <c r="AFE22" s="583"/>
      <c r="AFF22" s="583"/>
      <c r="AFG22" s="583"/>
      <c r="AFH22" s="583"/>
      <c r="AFI22" s="583"/>
      <c r="AFJ22" s="583"/>
      <c r="AFK22" s="583"/>
      <c r="AFL22" s="583"/>
      <c r="AFM22" s="583"/>
      <c r="AFN22" s="583"/>
      <c r="AFO22" s="583"/>
      <c r="AFP22" s="583"/>
      <c r="AFQ22" s="583"/>
      <c r="AFR22" s="583"/>
      <c r="AFS22" s="583"/>
      <c r="AFT22" s="583"/>
      <c r="AFU22" s="583"/>
      <c r="AFV22" s="583"/>
      <c r="AFW22" s="583"/>
      <c r="AFX22" s="583"/>
      <c r="AFY22" s="583"/>
      <c r="AFZ22" s="583"/>
      <c r="AGA22" s="583"/>
      <c r="AGB22" s="583"/>
      <c r="AGC22" s="583"/>
      <c r="AGD22" s="583"/>
      <c r="AGE22" s="583"/>
      <c r="AGF22" s="583"/>
      <c r="AGG22" s="583"/>
      <c r="AGH22" s="583"/>
      <c r="AGI22" s="583"/>
      <c r="AGJ22" s="583"/>
      <c r="AGK22" s="583"/>
      <c r="AGL22" s="583"/>
      <c r="AGM22" s="583"/>
      <c r="AGN22" s="583"/>
      <c r="AGO22" s="583"/>
      <c r="AGP22" s="583"/>
      <c r="AGQ22" s="583"/>
      <c r="AGR22" s="583"/>
      <c r="AGS22" s="583"/>
      <c r="AGT22" s="583"/>
      <c r="AGU22" s="583"/>
      <c r="AGV22" s="583"/>
      <c r="AGW22" s="583"/>
      <c r="AGX22" s="583"/>
      <c r="AGY22" s="583"/>
      <c r="AGZ22" s="583"/>
      <c r="AHA22" s="583"/>
      <c r="AHB22" s="583"/>
      <c r="AHC22" s="583"/>
      <c r="AHD22" s="583"/>
      <c r="AHE22" s="583"/>
      <c r="AHF22" s="583"/>
      <c r="AHG22" s="583"/>
      <c r="AHH22" s="583"/>
      <c r="AHI22" s="583"/>
      <c r="AHJ22" s="583"/>
      <c r="AHK22" s="583"/>
      <c r="AHL22" s="583"/>
      <c r="AHM22" s="583"/>
      <c r="AHN22" s="583"/>
      <c r="AHO22" s="583"/>
      <c r="AHP22" s="583"/>
      <c r="AHQ22" s="583"/>
      <c r="AHR22" s="583"/>
      <c r="AHS22" s="583"/>
      <c r="AHT22" s="583"/>
      <c r="AHU22" s="583"/>
      <c r="AHV22" s="583"/>
      <c r="AHW22" s="583"/>
      <c r="AHX22" s="583"/>
      <c r="AHY22" s="583"/>
      <c r="AHZ22" s="583"/>
      <c r="AIA22" s="583"/>
      <c r="AIB22" s="583"/>
      <c r="AIC22" s="583"/>
      <c r="AID22" s="583"/>
      <c r="AIE22" s="583"/>
      <c r="AIF22" s="583"/>
      <c r="AIG22" s="583"/>
      <c r="AIH22" s="583"/>
      <c r="AII22" s="583"/>
      <c r="AIJ22" s="583"/>
      <c r="AIK22" s="583"/>
      <c r="AIL22" s="583"/>
      <c r="AIM22" s="583"/>
      <c r="AIN22" s="583"/>
      <c r="AIO22" s="583"/>
      <c r="AIP22" s="583"/>
      <c r="AIQ22" s="583"/>
      <c r="AIR22" s="583"/>
      <c r="AIS22" s="583"/>
      <c r="AIT22" s="583"/>
      <c r="AIU22" s="583"/>
      <c r="AIV22" s="583"/>
      <c r="AIW22" s="583"/>
      <c r="AIX22" s="583"/>
      <c r="AIY22" s="583"/>
      <c r="AIZ22" s="583"/>
      <c r="AJA22" s="583"/>
      <c r="AJB22" s="583"/>
      <c r="AJC22" s="583"/>
      <c r="AJD22" s="583"/>
      <c r="AJE22" s="583"/>
      <c r="AJF22" s="583"/>
      <c r="AJG22" s="583"/>
      <c r="AJH22" s="583"/>
      <c r="AJI22" s="583"/>
      <c r="AJJ22" s="583"/>
      <c r="AJK22" s="583"/>
      <c r="AJL22" s="583"/>
      <c r="AJM22" s="583"/>
      <c r="AJN22" s="583"/>
      <c r="AJO22" s="583"/>
      <c r="AJP22" s="583"/>
      <c r="AJQ22" s="583"/>
      <c r="AJR22" s="583"/>
      <c r="AJS22" s="583"/>
      <c r="AJT22" s="583"/>
      <c r="AJU22" s="583"/>
      <c r="AJV22" s="583"/>
      <c r="AJW22" s="583"/>
      <c r="AJX22" s="583"/>
      <c r="AJY22" s="583"/>
      <c r="AJZ22" s="583"/>
      <c r="AKA22" s="583"/>
      <c r="AKB22" s="583"/>
      <c r="AKC22" s="583"/>
      <c r="AKD22" s="583"/>
      <c r="AKE22" s="583"/>
      <c r="AKF22" s="583"/>
      <c r="AKG22" s="583"/>
      <c r="AKH22" s="583"/>
      <c r="AKI22" s="583"/>
      <c r="AKJ22" s="583"/>
      <c r="AKK22" s="583"/>
      <c r="AKL22" s="583"/>
      <c r="AKM22" s="583"/>
      <c r="AKN22" s="583"/>
      <c r="AKO22" s="583"/>
      <c r="AKP22" s="583"/>
      <c r="AKQ22" s="583"/>
      <c r="AKR22" s="583"/>
      <c r="AKS22" s="583"/>
      <c r="AKT22" s="583"/>
      <c r="AKU22" s="583"/>
      <c r="AKV22" s="583"/>
      <c r="AKW22" s="583"/>
      <c r="AKX22" s="583"/>
      <c r="AKY22" s="583"/>
      <c r="AKZ22" s="583"/>
      <c r="ALA22" s="583"/>
      <c r="ALB22" s="583"/>
      <c r="ALC22" s="583"/>
      <c r="ALD22" s="583"/>
      <c r="ALE22" s="583"/>
      <c r="ALF22" s="583"/>
      <c r="ALG22" s="583"/>
      <c r="ALH22" s="583"/>
      <c r="ALI22" s="583"/>
      <c r="ALJ22" s="583"/>
      <c r="ALK22" s="583"/>
      <c r="ALL22" s="583"/>
      <c r="ALM22" s="583"/>
      <c r="ALN22" s="583"/>
      <c r="ALO22" s="583"/>
      <c r="ALP22" s="583"/>
      <c r="ALQ22" s="583"/>
      <c r="ALR22" s="583"/>
      <c r="ALS22" s="583"/>
      <c r="ALT22" s="583"/>
      <c r="ALU22" s="583"/>
      <c r="ALV22" s="583"/>
      <c r="ALW22" s="583"/>
      <c r="ALX22" s="583"/>
      <c r="ALY22" s="583"/>
      <c r="ALZ22" s="583"/>
      <c r="AMA22" s="583"/>
      <c r="AMB22" s="583"/>
      <c r="AMC22" s="583"/>
      <c r="AMD22" s="583"/>
      <c r="AME22" s="583"/>
      <c r="AMF22" s="583"/>
      <c r="AMG22" s="583"/>
      <c r="AMH22" s="583"/>
      <c r="AMI22" s="583"/>
      <c r="AMJ22" s="583"/>
      <c r="AMK22" s="583"/>
      <c r="AML22" s="583"/>
      <c r="AMM22" s="583"/>
      <c r="AMN22" s="583"/>
      <c r="AMO22" s="583"/>
      <c r="AMP22" s="583"/>
      <c r="AMQ22" s="583"/>
      <c r="AMR22" s="583"/>
      <c r="AMS22" s="583"/>
      <c r="AMT22" s="583"/>
      <c r="AMU22" s="583"/>
      <c r="AMV22" s="583"/>
      <c r="AMW22" s="583"/>
      <c r="AMX22" s="583"/>
      <c r="AMY22" s="583"/>
      <c r="AMZ22" s="583"/>
      <c r="ANA22" s="583"/>
      <c r="ANB22" s="583"/>
      <c r="ANC22" s="583"/>
      <c r="AND22" s="583"/>
      <c r="ANE22" s="583"/>
      <c r="ANF22" s="583"/>
      <c r="ANG22" s="583"/>
      <c r="ANH22" s="583"/>
      <c r="ANI22" s="583"/>
      <c r="ANJ22" s="583"/>
      <c r="ANK22" s="583"/>
      <c r="ANL22" s="583"/>
      <c r="ANM22" s="583"/>
      <c r="ANN22" s="583"/>
      <c r="ANO22" s="583"/>
      <c r="ANP22" s="583"/>
      <c r="ANQ22" s="583"/>
      <c r="ANR22" s="583"/>
      <c r="ANS22" s="583"/>
      <c r="ANT22" s="583"/>
      <c r="ANU22" s="583"/>
      <c r="ANV22" s="583"/>
      <c r="ANW22" s="583"/>
      <c r="ANX22" s="583"/>
      <c r="ANY22" s="583"/>
      <c r="ANZ22" s="583"/>
      <c r="AOA22" s="583"/>
      <c r="AOB22" s="583"/>
      <c r="AOC22" s="583"/>
      <c r="AOD22" s="583"/>
      <c r="AOE22" s="583"/>
      <c r="AOF22" s="583"/>
      <c r="AOG22" s="583"/>
      <c r="AOH22" s="583"/>
      <c r="AOI22" s="583"/>
      <c r="AOJ22" s="583"/>
      <c r="AOK22" s="583"/>
      <c r="AOL22" s="583"/>
      <c r="AOM22" s="583"/>
      <c r="AON22" s="583"/>
      <c r="AOO22" s="583"/>
      <c r="AOP22" s="583"/>
      <c r="AOQ22" s="583"/>
      <c r="AOR22" s="583"/>
      <c r="AOS22" s="583"/>
      <c r="AOT22" s="583"/>
      <c r="AOU22" s="583"/>
      <c r="AOV22" s="583"/>
      <c r="AOW22" s="583"/>
      <c r="AOX22" s="583"/>
      <c r="AOY22" s="583"/>
      <c r="AOZ22" s="583"/>
      <c r="APA22" s="583"/>
      <c r="APB22" s="583"/>
      <c r="APC22" s="583"/>
      <c r="APD22" s="583"/>
      <c r="APE22" s="583"/>
      <c r="APF22" s="583"/>
      <c r="APG22" s="583"/>
      <c r="APH22" s="583"/>
      <c r="API22" s="583"/>
      <c r="APJ22" s="583"/>
      <c r="APK22" s="583"/>
      <c r="APL22" s="583"/>
      <c r="APM22" s="583"/>
      <c r="APN22" s="583"/>
      <c r="APO22" s="583"/>
      <c r="APP22" s="583"/>
      <c r="APQ22" s="583"/>
      <c r="APR22" s="583"/>
      <c r="APS22" s="583"/>
      <c r="APT22" s="583"/>
      <c r="APU22" s="583"/>
      <c r="APV22" s="583"/>
      <c r="APW22" s="583"/>
      <c r="APX22" s="583"/>
      <c r="APY22" s="583"/>
      <c r="APZ22" s="583"/>
      <c r="AQA22" s="583"/>
      <c r="AQB22" s="583"/>
      <c r="AQC22" s="583"/>
      <c r="AQD22" s="583"/>
      <c r="AQE22" s="583"/>
      <c r="AQF22" s="583"/>
      <c r="AQG22" s="583"/>
      <c r="AQH22" s="583"/>
      <c r="AQI22" s="583"/>
      <c r="AQJ22" s="583"/>
      <c r="AQK22" s="583"/>
      <c r="AQL22" s="583"/>
      <c r="AQM22" s="583"/>
      <c r="AQN22" s="583"/>
      <c r="AQO22" s="583"/>
      <c r="AQP22" s="583"/>
      <c r="AQQ22" s="583"/>
      <c r="AQR22" s="583"/>
      <c r="AQS22" s="583"/>
      <c r="AQT22" s="583"/>
      <c r="AQU22" s="583"/>
      <c r="AQV22" s="583"/>
      <c r="AQW22" s="583"/>
      <c r="AQX22" s="583"/>
      <c r="AQY22" s="583"/>
      <c r="AQZ22" s="583"/>
      <c r="ARA22" s="583"/>
      <c r="ARB22" s="583"/>
      <c r="ARC22" s="583"/>
      <c r="ARD22" s="583"/>
      <c r="ARE22" s="583"/>
      <c r="ARF22" s="583"/>
      <c r="ARG22" s="583"/>
      <c r="ARH22" s="583"/>
      <c r="ARI22" s="583"/>
      <c r="ARJ22" s="583"/>
      <c r="ARK22" s="583"/>
      <c r="ARL22" s="583"/>
      <c r="ARM22" s="583"/>
      <c r="ARN22" s="583"/>
      <c r="ARO22" s="583"/>
      <c r="ARP22" s="583"/>
      <c r="ARQ22" s="583"/>
      <c r="ARR22" s="583"/>
      <c r="ARS22" s="583"/>
      <c r="ART22" s="583"/>
      <c r="ARU22" s="583"/>
      <c r="ARV22" s="583"/>
      <c r="ARW22" s="583"/>
      <c r="ARX22" s="583"/>
      <c r="ARY22" s="583"/>
      <c r="ARZ22" s="583"/>
      <c r="ASA22" s="583"/>
      <c r="ASB22" s="583"/>
      <c r="ASC22" s="583"/>
      <c r="ASD22" s="583"/>
      <c r="ASE22" s="583"/>
      <c r="ASF22" s="583"/>
      <c r="ASG22" s="583"/>
      <c r="ASH22" s="583"/>
      <c r="ASI22" s="583"/>
      <c r="ASJ22" s="583"/>
      <c r="ASK22" s="583"/>
      <c r="ASL22" s="583"/>
      <c r="ASM22" s="583"/>
      <c r="ASN22" s="583"/>
      <c r="ASO22" s="583"/>
      <c r="ASP22" s="583"/>
      <c r="ASQ22" s="583"/>
      <c r="ASR22" s="583"/>
      <c r="ASS22" s="583"/>
      <c r="AST22" s="583"/>
      <c r="ASU22" s="583"/>
      <c r="ASV22" s="583"/>
      <c r="ASW22" s="583"/>
      <c r="ASX22" s="583"/>
      <c r="ASY22" s="583"/>
      <c r="ASZ22" s="583"/>
      <c r="ATA22" s="583"/>
      <c r="ATB22" s="583"/>
      <c r="ATC22" s="583"/>
      <c r="ATD22" s="583"/>
      <c r="ATE22" s="583"/>
      <c r="ATF22" s="583"/>
      <c r="ATG22" s="583"/>
      <c r="ATH22" s="583"/>
      <c r="ATI22" s="583"/>
      <c r="ATJ22" s="583"/>
      <c r="ATK22" s="583"/>
      <c r="ATL22" s="583"/>
      <c r="ATM22" s="583"/>
      <c r="ATN22" s="583"/>
      <c r="ATO22" s="583"/>
      <c r="ATP22" s="583"/>
      <c r="ATQ22" s="583"/>
      <c r="ATR22" s="583"/>
      <c r="ATS22" s="583"/>
      <c r="ATT22" s="583"/>
      <c r="ATU22" s="583"/>
      <c r="ATV22" s="583"/>
      <c r="ATW22" s="583"/>
      <c r="ATX22" s="583"/>
      <c r="ATY22" s="583"/>
      <c r="ATZ22" s="583"/>
      <c r="AUA22" s="583"/>
      <c r="AUB22" s="583"/>
      <c r="AUC22" s="583"/>
      <c r="AUD22" s="583"/>
      <c r="AUE22" s="583"/>
      <c r="AUF22" s="583"/>
      <c r="AUG22" s="583"/>
      <c r="AUH22" s="583"/>
      <c r="AUI22" s="583"/>
      <c r="AUJ22" s="583"/>
      <c r="AUK22" s="583"/>
      <c r="AUL22" s="583"/>
      <c r="AUM22" s="583"/>
      <c r="AUN22" s="583"/>
      <c r="AUO22" s="583"/>
      <c r="AUP22" s="583"/>
      <c r="AUQ22" s="583"/>
      <c r="AUR22" s="583"/>
      <c r="AUS22" s="583"/>
      <c r="AUT22" s="583"/>
      <c r="AUU22" s="583"/>
      <c r="AUV22" s="583"/>
      <c r="AUW22" s="583"/>
      <c r="AUX22" s="583"/>
      <c r="AUY22" s="583"/>
      <c r="AUZ22" s="583"/>
      <c r="AVA22" s="583"/>
      <c r="AVB22" s="583"/>
      <c r="AVC22" s="583"/>
      <c r="AVD22" s="583"/>
      <c r="AVE22" s="583"/>
      <c r="AVF22" s="583"/>
      <c r="AVG22" s="583"/>
      <c r="AVH22" s="583"/>
      <c r="AVI22" s="583"/>
      <c r="AVJ22" s="583"/>
      <c r="AVK22" s="583"/>
      <c r="AVL22" s="583"/>
      <c r="AVM22" s="583"/>
      <c r="AVN22" s="583"/>
      <c r="AVO22" s="583"/>
      <c r="AVP22" s="583"/>
      <c r="AVQ22" s="583"/>
      <c r="AVR22" s="583"/>
      <c r="AVS22" s="583"/>
      <c r="AVT22" s="583"/>
      <c r="AVU22" s="583"/>
      <c r="AVV22" s="583"/>
      <c r="AVW22" s="583"/>
      <c r="AVX22" s="583"/>
      <c r="AVY22" s="583"/>
      <c r="AVZ22" s="583"/>
      <c r="AWA22" s="583"/>
      <c r="AWB22" s="583"/>
      <c r="AWC22" s="583"/>
      <c r="AWD22" s="583"/>
      <c r="AWE22" s="583"/>
      <c r="AWF22" s="583"/>
      <c r="AWG22" s="583"/>
      <c r="AWH22" s="583"/>
      <c r="AWI22" s="583"/>
      <c r="AWJ22" s="583"/>
      <c r="AWK22" s="583"/>
      <c r="AWL22" s="583"/>
      <c r="AWM22" s="583"/>
      <c r="AWN22" s="583"/>
      <c r="AWO22" s="583"/>
      <c r="AWP22" s="583"/>
      <c r="AWQ22" s="583"/>
      <c r="AWR22" s="583"/>
      <c r="AWS22" s="583"/>
      <c r="AWT22" s="583"/>
      <c r="AWU22" s="583"/>
      <c r="AWV22" s="583"/>
      <c r="AWW22" s="583"/>
      <c r="AWX22" s="583"/>
      <c r="AWY22" s="583"/>
      <c r="AWZ22" s="583"/>
      <c r="AXA22" s="583"/>
      <c r="AXB22" s="583"/>
      <c r="AXC22" s="583"/>
      <c r="AXD22" s="583"/>
      <c r="AXE22" s="583"/>
      <c r="AXF22" s="583"/>
      <c r="AXG22" s="583"/>
      <c r="AXH22" s="583"/>
      <c r="AXI22" s="583"/>
      <c r="AXJ22" s="583"/>
      <c r="AXK22" s="583"/>
      <c r="AXL22" s="583"/>
      <c r="AXM22" s="583"/>
      <c r="AXN22" s="583"/>
      <c r="AXO22" s="583"/>
      <c r="AXP22" s="583"/>
      <c r="AXQ22" s="583"/>
      <c r="AXR22" s="583"/>
      <c r="AXS22" s="583"/>
      <c r="AXT22" s="583"/>
      <c r="AXU22" s="583"/>
      <c r="AXV22" s="583"/>
      <c r="AXW22" s="583"/>
      <c r="AXX22" s="583"/>
      <c r="AXY22" s="583"/>
      <c r="AXZ22" s="583"/>
      <c r="AYA22" s="583"/>
      <c r="AYB22" s="583"/>
      <c r="AYC22" s="583"/>
      <c r="AYD22" s="583"/>
      <c r="AYE22" s="583"/>
      <c r="AYF22" s="583"/>
      <c r="AYG22" s="583"/>
      <c r="AYH22" s="583"/>
      <c r="AYI22" s="583"/>
      <c r="AYJ22" s="583"/>
      <c r="AYK22" s="583"/>
      <c r="AYL22" s="583"/>
      <c r="AYM22" s="583"/>
      <c r="AYN22" s="583"/>
      <c r="AYO22" s="583"/>
      <c r="AYP22" s="583"/>
      <c r="AYQ22" s="583"/>
      <c r="AYR22" s="583"/>
      <c r="AYS22" s="583"/>
      <c r="AYT22" s="583"/>
      <c r="AYU22" s="583"/>
      <c r="AYV22" s="583"/>
      <c r="AYW22" s="583"/>
      <c r="AYX22" s="583"/>
      <c r="AYY22" s="583"/>
      <c r="AYZ22" s="583"/>
      <c r="AZA22" s="583"/>
      <c r="AZB22" s="583"/>
      <c r="AZC22" s="583"/>
      <c r="AZD22" s="583"/>
      <c r="AZE22" s="583"/>
      <c r="AZF22" s="583"/>
      <c r="AZG22" s="583"/>
      <c r="AZH22" s="583"/>
      <c r="AZI22" s="583"/>
      <c r="AZJ22" s="583"/>
      <c r="AZK22" s="583"/>
      <c r="AZL22" s="583"/>
      <c r="AZM22" s="583"/>
      <c r="AZN22" s="583"/>
      <c r="AZO22" s="583"/>
      <c r="AZP22" s="583"/>
      <c r="AZQ22" s="583"/>
      <c r="AZR22" s="583"/>
      <c r="AZS22" s="583"/>
      <c r="AZT22" s="583"/>
      <c r="AZU22" s="583"/>
      <c r="AZV22" s="583"/>
      <c r="AZW22" s="583"/>
      <c r="AZX22" s="583"/>
      <c r="AZY22" s="583"/>
      <c r="AZZ22" s="583"/>
      <c r="BAA22" s="583"/>
      <c r="BAB22" s="583"/>
      <c r="BAC22" s="583"/>
      <c r="BAD22" s="583"/>
      <c r="BAE22" s="583"/>
      <c r="BAF22" s="583"/>
      <c r="BAG22" s="583"/>
      <c r="BAH22" s="583"/>
      <c r="BAI22" s="583"/>
      <c r="BAJ22" s="583"/>
      <c r="BAK22" s="583"/>
      <c r="BAL22" s="583"/>
      <c r="BAM22" s="583"/>
      <c r="BAN22" s="583"/>
      <c r="BAO22" s="583"/>
      <c r="BAP22" s="583"/>
      <c r="BAQ22" s="583"/>
      <c r="BAR22" s="583"/>
      <c r="BAS22" s="583"/>
      <c r="BAT22" s="583"/>
      <c r="BAU22" s="583"/>
      <c r="BAV22" s="583"/>
      <c r="BAW22" s="583"/>
      <c r="BAX22" s="583"/>
      <c r="BAY22" s="583"/>
      <c r="BAZ22" s="583"/>
      <c r="BBA22" s="583"/>
      <c r="BBB22" s="583"/>
      <c r="BBC22" s="583"/>
      <c r="BBD22" s="583"/>
      <c r="BBE22" s="583"/>
      <c r="BBF22" s="583"/>
      <c r="BBG22" s="583"/>
      <c r="BBH22" s="583"/>
      <c r="BBI22" s="583"/>
      <c r="BBJ22" s="583"/>
      <c r="BBK22" s="583"/>
      <c r="BBL22" s="583"/>
      <c r="BBM22" s="583"/>
      <c r="BBN22" s="583"/>
      <c r="BBO22" s="583"/>
      <c r="BBP22" s="583"/>
      <c r="BBQ22" s="583"/>
      <c r="BBR22" s="583"/>
      <c r="BBS22" s="583"/>
      <c r="BBT22" s="583"/>
      <c r="BBU22" s="583"/>
      <c r="BBV22" s="583"/>
      <c r="BBW22" s="583"/>
      <c r="BBX22" s="583"/>
      <c r="BBY22" s="583"/>
      <c r="BBZ22" s="583"/>
      <c r="BCA22" s="583"/>
      <c r="BCB22" s="583"/>
      <c r="BCC22" s="583"/>
      <c r="BCD22" s="583"/>
      <c r="BCE22" s="583"/>
      <c r="BCF22" s="583"/>
      <c r="BCG22" s="583"/>
      <c r="BCH22" s="583"/>
      <c r="BCI22" s="583"/>
      <c r="BCJ22" s="583"/>
      <c r="BCK22" s="583"/>
      <c r="BCL22" s="583"/>
      <c r="BCM22" s="583"/>
      <c r="BCN22" s="583"/>
      <c r="BCO22" s="583"/>
      <c r="BCP22" s="583"/>
      <c r="BCQ22" s="583"/>
      <c r="BCR22" s="583"/>
      <c r="BCS22" s="583"/>
      <c r="BCT22" s="583"/>
      <c r="BCU22" s="583"/>
      <c r="BCV22" s="583"/>
      <c r="BCW22" s="583"/>
      <c r="BCX22" s="583"/>
      <c r="BCY22" s="583"/>
      <c r="BCZ22" s="583"/>
      <c r="BDA22" s="583"/>
      <c r="BDB22" s="583"/>
      <c r="BDC22" s="583"/>
      <c r="BDD22" s="583"/>
      <c r="BDE22" s="583"/>
      <c r="BDF22" s="583"/>
      <c r="BDG22" s="583"/>
      <c r="BDH22" s="583"/>
      <c r="BDI22" s="583"/>
      <c r="BDJ22" s="583"/>
      <c r="BDK22" s="583"/>
      <c r="BDL22" s="583"/>
      <c r="BDM22" s="583"/>
      <c r="BDN22" s="583"/>
      <c r="BDO22" s="583"/>
      <c r="BDP22" s="583"/>
      <c r="BDQ22" s="583"/>
      <c r="BDR22" s="583"/>
      <c r="BDS22" s="583"/>
      <c r="BDT22" s="583"/>
      <c r="BDU22" s="583"/>
      <c r="BDV22" s="583"/>
      <c r="BDW22" s="583"/>
      <c r="BDX22" s="583"/>
      <c r="BDY22" s="583"/>
      <c r="BDZ22" s="583"/>
      <c r="BEA22" s="583"/>
      <c r="BEB22" s="583"/>
      <c r="BEC22" s="583"/>
      <c r="BED22" s="583"/>
      <c r="BEE22" s="583"/>
      <c r="BEF22" s="583"/>
      <c r="BEG22" s="583"/>
      <c r="BEH22" s="583"/>
      <c r="BEI22" s="583"/>
      <c r="BEJ22" s="583"/>
      <c r="BEK22" s="583"/>
      <c r="BEL22" s="583"/>
      <c r="BEM22" s="583"/>
      <c r="BEN22" s="583"/>
      <c r="BEO22" s="583"/>
      <c r="BEP22" s="583"/>
      <c r="BEQ22" s="583"/>
      <c r="BER22" s="583"/>
      <c r="BES22" s="583"/>
      <c r="BET22" s="583"/>
      <c r="BEU22" s="583"/>
      <c r="BEV22" s="583"/>
      <c r="BEW22" s="583"/>
      <c r="BEX22" s="583"/>
      <c r="BEY22" s="583"/>
      <c r="BEZ22" s="583"/>
      <c r="BFA22" s="583"/>
      <c r="BFB22" s="583"/>
      <c r="BFC22" s="583"/>
      <c r="BFD22" s="583"/>
      <c r="BFE22" s="583"/>
      <c r="BFF22" s="583"/>
      <c r="BFG22" s="583"/>
      <c r="BFH22" s="583"/>
      <c r="BFI22" s="583"/>
      <c r="BFJ22" s="583"/>
      <c r="BFK22" s="583"/>
      <c r="BFL22" s="583"/>
      <c r="BFM22" s="583"/>
      <c r="BFN22" s="583"/>
      <c r="BFO22" s="583"/>
      <c r="BFP22" s="583"/>
      <c r="BFQ22" s="583"/>
      <c r="BFR22" s="583"/>
      <c r="BFS22" s="583"/>
      <c r="BFT22" s="583"/>
      <c r="BFU22" s="583"/>
      <c r="BFV22" s="583"/>
      <c r="BFW22" s="583"/>
      <c r="BFX22" s="583"/>
      <c r="BFY22" s="583"/>
      <c r="BFZ22" s="583"/>
      <c r="BGA22" s="583"/>
      <c r="BGB22" s="583"/>
      <c r="BGC22" s="583"/>
      <c r="BGD22" s="583"/>
      <c r="BGE22" s="583"/>
      <c r="BGF22" s="583"/>
      <c r="BGG22" s="583"/>
      <c r="BGH22" s="583"/>
      <c r="BGI22" s="583"/>
      <c r="BGJ22" s="583"/>
      <c r="BGK22" s="583"/>
      <c r="BGL22" s="583"/>
      <c r="BGM22" s="583"/>
      <c r="BGN22" s="583"/>
      <c r="BGO22" s="583"/>
      <c r="BGP22" s="583"/>
      <c r="BGQ22" s="583"/>
      <c r="BGR22" s="583"/>
      <c r="BGS22" s="583"/>
      <c r="BGT22" s="583"/>
      <c r="BGU22" s="583"/>
      <c r="BGV22" s="583"/>
      <c r="BGW22" s="583"/>
      <c r="BGX22" s="583"/>
      <c r="BGY22" s="583"/>
      <c r="BGZ22" s="583"/>
      <c r="BHA22" s="583"/>
      <c r="BHB22" s="583"/>
      <c r="BHC22" s="583"/>
      <c r="BHD22" s="583"/>
      <c r="BHE22" s="583"/>
      <c r="BHF22" s="583"/>
      <c r="BHG22" s="583"/>
      <c r="BHH22" s="583"/>
      <c r="BHI22" s="583"/>
      <c r="BHJ22" s="583"/>
      <c r="BHK22" s="583"/>
      <c r="BHL22" s="583"/>
      <c r="BHM22" s="583"/>
      <c r="BHN22" s="583"/>
      <c r="BHO22" s="583"/>
      <c r="BHP22" s="583"/>
      <c r="BHQ22" s="583"/>
      <c r="BHR22" s="583"/>
      <c r="BHS22" s="583"/>
      <c r="BHT22" s="583"/>
      <c r="BHU22" s="583"/>
      <c r="BHV22" s="583"/>
      <c r="BHW22" s="583"/>
      <c r="BHX22" s="583"/>
      <c r="BHY22" s="583"/>
      <c r="BHZ22" s="583"/>
      <c r="BIA22" s="583"/>
      <c r="BIB22" s="583"/>
      <c r="BIC22" s="583"/>
      <c r="BID22" s="583"/>
      <c r="BIE22" s="583"/>
      <c r="BIF22" s="583"/>
      <c r="BIG22" s="583"/>
      <c r="BIH22" s="583"/>
      <c r="BII22" s="583"/>
      <c r="BIJ22" s="583"/>
      <c r="BIK22" s="583"/>
      <c r="BIL22" s="583"/>
      <c r="BIM22" s="583"/>
      <c r="BIN22" s="583"/>
      <c r="BIO22" s="583"/>
      <c r="BIP22" s="583"/>
      <c r="BIQ22" s="583"/>
      <c r="BIR22" s="583"/>
      <c r="BIS22" s="583"/>
      <c r="BIT22" s="583"/>
      <c r="BIU22" s="583"/>
      <c r="BIV22" s="583"/>
      <c r="BIW22" s="583"/>
      <c r="BIX22" s="583"/>
      <c r="BIY22" s="583"/>
      <c r="BIZ22" s="583"/>
      <c r="BJA22" s="583"/>
      <c r="BJB22" s="583"/>
      <c r="BJC22" s="583"/>
      <c r="BJD22" s="583"/>
      <c r="BJE22" s="583"/>
      <c r="BJF22" s="583"/>
      <c r="BJG22" s="583"/>
      <c r="BJH22" s="583"/>
      <c r="BJI22" s="583"/>
      <c r="BJJ22" s="583"/>
      <c r="BJK22" s="583"/>
      <c r="BJL22" s="583"/>
      <c r="BJM22" s="583"/>
      <c r="BJN22" s="583"/>
      <c r="BJO22" s="583"/>
      <c r="BJP22" s="583"/>
      <c r="BJQ22" s="583"/>
      <c r="BJR22" s="583"/>
      <c r="BJS22" s="583"/>
      <c r="BJT22" s="583"/>
      <c r="BJU22" s="583"/>
      <c r="BJV22" s="583"/>
      <c r="BJW22" s="583"/>
      <c r="BJX22" s="583"/>
      <c r="BJY22" s="583"/>
      <c r="BJZ22" s="583"/>
      <c r="BKA22" s="583"/>
      <c r="BKB22" s="583"/>
      <c r="BKC22" s="583"/>
      <c r="BKD22" s="583"/>
      <c r="BKE22" s="583"/>
      <c r="BKF22" s="583"/>
      <c r="BKG22" s="583"/>
      <c r="BKH22" s="583"/>
      <c r="BKI22" s="583"/>
      <c r="BKJ22" s="583"/>
      <c r="BKK22" s="583"/>
      <c r="BKL22" s="583"/>
      <c r="BKM22" s="583"/>
      <c r="BKN22" s="583"/>
      <c r="BKO22" s="583"/>
      <c r="BKP22" s="583"/>
      <c r="BKQ22" s="583"/>
      <c r="BKR22" s="583"/>
      <c r="BKS22" s="583"/>
      <c r="BKT22" s="583"/>
      <c r="BKU22" s="583"/>
      <c r="BKV22" s="583"/>
      <c r="BKW22" s="583"/>
      <c r="BKX22" s="583"/>
      <c r="BKY22" s="583"/>
      <c r="BKZ22" s="583"/>
      <c r="BLA22" s="583"/>
      <c r="BLB22" s="583"/>
      <c r="BLC22" s="583"/>
      <c r="BLD22" s="583"/>
      <c r="BLE22" s="583"/>
      <c r="BLF22" s="583"/>
      <c r="BLG22" s="583"/>
      <c r="BLH22" s="583"/>
      <c r="BLI22" s="583"/>
      <c r="BLJ22" s="583"/>
      <c r="BLK22" s="583"/>
      <c r="BLL22" s="583"/>
      <c r="BLM22" s="583"/>
      <c r="BLN22" s="583"/>
      <c r="BLO22" s="583"/>
      <c r="BLP22" s="583"/>
      <c r="BLQ22" s="583"/>
      <c r="BLR22" s="583"/>
      <c r="BLS22" s="583"/>
      <c r="BLT22" s="583"/>
      <c r="BLU22" s="583"/>
      <c r="BLV22" s="583"/>
      <c r="BLW22" s="583"/>
      <c r="BLX22" s="583"/>
      <c r="BLY22" s="583"/>
      <c r="BLZ22" s="583"/>
      <c r="BMA22" s="583"/>
      <c r="BMB22" s="583"/>
      <c r="BMC22" s="583"/>
      <c r="BMD22" s="583"/>
      <c r="BME22" s="583"/>
      <c r="BMF22" s="583"/>
      <c r="BMG22" s="583"/>
      <c r="BMH22" s="583"/>
      <c r="BMI22" s="583"/>
      <c r="BMJ22" s="583"/>
      <c r="BMK22" s="583"/>
      <c r="BML22" s="583"/>
      <c r="BMM22" s="583"/>
      <c r="BMN22" s="583"/>
      <c r="BMO22" s="583"/>
      <c r="BMP22" s="583"/>
      <c r="BMQ22" s="583"/>
      <c r="BMR22" s="583"/>
      <c r="BMS22" s="583"/>
      <c r="BMT22" s="583"/>
      <c r="BMU22" s="583"/>
      <c r="BMV22" s="583"/>
      <c r="BMW22" s="583"/>
      <c r="BMX22" s="583"/>
      <c r="BMY22" s="583"/>
      <c r="BMZ22" s="583"/>
      <c r="BNA22" s="583"/>
      <c r="BNB22" s="583"/>
      <c r="BNC22" s="583"/>
      <c r="BND22" s="583"/>
      <c r="BNE22" s="583"/>
      <c r="BNF22" s="583"/>
      <c r="BNG22" s="583"/>
      <c r="BNH22" s="583"/>
      <c r="BNI22" s="583"/>
      <c r="BNJ22" s="583"/>
      <c r="BNK22" s="583"/>
      <c r="BNL22" s="583"/>
      <c r="BNM22" s="583"/>
      <c r="BNN22" s="583"/>
      <c r="BNO22" s="583"/>
      <c r="BNP22" s="583"/>
      <c r="BNQ22" s="583"/>
      <c r="BNR22" s="583"/>
      <c r="BNS22" s="583"/>
      <c r="BNT22" s="583"/>
      <c r="BNU22" s="583"/>
      <c r="BNV22" s="583"/>
      <c r="BNW22" s="583"/>
      <c r="BNX22" s="583"/>
      <c r="BNY22" s="583"/>
      <c r="BNZ22" s="583"/>
      <c r="BOA22" s="583"/>
      <c r="BOB22" s="583"/>
      <c r="BOC22" s="583"/>
      <c r="BOD22" s="583"/>
      <c r="BOE22" s="583"/>
      <c r="BOF22" s="583"/>
      <c r="BOG22" s="583"/>
      <c r="BOH22" s="583"/>
      <c r="BOI22" s="583"/>
      <c r="BOJ22" s="583"/>
      <c r="BOK22" s="583"/>
      <c r="BOL22" s="583"/>
      <c r="BOM22" s="583"/>
      <c r="BON22" s="583"/>
      <c r="BOO22" s="583"/>
      <c r="BOP22" s="583"/>
      <c r="BOQ22" s="583"/>
      <c r="BOR22" s="583"/>
      <c r="BOS22" s="583"/>
      <c r="BOT22" s="583"/>
      <c r="BOU22" s="583"/>
      <c r="BOV22" s="583"/>
      <c r="BOW22" s="583"/>
      <c r="BOX22" s="583"/>
      <c r="BOY22" s="583"/>
      <c r="BOZ22" s="583"/>
      <c r="BPA22" s="583"/>
      <c r="BPB22" s="583"/>
      <c r="BPC22" s="583"/>
      <c r="BPD22" s="583"/>
      <c r="BPE22" s="583"/>
      <c r="BPF22" s="583"/>
      <c r="BPG22" s="583"/>
      <c r="BPH22" s="583"/>
      <c r="BPI22" s="583"/>
      <c r="BPJ22" s="583"/>
      <c r="BPK22" s="583"/>
      <c r="BPL22" s="583"/>
      <c r="BPM22" s="583"/>
      <c r="BPN22" s="583"/>
      <c r="BPO22" s="583"/>
      <c r="BPP22" s="583"/>
      <c r="BPQ22" s="583"/>
      <c r="BPR22" s="583"/>
      <c r="BPS22" s="583"/>
      <c r="BPT22" s="583"/>
      <c r="BPU22" s="583"/>
      <c r="BPV22" s="583"/>
      <c r="BPW22" s="583"/>
      <c r="BPX22" s="583"/>
      <c r="BPY22" s="583"/>
      <c r="BPZ22" s="583"/>
      <c r="BQA22" s="583"/>
      <c r="BQB22" s="583"/>
      <c r="BQC22" s="583"/>
      <c r="BQD22" s="583"/>
      <c r="BQE22" s="583"/>
      <c r="BQF22" s="583"/>
      <c r="BQG22" s="583"/>
      <c r="BQH22" s="583"/>
      <c r="BQI22" s="583"/>
      <c r="BQJ22" s="583"/>
      <c r="BQK22" s="583"/>
      <c r="BQL22" s="583"/>
      <c r="BQM22" s="583"/>
      <c r="BQN22" s="583"/>
      <c r="BQO22" s="583"/>
      <c r="BQP22" s="583"/>
      <c r="BQQ22" s="583"/>
      <c r="BQR22" s="583"/>
      <c r="BQS22" s="583"/>
      <c r="BQT22" s="583"/>
      <c r="BQU22" s="583"/>
      <c r="BQV22" s="583"/>
      <c r="BQW22" s="583"/>
      <c r="BQX22" s="583"/>
      <c r="BQY22" s="583"/>
      <c r="BQZ22" s="583"/>
      <c r="BRA22" s="583"/>
      <c r="BRB22" s="583"/>
      <c r="BRC22" s="583"/>
      <c r="BRD22" s="583"/>
      <c r="BRE22" s="583"/>
      <c r="BRF22" s="583"/>
      <c r="BRG22" s="583"/>
      <c r="BRH22" s="583"/>
      <c r="BRI22" s="583"/>
      <c r="BRJ22" s="583"/>
      <c r="BRK22" s="583"/>
      <c r="BRL22" s="583"/>
      <c r="BRM22" s="583"/>
      <c r="BRN22" s="583"/>
      <c r="BRO22" s="583"/>
      <c r="BRP22" s="583"/>
      <c r="BRQ22" s="583"/>
      <c r="BRR22" s="583"/>
      <c r="BRS22" s="583"/>
      <c r="BRT22" s="583"/>
      <c r="BRU22" s="583"/>
      <c r="BRV22" s="583"/>
      <c r="BRW22" s="583"/>
      <c r="BRX22" s="583"/>
      <c r="BRY22" s="583"/>
      <c r="BRZ22" s="583"/>
      <c r="BSA22" s="583"/>
      <c r="BSB22" s="583"/>
      <c r="BSC22" s="583"/>
      <c r="BSD22" s="583"/>
      <c r="BSE22" s="583"/>
      <c r="BSF22" s="583"/>
      <c r="BSG22" s="583"/>
      <c r="BSH22" s="583"/>
      <c r="BSI22" s="583"/>
      <c r="BSJ22" s="583"/>
      <c r="BSK22" s="583"/>
      <c r="BSL22" s="583"/>
      <c r="BSM22" s="583"/>
      <c r="BSN22" s="583"/>
      <c r="BSO22" s="583"/>
      <c r="BSP22" s="583"/>
      <c r="BSQ22" s="583"/>
      <c r="BSR22" s="583"/>
      <c r="BSS22" s="583"/>
      <c r="BST22" s="583"/>
      <c r="BSU22" s="583"/>
      <c r="BSV22" s="583"/>
      <c r="BSW22" s="583"/>
      <c r="BSX22" s="583"/>
      <c r="BSY22" s="583"/>
      <c r="BSZ22" s="583"/>
      <c r="BTA22" s="583"/>
      <c r="BTB22" s="583"/>
      <c r="BTC22" s="583"/>
      <c r="BTD22" s="583"/>
      <c r="BTE22" s="583"/>
      <c r="BTF22" s="583"/>
      <c r="BTG22" s="583"/>
      <c r="BTH22" s="583"/>
      <c r="BTI22" s="583"/>
      <c r="BTJ22" s="583"/>
      <c r="BTK22" s="583"/>
      <c r="BTL22" s="583"/>
      <c r="BTM22" s="583"/>
      <c r="BTN22" s="583"/>
      <c r="BTO22" s="583"/>
      <c r="BTP22" s="583"/>
      <c r="BTQ22" s="583"/>
      <c r="BTR22" s="583"/>
      <c r="BTS22" s="583"/>
      <c r="BTT22" s="583"/>
      <c r="BTU22" s="583"/>
      <c r="BTV22" s="583"/>
      <c r="BTW22" s="583"/>
      <c r="BTX22" s="583"/>
      <c r="BTY22" s="583"/>
      <c r="BTZ22" s="583"/>
      <c r="BUA22" s="583"/>
      <c r="BUB22" s="583"/>
      <c r="BUC22" s="583"/>
      <c r="BUD22" s="583"/>
      <c r="BUE22" s="583"/>
      <c r="BUF22" s="583"/>
      <c r="BUG22" s="583"/>
      <c r="BUH22" s="583"/>
      <c r="BUI22" s="583"/>
      <c r="BUJ22" s="583"/>
      <c r="BUK22" s="583"/>
      <c r="BUL22" s="583"/>
      <c r="BUM22" s="583"/>
      <c r="BUN22" s="583"/>
      <c r="BUO22" s="583"/>
      <c r="BUP22" s="583"/>
      <c r="BUQ22" s="583"/>
      <c r="BUR22" s="583"/>
      <c r="BUS22" s="583"/>
      <c r="BUT22" s="583"/>
      <c r="BUU22" s="583"/>
      <c r="BUV22" s="583"/>
      <c r="BUW22" s="583"/>
      <c r="BUX22" s="583"/>
      <c r="BUY22" s="583"/>
      <c r="BUZ22" s="583"/>
      <c r="BVA22" s="583"/>
      <c r="BVB22" s="583"/>
      <c r="BVC22" s="583"/>
      <c r="BVD22" s="583"/>
      <c r="BVE22" s="583"/>
      <c r="BVF22" s="583"/>
      <c r="BVG22" s="583"/>
      <c r="BVH22" s="583"/>
      <c r="BVI22" s="583"/>
      <c r="BVJ22" s="583"/>
      <c r="BVK22" s="583"/>
      <c r="BVL22" s="583"/>
      <c r="BVM22" s="583"/>
      <c r="BVN22" s="583"/>
      <c r="BVO22" s="583"/>
      <c r="BVP22" s="583"/>
      <c r="BVQ22" s="583"/>
      <c r="BVR22" s="583"/>
      <c r="BVS22" s="583"/>
      <c r="BVT22" s="583"/>
      <c r="BVU22" s="583"/>
      <c r="BVV22" s="583"/>
      <c r="BVW22" s="583"/>
      <c r="BVX22" s="583"/>
      <c r="BVY22" s="583"/>
      <c r="BVZ22" s="583"/>
      <c r="BWA22" s="583"/>
      <c r="BWB22" s="583"/>
      <c r="BWC22" s="583"/>
      <c r="BWD22" s="583"/>
      <c r="BWE22" s="583"/>
      <c r="BWF22" s="583"/>
      <c r="BWG22" s="583"/>
      <c r="BWH22" s="583"/>
      <c r="BWI22" s="583"/>
      <c r="BWJ22" s="583"/>
      <c r="BWK22" s="583"/>
      <c r="BWL22" s="583"/>
      <c r="BWM22" s="583"/>
      <c r="BWN22" s="583"/>
      <c r="BWO22" s="583"/>
      <c r="BWP22" s="583"/>
      <c r="BWQ22" s="583"/>
      <c r="BWR22" s="583"/>
      <c r="BWS22" s="583"/>
      <c r="BWT22" s="583"/>
      <c r="BWU22" s="583"/>
      <c r="BWV22" s="583"/>
      <c r="BWW22" s="583"/>
      <c r="BWX22" s="583"/>
      <c r="BWY22" s="583"/>
      <c r="BWZ22" s="583"/>
      <c r="BXA22" s="583"/>
      <c r="BXB22" s="583"/>
      <c r="BXC22" s="583"/>
      <c r="BXD22" s="583"/>
      <c r="BXE22" s="583"/>
      <c r="BXF22" s="583"/>
      <c r="BXG22" s="583"/>
      <c r="BXH22" s="583"/>
      <c r="BXI22" s="583"/>
      <c r="BXJ22" s="583"/>
      <c r="BXK22" s="583"/>
      <c r="BXL22" s="583"/>
      <c r="BXM22" s="583"/>
      <c r="BXN22" s="583"/>
      <c r="BXO22" s="583"/>
      <c r="BXP22" s="583"/>
      <c r="BXQ22" s="583"/>
      <c r="BXR22" s="583"/>
      <c r="BXS22" s="583"/>
      <c r="BXT22" s="583"/>
      <c r="BXU22" s="583"/>
      <c r="BXV22" s="583"/>
      <c r="BXW22" s="583"/>
      <c r="BXX22" s="583"/>
      <c r="BXY22" s="583"/>
      <c r="BXZ22" s="583"/>
      <c r="BYA22" s="583"/>
      <c r="BYB22" s="583"/>
      <c r="BYC22" s="583"/>
      <c r="BYD22" s="583"/>
      <c r="BYE22" s="583"/>
      <c r="BYF22" s="583"/>
      <c r="BYG22" s="583"/>
      <c r="BYH22" s="583"/>
      <c r="BYI22" s="583"/>
      <c r="BYJ22" s="583"/>
      <c r="BYK22" s="583"/>
      <c r="BYL22" s="583"/>
      <c r="BYM22" s="583"/>
      <c r="BYN22" s="583"/>
      <c r="BYO22" s="583"/>
      <c r="BYP22" s="583"/>
      <c r="BYQ22" s="583"/>
      <c r="BYR22" s="583"/>
      <c r="BYS22" s="583"/>
      <c r="BYT22" s="583"/>
      <c r="BYU22" s="583"/>
      <c r="BYV22" s="583"/>
      <c r="BYW22" s="583"/>
      <c r="BYX22" s="583"/>
      <c r="BYY22" s="583"/>
      <c r="BYZ22" s="583"/>
      <c r="BZA22" s="583"/>
      <c r="BZB22" s="583"/>
      <c r="BZC22" s="583"/>
      <c r="BZD22" s="583"/>
      <c r="BZE22" s="583"/>
      <c r="BZF22" s="583"/>
      <c r="BZG22" s="583"/>
      <c r="BZH22" s="583"/>
      <c r="BZI22" s="583"/>
      <c r="BZJ22" s="583"/>
      <c r="BZK22" s="583"/>
      <c r="BZL22" s="583"/>
      <c r="BZM22" s="583"/>
      <c r="BZN22" s="583"/>
      <c r="BZO22" s="583"/>
      <c r="BZP22" s="583"/>
      <c r="BZQ22" s="583"/>
      <c r="BZR22" s="583"/>
      <c r="BZS22" s="583"/>
      <c r="BZT22" s="583"/>
      <c r="BZU22" s="583"/>
      <c r="BZV22" s="583"/>
      <c r="BZW22" s="583"/>
      <c r="BZX22" s="583"/>
      <c r="BZY22" s="583"/>
      <c r="BZZ22" s="583"/>
      <c r="CAA22" s="583"/>
      <c r="CAB22" s="583"/>
      <c r="CAC22" s="583"/>
      <c r="CAD22" s="583"/>
      <c r="CAE22" s="583"/>
      <c r="CAF22" s="583"/>
      <c r="CAG22" s="583"/>
      <c r="CAH22" s="583"/>
      <c r="CAI22" s="583"/>
      <c r="CAJ22" s="583"/>
      <c r="CAK22" s="583"/>
      <c r="CAL22" s="583"/>
      <c r="CAM22" s="583"/>
      <c r="CAN22" s="583"/>
      <c r="CAO22" s="583"/>
      <c r="CAP22" s="583"/>
      <c r="CAQ22" s="583"/>
      <c r="CAR22" s="583"/>
      <c r="CAS22" s="583"/>
      <c r="CAT22" s="583"/>
      <c r="CAU22" s="583"/>
      <c r="CAV22" s="583"/>
      <c r="CAW22" s="583"/>
      <c r="CAX22" s="583"/>
      <c r="CAY22" s="583"/>
      <c r="CAZ22" s="583"/>
      <c r="CBA22" s="583"/>
      <c r="CBB22" s="583"/>
      <c r="CBC22" s="583"/>
      <c r="CBD22" s="583"/>
      <c r="CBE22" s="583"/>
      <c r="CBF22" s="583"/>
      <c r="CBG22" s="583"/>
      <c r="CBH22" s="583"/>
      <c r="CBI22" s="583"/>
      <c r="CBJ22" s="583"/>
      <c r="CBK22" s="583"/>
      <c r="CBL22" s="583"/>
      <c r="CBM22" s="583"/>
      <c r="CBN22" s="583"/>
      <c r="CBO22" s="583"/>
      <c r="CBP22" s="583"/>
      <c r="CBQ22" s="583"/>
      <c r="CBR22" s="583"/>
      <c r="CBS22" s="583"/>
      <c r="CBT22" s="583"/>
      <c r="CBU22" s="583"/>
      <c r="CBV22" s="583"/>
      <c r="CBW22" s="583"/>
      <c r="CBX22" s="583"/>
      <c r="CBY22" s="583"/>
      <c r="CBZ22" s="583"/>
    </row>
    <row r="23" spans="1:2106" ht="15.75" customHeight="1">
      <c r="A23" s="611"/>
      <c r="B23" s="617"/>
      <c r="C23" s="613">
        <f t="shared" si="0"/>
        <v>0</v>
      </c>
      <c r="D23" s="613">
        <f>IF(B23&gt;0,VLOOKUP(A23,'Lista Suspensa'!$A$1:$F$92,3,),0)</f>
        <v>0</v>
      </c>
      <c r="E23" s="613">
        <f>IF(OR(B23&gt;0,C23&gt;0),VLOOKUP(A23,'Lista Suspensa'!$A$1:$F$90,4,),0)</f>
        <v>0</v>
      </c>
      <c r="F23" s="613">
        <f>IF(OR(B23&gt;0,C23&gt;0),VLOOKUP(A23,'Lista Suspensa'!$A$1:$F$90,5,),0)</f>
        <v>0</v>
      </c>
      <c r="G23" s="402">
        <f>IF(OR(B23&gt;0,C23&gt;0),VLOOKUP(A23,'Lista Suspensa'!$A$1:$F$90,6,),0)</f>
        <v>0</v>
      </c>
      <c r="H23" s="617"/>
      <c r="I23" s="613">
        <f t="shared" si="12"/>
        <v>0</v>
      </c>
      <c r="J23" s="613">
        <f>IF(H23&gt;0,VLOOKUP(A23,'Lista Suspensa'!$A$1:$F$92,3,),0)</f>
        <v>0</v>
      </c>
      <c r="K23" s="613">
        <f>IF(OR(H23&gt;0,I23&gt;0),VLOOKUP(A23,'Lista Suspensa'!$A$1:$F$90,4,),0)</f>
        <v>0</v>
      </c>
      <c r="L23" s="613">
        <f>IF(OR(H23&gt;0,I23&gt;0),VLOOKUP(A23,'Lista Suspensa'!$A$1:$F$90,5,),0)</f>
        <v>0</v>
      </c>
      <c r="M23" s="402">
        <f>IF(OR(H23&gt;0,I23&gt;0),VLOOKUP(A23,'Lista Suspensa'!$A$1:$F$90,6,),0)</f>
        <v>0</v>
      </c>
      <c r="N23" s="617"/>
      <c r="O23" s="613">
        <f t="shared" si="1"/>
        <v>0</v>
      </c>
      <c r="P23" s="613">
        <f>IF(N23&gt;0,VLOOKUP(A23,'Lista Suspensa'!$A$1:$F$92,3,),0)</f>
        <v>0</v>
      </c>
      <c r="Q23" s="613">
        <f>IF(OR(N23&gt;0,O23&gt;0),VLOOKUP(A23,'Lista Suspensa'!$A$1:$F$90,4,),0)</f>
        <v>0</v>
      </c>
      <c r="R23" s="613">
        <f>IF(OR(N23&gt;0,O23&gt;0),VLOOKUP(A23,'Lista Suspensa'!$A$1:$F$90,5,),0)</f>
        <v>0</v>
      </c>
      <c r="S23" s="402">
        <f>IF(OR(N23&gt;0,O23&gt;0),VLOOKUP(A23,'Lista Suspensa'!$A$1:$F$90,6,),0)</f>
        <v>0</v>
      </c>
      <c r="T23" s="617"/>
      <c r="U23" s="613">
        <f t="shared" si="2"/>
        <v>0</v>
      </c>
      <c r="V23" s="613">
        <f>IF(T23&gt;0,VLOOKUP(A23,'Lista Suspensa'!$A$1:$F$92,3,),0)</f>
        <v>0</v>
      </c>
      <c r="W23" s="613">
        <f>IF(OR(T23&gt;0,U23&gt;0),VLOOKUP(A23,'Lista Suspensa'!$A$1:$F$90,4,),0)</f>
        <v>0</v>
      </c>
      <c r="X23" s="613">
        <f>IF(OR(T23&gt;0,U23&gt;0),VLOOKUP(A23,'Lista Suspensa'!$A$1:$F$90,5,),0)</f>
        <v>0</v>
      </c>
      <c r="Y23" s="402">
        <f>IF(OR(T23&gt;0,U23&gt;0),VLOOKUP(A23,'Lista Suspensa'!$A$1:$F$90,6,),0)</f>
        <v>0</v>
      </c>
      <c r="Z23" s="617"/>
      <c r="AA23" s="613">
        <f t="shared" si="3"/>
        <v>0</v>
      </c>
      <c r="AB23" s="613">
        <f>IF(Z23&gt;0,VLOOKUP(A23,'Lista Suspensa'!$A$1:$F$92,3,),0)</f>
        <v>0</v>
      </c>
      <c r="AC23" s="613">
        <f>IF(OR(Z23&gt;0,AA23&gt;0),VLOOKUP(A23,'Lista Suspensa'!$A$1:$F$90,4,),0)</f>
        <v>0</v>
      </c>
      <c r="AD23" s="613">
        <f>IF(OR(Z23&gt;0,AA23&gt;0),VLOOKUP(A23,'Lista Suspensa'!$A$1:$F$90,5,),0)</f>
        <v>0</v>
      </c>
      <c r="AE23" s="402">
        <f>IF(OR(Z23&gt;0,AA23&gt;0),VLOOKUP(A23,'Lista Suspensa'!$A$1:$F$90,6,),0)</f>
        <v>0</v>
      </c>
      <c r="AF23" s="617"/>
      <c r="AG23" s="613">
        <f t="shared" si="13"/>
        <v>0</v>
      </c>
      <c r="AH23" s="613">
        <f>IF(AF23&gt;0,VLOOKUP(A23,'Lista Suspensa'!$A$1:$F$92,3,),0)</f>
        <v>0</v>
      </c>
      <c r="AI23" s="613">
        <f>IF(OR(AF23&gt;0,AG23&gt;0),VLOOKUP(A23,'Lista Suspensa'!$A$1:$F$90,4,),0)</f>
        <v>0</v>
      </c>
      <c r="AJ23" s="613">
        <f>IF(OR(AF23&gt;0,AG23&gt;0),VLOOKUP(A23,'Lista Suspensa'!$A$1:$F$90,5,),0)</f>
        <v>0</v>
      </c>
      <c r="AK23" s="402">
        <f>IF(OR(AF23&gt;0,AG23&gt;0),VLOOKUP(A23,'Lista Suspensa'!$A$1:$F$90,6,),0)</f>
        <v>0</v>
      </c>
      <c r="AL23" s="617"/>
      <c r="AM23" s="613">
        <f t="shared" si="4"/>
        <v>0</v>
      </c>
      <c r="AN23" s="613">
        <f>IF(AL23&gt;0,VLOOKUP(A23,'Lista Suspensa'!$A$1:$F$92,3,),0)</f>
        <v>0</v>
      </c>
      <c r="AO23" s="613">
        <f>IF(OR(AL23&gt;0,AM23&gt;0),VLOOKUP(A23,'Lista Suspensa'!$A$1:$F$90,4,),0)</f>
        <v>0</v>
      </c>
      <c r="AP23" s="613">
        <f>IF(OR(AL23&gt;0,AM23&gt;0),VLOOKUP(A23,'Lista Suspensa'!$A$1:$F$90,5,),0)</f>
        <v>0</v>
      </c>
      <c r="AQ23" s="402">
        <f>IF(OR(AL23&gt;0,AM23&gt;0),VLOOKUP(A23,'Lista Suspensa'!$A$1:$F$90,6,),0)</f>
        <v>0</v>
      </c>
      <c r="AR23" s="617"/>
      <c r="AS23" s="613">
        <f t="shared" si="14"/>
        <v>0</v>
      </c>
      <c r="AT23" s="613">
        <f>IF(AR23&gt;0,VLOOKUP(A23,'Lista Suspensa'!$A$1:$F$92,3,),0)</f>
        <v>0</v>
      </c>
      <c r="AU23" s="613">
        <f>IF(OR(AR23&gt;0,AS23&gt;0),VLOOKUP(A23,'Lista Suspensa'!$A$1:$F$90,4,),0)</f>
        <v>0</v>
      </c>
      <c r="AV23" s="613">
        <f>IF(OR(AR23&gt;0,AS23&gt;0),VLOOKUP(A23,'Lista Suspensa'!$A$1:$F$90,5,),0)</f>
        <v>0</v>
      </c>
      <c r="AW23" s="37">
        <f>IF(OR(AR23&gt;0,AS23&gt;0),VLOOKUP(A23,'Lista Suspensa'!$A$1:$F$90,6,),0)</f>
        <v>0</v>
      </c>
      <c r="AX23" s="617"/>
      <c r="AY23" s="613">
        <f t="shared" si="5"/>
        <v>0</v>
      </c>
      <c r="AZ23" s="613">
        <f>IF(AX23&gt;0,VLOOKUP(A23,'Lista Suspensa'!$A$1:$F$92,3,),0)</f>
        <v>0</v>
      </c>
      <c r="BA23" s="613">
        <f>IF(OR(AX23&gt;0,AY23&gt;0),VLOOKUP(A23,'Lista Suspensa'!$A$1:$F$90,4,),0)</f>
        <v>0</v>
      </c>
      <c r="BB23" s="613">
        <f>IF(OR(AX23&gt;0,AY23&gt;0),VLOOKUP(A23,'Lista Suspensa'!$A$1:$F$90,5,),0)</f>
        <v>0</v>
      </c>
      <c r="BC23" s="37">
        <f>IF(OR(AX23&gt;0,AY23&gt;0),VLOOKUP(A23,'Lista Suspensa'!$A$1:$F$90,6,),0)</f>
        <v>0</v>
      </c>
      <c r="BD23" s="617"/>
      <c r="BE23" s="613">
        <f t="shared" si="6"/>
        <v>0</v>
      </c>
      <c r="BF23" s="613">
        <f>IF(BD23&gt;0,VLOOKUP(A23,'Lista Suspensa'!$A$1:$F$92,3,),0)</f>
        <v>0</v>
      </c>
      <c r="BG23" s="613">
        <f>IF(OR(BD23&gt;0,BE23&gt;0),VLOOKUP(A23,'Lista Suspensa'!$A$1:$F$90,4,),0)</f>
        <v>0</v>
      </c>
      <c r="BH23" s="613">
        <f>IF(OR(BD23&gt;0,BE23&gt;0),VLOOKUP(A23,'Lista Suspensa'!$A$1:$F$90,5,),0)</f>
        <v>0</v>
      </c>
      <c r="BI23" s="37">
        <f>IF(OR(BD23&gt;0,BE23&gt;0),VLOOKUP(A23,'Lista Suspensa'!$A$1:$F$90,6,),0)</f>
        <v>0</v>
      </c>
      <c r="BJ23" s="617"/>
      <c r="BK23" s="613">
        <f t="shared" si="7"/>
        <v>0</v>
      </c>
      <c r="BL23" s="613">
        <f>IF(BJ23&gt;0,VLOOKUP(A23,'Lista Suspensa'!$A$1:$F$92,3,),0)</f>
        <v>0</v>
      </c>
      <c r="BM23" s="613">
        <f>IF(OR(BJ23&gt;0,BK23&gt;0),VLOOKUP(A23,'Lista Suspensa'!$A$1:$F$90,4,),0)</f>
        <v>0</v>
      </c>
      <c r="BN23" s="613">
        <f>IF(OR(BJ23&gt;0,BK23&gt;0),VLOOKUP(A23,'Lista Suspensa'!$A$1:$F$90,5,),0)</f>
        <v>0</v>
      </c>
      <c r="BO23" s="37">
        <f>IF(OR(BJ23&gt;0,BK23&gt;0),VLOOKUP(A23,'Lista Suspensa'!$A$1:$F$90,6,),0)</f>
        <v>0</v>
      </c>
      <c r="BP23" s="617"/>
      <c r="BQ23" s="613">
        <f t="shared" si="8"/>
        <v>0</v>
      </c>
      <c r="BR23" s="613">
        <f>IF(BP23&gt;0,VLOOKUP(A23,'Lista Suspensa'!$A$1:$F$92,3,),0)</f>
        <v>0</v>
      </c>
      <c r="BS23" s="613">
        <f>IF(OR(BP23&gt;0,BQ23&gt;0),VLOOKUP(A23,'Lista Suspensa'!$A$1:$F$90,4,),0)</f>
        <v>0</v>
      </c>
      <c r="BT23" s="613">
        <f>IF(OR(BP23&gt;0,BQ23&gt;0),VLOOKUP(A23,'Lista Suspensa'!$A$1:$F$90,5,),0)</f>
        <v>0</v>
      </c>
      <c r="BU23" s="37">
        <f>IF(OR(BP23&gt;0,BQ23&gt;0),VLOOKUP(A23,'Lista Suspensa'!$A$1:$F$90,6,),0)</f>
        <v>0</v>
      </c>
      <c r="BV23" s="617"/>
      <c r="BW23" s="613">
        <f t="shared" si="9"/>
        <v>0</v>
      </c>
      <c r="BX23" s="613">
        <f>IF(BV23&gt;0,VLOOKUP(A23,'Lista Suspensa'!$A$1:$F$92,3,),0)</f>
        <v>0</v>
      </c>
      <c r="BY23" s="613">
        <f>IF(OR(BV23&gt;0,BW23&gt;0),VLOOKUP(A23,'Lista Suspensa'!$A$1:$F$90,4,),0)</f>
        <v>0</v>
      </c>
      <c r="BZ23" s="613">
        <f>IF(OR(BV23&gt;0,BW23&gt;0),VLOOKUP(A23,'Lista Suspensa'!$A$1:$F$90,5,),0)</f>
        <v>0</v>
      </c>
      <c r="CA23" s="37">
        <f>IF(OR(BV23&gt;0,BW23&gt;0),VLOOKUP(A23,'Lista Suspensa'!$A$1:$F$90,6,),0)</f>
        <v>0</v>
      </c>
      <c r="CB23" s="617"/>
      <c r="CC23" s="613">
        <f t="shared" si="10"/>
        <v>0</v>
      </c>
      <c r="CD23" s="613">
        <f>IF(CB23&gt;0,VLOOKUP(A23,'Lista Suspensa'!$A$1:$F$92,3,),0)</f>
        <v>0</v>
      </c>
      <c r="CE23" s="613">
        <f>IF(OR(CB23&gt;0,CC23&gt;0),VLOOKUP(A23,'Lista Suspensa'!$A$1:$F$90,4,),0)</f>
        <v>0</v>
      </c>
      <c r="CF23" s="613">
        <f>IF(OR(CB23&gt;0,CC23&gt;0),VLOOKUP(A23,'Lista Suspensa'!$A$1:$F$90,5,),0)</f>
        <v>0</v>
      </c>
      <c r="CG23" s="37">
        <f>IF(OR(CB23&gt;0,CC23&gt;0),VLOOKUP(A23,'Lista Suspensa'!$A$1:$F$90,6,),0)</f>
        <v>0</v>
      </c>
      <c r="CH23" s="617"/>
      <c r="CI23" s="613">
        <f t="shared" si="11"/>
        <v>0</v>
      </c>
      <c r="CJ23" s="613">
        <f>IF(CH23&gt;0,VLOOKUP(A23,'Lista Suspensa'!$A$1:$F$92,3,),0)</f>
        <v>0</v>
      </c>
      <c r="CK23" s="613">
        <f>IF(OR(CH23&gt;0,CI23&gt;0),VLOOKUP(A23,'Lista Suspensa'!$A$1:$F$90,4,),0)</f>
        <v>0</v>
      </c>
      <c r="CL23" s="613">
        <f>IF(OR(CH23&gt;0,CI23&gt;0),VLOOKUP(A23,'Lista Suspensa'!$A$1:$F$90,5,),0)</f>
        <v>0</v>
      </c>
      <c r="CM23" s="636">
        <f>IF(OR(CH23&gt;0,CI23&gt;0),VLOOKUP(A23,'Lista Suspensa'!$A$1:$F$90,6,),0)</f>
        <v>0</v>
      </c>
      <c r="CN23" s="645"/>
      <c r="CO23" s="403">
        <f t="shared" si="15"/>
        <v>0</v>
      </c>
      <c r="CP23" s="756">
        <f>IF(CN23&gt;0,VLOOKUP(A23,'Lista Suspensa'!$A$1:$F$92,3,),0)</f>
        <v>0</v>
      </c>
      <c r="CQ23" s="641">
        <f>IF(OR(CN23&gt;0,CO23&gt;0),VLOOKUP(A23,'Lista Suspensa'!$A$1:$F$90,6,),0)</f>
        <v>0</v>
      </c>
      <c r="CR23" s="628"/>
      <c r="CS23" s="628"/>
      <c r="CT23" s="628"/>
      <c r="CU23" s="628"/>
      <c r="CV23" s="628"/>
      <c r="CW23" s="628"/>
      <c r="CX23" s="628"/>
      <c r="CY23" s="628"/>
      <c r="CZ23" s="628"/>
      <c r="DA23" s="628"/>
      <c r="DB23" s="628"/>
      <c r="DC23" s="628"/>
      <c r="DD23" s="628"/>
      <c r="DE23" s="628"/>
      <c r="DF23" s="628"/>
      <c r="DG23" s="628"/>
      <c r="DH23" s="628"/>
    </row>
    <row r="24" spans="1:2106" s="588" customFormat="1" ht="15.75" customHeight="1">
      <c r="A24" s="614"/>
      <c r="B24" s="618"/>
      <c r="C24" s="616">
        <f t="shared" si="0"/>
        <v>0</v>
      </c>
      <c r="D24" s="616">
        <f>IF(B24&gt;0,VLOOKUP(A24,'Lista Suspensa'!$A$1:$F$92,3,),0)</f>
        <v>0</v>
      </c>
      <c r="E24" s="616">
        <f>IF(OR(B24&gt;0,C24&gt;0),VLOOKUP(A24,'Lista Suspensa'!$A$1:$F$90,4,),0)</f>
        <v>0</v>
      </c>
      <c r="F24" s="616">
        <f>IF(OR(B24&gt;0,C24&gt;0),VLOOKUP(A24,'Lista Suspensa'!$A$1:$F$90,5,),0)</f>
        <v>0</v>
      </c>
      <c r="G24" s="587">
        <f>IF(OR(B24&gt;0,C24&gt;0),VLOOKUP(A24,'Lista Suspensa'!$A$1:$F$90,6,),0)</f>
        <v>0</v>
      </c>
      <c r="H24" s="618"/>
      <c r="I24" s="623">
        <f t="shared" si="12"/>
        <v>0</v>
      </c>
      <c r="J24" s="616">
        <f>IF(H24&gt;0,VLOOKUP(A24,'Lista Suspensa'!$A$1:$F$92,3,),0)</f>
        <v>0</v>
      </c>
      <c r="K24" s="616">
        <f>IF(OR(H24&gt;0,I24&gt;0),VLOOKUP(A24,'Lista Suspensa'!$A$1:$F$90,4,),0)</f>
        <v>0</v>
      </c>
      <c r="L24" s="616">
        <f>IF(OR(H24&gt;0,I24&gt;0),VLOOKUP(A24,'Lista Suspensa'!$A$1:$F$90,5,),0)</f>
        <v>0</v>
      </c>
      <c r="M24" s="587">
        <f>IF(OR(H24&gt;0,I24&gt;0),VLOOKUP(A24,'Lista Suspensa'!$A$1:$F$90,6,),0)</f>
        <v>0</v>
      </c>
      <c r="N24" s="618"/>
      <c r="O24" s="623">
        <f t="shared" si="1"/>
        <v>0</v>
      </c>
      <c r="P24" s="616">
        <f>IF(N24&gt;0,VLOOKUP(A24,'Lista Suspensa'!$A$1:$F$92,3,),0)</f>
        <v>0</v>
      </c>
      <c r="Q24" s="616">
        <f>IF(OR(N24&gt;0,O24&gt;0),VLOOKUP(A24,'Lista Suspensa'!$A$1:$F$90,4,),0)</f>
        <v>0</v>
      </c>
      <c r="R24" s="616">
        <f>IF(OR(N24&gt;0,O24&gt;0),VLOOKUP(A24,'Lista Suspensa'!$A$1:$F$90,5,),0)</f>
        <v>0</v>
      </c>
      <c r="S24" s="587">
        <f>IF(OR(N24&gt;0,O24&gt;0),VLOOKUP(A24,'Lista Suspensa'!$A$1:$F$90,6,),0)</f>
        <v>0</v>
      </c>
      <c r="T24" s="618"/>
      <c r="U24" s="623">
        <f t="shared" si="2"/>
        <v>0</v>
      </c>
      <c r="V24" s="616">
        <f>IF(T24&gt;0,VLOOKUP(A24,'Lista Suspensa'!$A$1:$F$92,3,),0)</f>
        <v>0</v>
      </c>
      <c r="W24" s="616">
        <f>IF(OR(T24&gt;0,U24&gt;0),VLOOKUP(A24,'Lista Suspensa'!$A$1:$F$90,4,),0)</f>
        <v>0</v>
      </c>
      <c r="X24" s="616">
        <f>IF(OR(T24&gt;0,U24&gt;0),VLOOKUP(A24,'Lista Suspensa'!$A$1:$F$90,5,),0)</f>
        <v>0</v>
      </c>
      <c r="Y24" s="587">
        <f>IF(OR(T24&gt;0,U24&gt;0),VLOOKUP(A24,'Lista Suspensa'!$A$1:$F$90,6,),0)</f>
        <v>0</v>
      </c>
      <c r="Z24" s="618"/>
      <c r="AA24" s="623">
        <f t="shared" si="3"/>
        <v>0</v>
      </c>
      <c r="AB24" s="616">
        <f>IF(Z24&gt;0,VLOOKUP(A24,'Lista Suspensa'!$A$1:$F$92,3,),0)</f>
        <v>0</v>
      </c>
      <c r="AC24" s="616">
        <f>IF(OR(Z24&gt;0,AA24&gt;0),VLOOKUP(A24,'Lista Suspensa'!$A$1:$F$90,4,),0)</f>
        <v>0</v>
      </c>
      <c r="AD24" s="616">
        <f>IF(OR(Z24&gt;0,AA24&gt;0),VLOOKUP(A24,'Lista Suspensa'!$A$1:$F$90,5,),0)</f>
        <v>0</v>
      </c>
      <c r="AE24" s="587">
        <f>IF(OR(Z24&gt;0,AA24&gt;0),VLOOKUP(A24,'Lista Suspensa'!$A$1:$F$90,6,),0)</f>
        <v>0</v>
      </c>
      <c r="AF24" s="618"/>
      <c r="AG24" s="623">
        <f t="shared" si="13"/>
        <v>0</v>
      </c>
      <c r="AH24" s="616">
        <f>IF(AF24&gt;0,VLOOKUP(A24,'Lista Suspensa'!$A$1:$F$92,3,),0)</f>
        <v>0</v>
      </c>
      <c r="AI24" s="616">
        <f>IF(OR(AF24&gt;0,AG24&gt;0),VLOOKUP(A24,'Lista Suspensa'!$A$1:$F$90,4,),0)</f>
        <v>0</v>
      </c>
      <c r="AJ24" s="616">
        <f>IF(OR(AF24&gt;0,AG24&gt;0),VLOOKUP(A24,'Lista Suspensa'!$A$1:$F$90,5,),0)</f>
        <v>0</v>
      </c>
      <c r="AK24" s="587">
        <f>IF(OR(AF24&gt;0,AG24&gt;0),VLOOKUP(A24,'Lista Suspensa'!$A$1:$F$90,6,),0)</f>
        <v>0</v>
      </c>
      <c r="AL24" s="618"/>
      <c r="AM24" s="623">
        <f t="shared" si="4"/>
        <v>0</v>
      </c>
      <c r="AN24" s="616">
        <f>IF(AL24&gt;0,VLOOKUP(A24,'Lista Suspensa'!$A$1:$F$92,3,),0)</f>
        <v>0</v>
      </c>
      <c r="AO24" s="616">
        <f>IF(OR(AL24&gt;0,AM24&gt;0),VLOOKUP(A24,'Lista Suspensa'!$A$1:$F$90,4,),0)</f>
        <v>0</v>
      </c>
      <c r="AP24" s="616">
        <f>IF(OR(AL24&gt;0,AM24&gt;0),VLOOKUP(A24,'Lista Suspensa'!$A$1:$F$90,5,),0)</f>
        <v>0</v>
      </c>
      <c r="AQ24" s="587">
        <f>IF(OR(AL24&gt;0,AM24&gt;0),VLOOKUP(A24,'Lista Suspensa'!$A$1:$F$90,6,),0)</f>
        <v>0</v>
      </c>
      <c r="AR24" s="618"/>
      <c r="AS24" s="623">
        <f t="shared" si="14"/>
        <v>0</v>
      </c>
      <c r="AT24" s="616">
        <f>IF(AR24&gt;0,VLOOKUP(A24,'Lista Suspensa'!$A$1:$F$92,3,),0)</f>
        <v>0</v>
      </c>
      <c r="AU24" s="616">
        <f>IF(OR(AR24&gt;0,AS24&gt;0),VLOOKUP(A24,'Lista Suspensa'!$A$1:$F$90,4,),0)</f>
        <v>0</v>
      </c>
      <c r="AV24" s="616">
        <f>IF(OR(AR24&gt;0,AS24&gt;0),VLOOKUP(A24,'Lista Suspensa'!$A$1:$F$90,5,),0)</f>
        <v>0</v>
      </c>
      <c r="AW24" s="586">
        <f>IF(OR(AR24&gt;0,AS24&gt;0),VLOOKUP(A24,'Lista Suspensa'!$A$1:$F$90,6,),0)</f>
        <v>0</v>
      </c>
      <c r="AX24" s="618"/>
      <c r="AY24" s="623">
        <f t="shared" si="5"/>
        <v>0</v>
      </c>
      <c r="AZ24" s="616">
        <f>IF(AX24&gt;0,VLOOKUP(A24,'Lista Suspensa'!$A$1:$F$92,3,),0)</f>
        <v>0</v>
      </c>
      <c r="BA24" s="616">
        <f>IF(OR(AX24&gt;0,AY24&gt;0),VLOOKUP(A24,'Lista Suspensa'!$A$1:$F$90,4,),0)</f>
        <v>0</v>
      </c>
      <c r="BB24" s="616">
        <f>IF(OR(AX24&gt;0,AY24&gt;0),VLOOKUP(A24,'Lista Suspensa'!$A$1:$F$90,5,),0)</f>
        <v>0</v>
      </c>
      <c r="BC24" s="586">
        <f>IF(OR(AX24&gt;0,AY24&gt;0),VLOOKUP(A24,'Lista Suspensa'!$A$1:$F$90,6,),0)</f>
        <v>0</v>
      </c>
      <c r="BD24" s="618"/>
      <c r="BE24" s="623">
        <f t="shared" si="6"/>
        <v>0</v>
      </c>
      <c r="BF24" s="616">
        <f>IF(BD24&gt;0,VLOOKUP(A24,'Lista Suspensa'!$A$1:$F$92,3,),0)</f>
        <v>0</v>
      </c>
      <c r="BG24" s="616">
        <f>IF(OR(BD24&gt;0,BE24&gt;0),VLOOKUP(A24,'Lista Suspensa'!$A$1:$F$90,4,),0)</f>
        <v>0</v>
      </c>
      <c r="BH24" s="616">
        <f>IF(OR(BD24&gt;0,BE24&gt;0),VLOOKUP(A24,'Lista Suspensa'!$A$1:$F$90,5,),0)</f>
        <v>0</v>
      </c>
      <c r="BI24" s="586">
        <f>IF(OR(BD24&gt;0,BE24&gt;0),VLOOKUP(A24,'Lista Suspensa'!$A$1:$F$90,6,),0)</f>
        <v>0</v>
      </c>
      <c r="BJ24" s="618"/>
      <c r="BK24" s="623">
        <f t="shared" si="7"/>
        <v>0</v>
      </c>
      <c r="BL24" s="616">
        <f>IF(BJ24&gt;0,VLOOKUP(A24,'Lista Suspensa'!$A$1:$F$92,3,),0)</f>
        <v>0</v>
      </c>
      <c r="BM24" s="616">
        <f>IF(OR(BJ24&gt;0,BK24&gt;0),VLOOKUP(A24,'Lista Suspensa'!$A$1:$F$90,4,),0)</f>
        <v>0</v>
      </c>
      <c r="BN24" s="616">
        <f>IF(OR(BJ24&gt;0,BK24&gt;0),VLOOKUP(A24,'Lista Suspensa'!$A$1:$F$90,5,),0)</f>
        <v>0</v>
      </c>
      <c r="BO24" s="586">
        <f>IF(OR(BJ24&gt;0,BK24&gt;0),VLOOKUP(A24,'Lista Suspensa'!$A$1:$F$90,6,),0)</f>
        <v>0</v>
      </c>
      <c r="BP24" s="618"/>
      <c r="BQ24" s="623">
        <f t="shared" si="8"/>
        <v>0</v>
      </c>
      <c r="BR24" s="616">
        <f>IF(BP24&gt;0,VLOOKUP(A24,'Lista Suspensa'!$A$1:$F$92,3,),0)</f>
        <v>0</v>
      </c>
      <c r="BS24" s="616">
        <f>IF(OR(BP24&gt;0,BQ24&gt;0),VLOOKUP(A24,'Lista Suspensa'!$A$1:$F$90,4,),0)</f>
        <v>0</v>
      </c>
      <c r="BT24" s="616">
        <f>IF(OR(BP24&gt;0,BQ24&gt;0),VLOOKUP(A24,'Lista Suspensa'!$A$1:$F$90,5,),0)</f>
        <v>0</v>
      </c>
      <c r="BU24" s="586">
        <f>IF(OR(BP24&gt;0,BQ24&gt;0),VLOOKUP(A24,'Lista Suspensa'!$A$1:$F$90,6,),0)</f>
        <v>0</v>
      </c>
      <c r="BV24" s="618"/>
      <c r="BW24" s="623">
        <f t="shared" si="9"/>
        <v>0</v>
      </c>
      <c r="BX24" s="616">
        <f>IF(BV24&gt;0,VLOOKUP(A24,'Lista Suspensa'!$A$1:$F$92,3,),0)</f>
        <v>0</v>
      </c>
      <c r="BY24" s="616">
        <f>IF(OR(BV24&gt;0,BW24&gt;0),VLOOKUP(A24,'Lista Suspensa'!$A$1:$F$90,4,),0)</f>
        <v>0</v>
      </c>
      <c r="BZ24" s="616">
        <f>IF(OR(BV24&gt;0,BW24&gt;0),VLOOKUP(A24,'Lista Suspensa'!$A$1:$F$90,5,),0)</f>
        <v>0</v>
      </c>
      <c r="CA24" s="586">
        <f>IF(OR(BV24&gt;0,BW24&gt;0),VLOOKUP(A24,'Lista Suspensa'!$A$1:$F$90,6,),0)</f>
        <v>0</v>
      </c>
      <c r="CB24" s="618"/>
      <c r="CC24" s="623">
        <f t="shared" si="10"/>
        <v>0</v>
      </c>
      <c r="CD24" s="616">
        <f>IF(CB24&gt;0,VLOOKUP(A24,'Lista Suspensa'!$A$1:$F$92,3,),0)</f>
        <v>0</v>
      </c>
      <c r="CE24" s="616">
        <f>IF(OR(CB24&gt;0,CC24&gt;0),VLOOKUP(A24,'Lista Suspensa'!$A$1:$F$90,4,),0)</f>
        <v>0</v>
      </c>
      <c r="CF24" s="616">
        <f>IF(OR(CB24&gt;0,CC24&gt;0),VLOOKUP(A24,'Lista Suspensa'!$A$1:$F$90,5,),0)</f>
        <v>0</v>
      </c>
      <c r="CG24" s="586">
        <f>IF(OR(CB24&gt;0,CC24&gt;0),VLOOKUP(A24,'Lista Suspensa'!$A$1:$F$90,6,),0)</f>
        <v>0</v>
      </c>
      <c r="CH24" s="618"/>
      <c r="CI24" s="623">
        <f t="shared" si="11"/>
        <v>0</v>
      </c>
      <c r="CJ24" s="616">
        <f>IF(CH24&gt;0,VLOOKUP(A24,'Lista Suspensa'!$A$1:$F$92,3,),0)</f>
        <v>0</v>
      </c>
      <c r="CK24" s="616">
        <f>IF(OR(CH24&gt;0,CI24&gt;0),VLOOKUP(A24,'Lista Suspensa'!$A$1:$F$90,4,),0)</f>
        <v>0</v>
      </c>
      <c r="CL24" s="616">
        <f>IF(OR(CH24&gt;0,CI24&gt;0),VLOOKUP(A24,'Lista Suspensa'!$A$1:$F$90,5,),0)</f>
        <v>0</v>
      </c>
      <c r="CM24" s="637">
        <f>IF(OR(CH24&gt;0,CI24&gt;0),VLOOKUP(A24,'Lista Suspensa'!$A$1:$F$90,6,),0)</f>
        <v>0</v>
      </c>
      <c r="CN24" s="646"/>
      <c r="CO24" s="403">
        <f t="shared" si="15"/>
        <v>0</v>
      </c>
      <c r="CP24" s="756">
        <f>IF(CN24&gt;0,VLOOKUP(A24,'Lista Suspensa'!$A$1:$F$92,3,),0)</f>
        <v>0</v>
      </c>
      <c r="CQ24" s="643">
        <f>IF(OR(CN24&gt;0,CO24&gt;0),VLOOKUP(A24,'Lista Suspensa'!$A$1:$F$90,6,),0)</f>
        <v>0</v>
      </c>
      <c r="CR24" s="628"/>
      <c r="CS24" s="628"/>
      <c r="CT24" s="628"/>
      <c r="CU24" s="628"/>
      <c r="CV24" s="628"/>
      <c r="CW24" s="628"/>
      <c r="CX24" s="628"/>
      <c r="CY24" s="628"/>
      <c r="CZ24" s="628"/>
      <c r="DA24" s="628"/>
      <c r="DB24" s="628"/>
      <c r="DC24" s="628"/>
      <c r="DD24" s="628"/>
      <c r="DE24" s="628"/>
      <c r="DF24" s="628"/>
      <c r="DG24" s="628"/>
      <c r="DH24" s="628"/>
      <c r="DI24" s="583"/>
      <c r="DJ24" s="583"/>
      <c r="DK24" s="583"/>
      <c r="DL24" s="583"/>
      <c r="DM24" s="583"/>
      <c r="DN24" s="583"/>
      <c r="DO24" s="583"/>
      <c r="DP24" s="583"/>
      <c r="DQ24" s="583"/>
      <c r="DR24" s="583"/>
      <c r="DS24" s="583"/>
      <c r="DT24" s="583"/>
      <c r="DU24" s="583"/>
      <c r="DV24" s="583"/>
      <c r="DW24" s="583"/>
      <c r="DX24" s="583"/>
      <c r="DY24" s="583"/>
      <c r="DZ24" s="583"/>
      <c r="EA24" s="583"/>
      <c r="EB24" s="583"/>
      <c r="EC24" s="583"/>
      <c r="ED24" s="583"/>
      <c r="EE24" s="583"/>
      <c r="EF24" s="583"/>
      <c r="EG24" s="583"/>
      <c r="EH24" s="583"/>
      <c r="EI24" s="583"/>
      <c r="EJ24" s="583"/>
      <c r="EK24" s="583"/>
      <c r="EL24" s="583"/>
      <c r="EM24" s="583"/>
      <c r="EN24" s="583"/>
      <c r="EO24" s="583"/>
      <c r="EP24" s="583"/>
      <c r="EQ24" s="583"/>
      <c r="ER24" s="583"/>
      <c r="ES24" s="583"/>
      <c r="ET24" s="583"/>
      <c r="EU24" s="583"/>
      <c r="EV24" s="583"/>
      <c r="EW24" s="583"/>
      <c r="EX24" s="583"/>
      <c r="EY24" s="583"/>
      <c r="EZ24" s="583"/>
      <c r="FA24" s="583"/>
      <c r="FB24" s="583"/>
      <c r="FC24" s="583"/>
      <c r="FD24" s="583"/>
      <c r="FE24" s="583"/>
      <c r="FF24" s="583"/>
      <c r="FG24" s="583"/>
      <c r="FH24" s="583"/>
      <c r="FI24" s="583"/>
      <c r="FJ24" s="583"/>
      <c r="FK24" s="583"/>
      <c r="FL24" s="583"/>
      <c r="FM24" s="583"/>
      <c r="FN24" s="583"/>
      <c r="FO24" s="583"/>
      <c r="FP24" s="583"/>
      <c r="FQ24" s="583"/>
      <c r="FR24" s="583"/>
      <c r="FS24" s="583"/>
      <c r="FT24" s="583"/>
      <c r="FU24" s="583"/>
      <c r="FV24" s="583"/>
      <c r="FW24" s="583"/>
      <c r="FX24" s="583"/>
      <c r="FY24" s="583"/>
      <c r="FZ24" s="583"/>
      <c r="GA24" s="583"/>
      <c r="GB24" s="583"/>
      <c r="GC24" s="583"/>
      <c r="GD24" s="583"/>
      <c r="GE24" s="583"/>
      <c r="GF24" s="583"/>
      <c r="GG24" s="583"/>
      <c r="GH24" s="583"/>
      <c r="GI24" s="583"/>
      <c r="GJ24" s="583"/>
      <c r="GK24" s="583"/>
      <c r="GL24" s="583"/>
      <c r="GM24" s="583"/>
      <c r="GN24" s="583"/>
      <c r="GO24" s="583"/>
      <c r="GP24" s="583"/>
      <c r="GQ24" s="583"/>
      <c r="GR24" s="583"/>
      <c r="GS24" s="583"/>
      <c r="GT24" s="583"/>
      <c r="GU24" s="583"/>
      <c r="GV24" s="583"/>
      <c r="GW24" s="583"/>
      <c r="GX24" s="583"/>
      <c r="GY24" s="583"/>
      <c r="GZ24" s="583"/>
      <c r="HA24" s="583"/>
      <c r="HB24" s="583"/>
      <c r="HC24" s="583"/>
      <c r="HD24" s="583"/>
      <c r="HE24" s="583"/>
      <c r="HF24" s="583"/>
      <c r="HG24" s="583"/>
      <c r="HH24" s="583"/>
      <c r="HI24" s="583"/>
      <c r="HJ24" s="583"/>
      <c r="HK24" s="583"/>
      <c r="HL24" s="583"/>
      <c r="HM24" s="583"/>
      <c r="HN24" s="583"/>
      <c r="HO24" s="583"/>
      <c r="HP24" s="583"/>
      <c r="HQ24" s="583"/>
      <c r="HR24" s="583"/>
      <c r="HS24" s="583"/>
      <c r="HT24" s="583"/>
      <c r="HU24" s="583"/>
      <c r="HV24" s="583"/>
      <c r="HW24" s="583"/>
      <c r="HX24" s="583"/>
      <c r="HY24" s="583"/>
      <c r="HZ24" s="583"/>
      <c r="IA24" s="583"/>
      <c r="IB24" s="583"/>
      <c r="IC24" s="583"/>
      <c r="ID24" s="583"/>
      <c r="IE24" s="583"/>
      <c r="IF24" s="583"/>
      <c r="IG24" s="583"/>
      <c r="IH24" s="583"/>
      <c r="II24" s="583"/>
      <c r="IJ24" s="583"/>
      <c r="IK24" s="583"/>
      <c r="IL24" s="583"/>
      <c r="IM24" s="583"/>
      <c r="IN24" s="583"/>
      <c r="IO24" s="583"/>
      <c r="IP24" s="583"/>
      <c r="IQ24" s="583"/>
      <c r="IR24" s="583"/>
      <c r="IS24" s="583"/>
      <c r="IT24" s="583"/>
      <c r="IU24" s="583"/>
      <c r="IV24" s="583"/>
      <c r="IW24" s="583"/>
      <c r="IX24" s="583"/>
      <c r="IY24" s="583"/>
      <c r="IZ24" s="583"/>
      <c r="JA24" s="583"/>
      <c r="JB24" s="583"/>
      <c r="JC24" s="583"/>
      <c r="JD24" s="583"/>
      <c r="JE24" s="583"/>
      <c r="JF24" s="583"/>
      <c r="JG24" s="583"/>
      <c r="JH24" s="583"/>
      <c r="JI24" s="583"/>
      <c r="JJ24" s="583"/>
      <c r="JK24" s="583"/>
      <c r="JL24" s="583"/>
      <c r="JM24" s="583"/>
      <c r="JN24" s="583"/>
      <c r="JO24" s="583"/>
      <c r="JP24" s="583"/>
      <c r="JQ24" s="583"/>
      <c r="JR24" s="583"/>
      <c r="JS24" s="583"/>
      <c r="JT24" s="583"/>
      <c r="JU24" s="583"/>
      <c r="JV24" s="583"/>
      <c r="JW24" s="583"/>
      <c r="JX24" s="583"/>
      <c r="JY24" s="583"/>
      <c r="JZ24" s="583"/>
      <c r="KA24" s="583"/>
      <c r="KB24" s="583"/>
      <c r="KC24" s="583"/>
      <c r="KD24" s="583"/>
      <c r="KE24" s="583"/>
      <c r="KF24" s="583"/>
      <c r="KG24" s="583"/>
      <c r="KH24" s="583"/>
      <c r="KI24" s="583"/>
      <c r="KJ24" s="583"/>
      <c r="KK24" s="583"/>
      <c r="KL24" s="583"/>
      <c r="KM24" s="583"/>
      <c r="KN24" s="583"/>
      <c r="KO24" s="583"/>
      <c r="KP24" s="583"/>
      <c r="KQ24" s="583"/>
      <c r="KR24" s="583"/>
      <c r="KS24" s="583"/>
      <c r="KT24" s="583"/>
      <c r="KU24" s="583"/>
      <c r="KV24" s="583"/>
      <c r="KW24" s="583"/>
      <c r="KX24" s="583"/>
      <c r="KY24" s="583"/>
      <c r="KZ24" s="583"/>
      <c r="LA24" s="583"/>
      <c r="LB24" s="583"/>
      <c r="LC24" s="583"/>
      <c r="LD24" s="583"/>
      <c r="LE24" s="583"/>
      <c r="LF24" s="583"/>
      <c r="LG24" s="583"/>
      <c r="LH24" s="583"/>
      <c r="LI24" s="583"/>
      <c r="LJ24" s="583"/>
      <c r="LK24" s="583"/>
      <c r="LL24" s="583"/>
      <c r="LM24" s="583"/>
      <c r="LN24" s="583"/>
      <c r="LO24" s="583"/>
      <c r="LP24" s="583"/>
      <c r="LQ24" s="583"/>
      <c r="LR24" s="583"/>
      <c r="LS24" s="583"/>
      <c r="LT24" s="583"/>
      <c r="LU24" s="583"/>
      <c r="LV24" s="583"/>
      <c r="LW24" s="583"/>
      <c r="LX24" s="583"/>
      <c r="LY24" s="583"/>
      <c r="LZ24" s="583"/>
      <c r="MA24" s="583"/>
      <c r="MB24" s="583"/>
      <c r="MC24" s="583"/>
      <c r="MD24" s="583"/>
      <c r="ME24" s="583"/>
      <c r="MF24" s="583"/>
      <c r="MG24" s="583"/>
      <c r="MH24" s="583"/>
      <c r="MI24" s="583"/>
      <c r="MJ24" s="583"/>
      <c r="MK24" s="583"/>
      <c r="ML24" s="583"/>
      <c r="MM24" s="583"/>
      <c r="MN24" s="583"/>
      <c r="MO24" s="583"/>
      <c r="MP24" s="583"/>
      <c r="MQ24" s="583"/>
      <c r="MR24" s="583"/>
      <c r="MS24" s="583"/>
      <c r="MT24" s="583"/>
      <c r="MU24" s="583"/>
      <c r="MV24" s="583"/>
      <c r="MW24" s="583"/>
      <c r="MX24" s="583"/>
      <c r="MY24" s="583"/>
      <c r="MZ24" s="583"/>
      <c r="NA24" s="583"/>
      <c r="NB24" s="583"/>
      <c r="NC24" s="583"/>
      <c r="ND24" s="583"/>
      <c r="NE24" s="583"/>
      <c r="NF24" s="583"/>
      <c r="NG24" s="583"/>
      <c r="NH24" s="583"/>
      <c r="NI24" s="583"/>
      <c r="NJ24" s="583"/>
      <c r="NK24" s="583"/>
      <c r="NL24" s="583"/>
      <c r="NM24" s="583"/>
      <c r="NN24" s="583"/>
      <c r="NO24" s="583"/>
      <c r="NP24" s="583"/>
      <c r="NQ24" s="583"/>
      <c r="NR24" s="583"/>
      <c r="NS24" s="583"/>
      <c r="NT24" s="583"/>
      <c r="NU24" s="583"/>
      <c r="NV24" s="583"/>
      <c r="NW24" s="583"/>
      <c r="NX24" s="583"/>
      <c r="NY24" s="583"/>
      <c r="NZ24" s="583"/>
      <c r="OA24" s="583"/>
      <c r="OB24" s="583"/>
      <c r="OC24" s="583"/>
      <c r="OD24" s="583"/>
      <c r="OE24" s="583"/>
      <c r="OF24" s="583"/>
      <c r="OG24" s="583"/>
      <c r="OH24" s="583"/>
      <c r="OI24" s="583"/>
      <c r="OJ24" s="583"/>
      <c r="OK24" s="583"/>
      <c r="OL24" s="583"/>
      <c r="OM24" s="583"/>
      <c r="ON24" s="583"/>
      <c r="OO24" s="583"/>
      <c r="OP24" s="583"/>
      <c r="OQ24" s="583"/>
      <c r="OR24" s="583"/>
      <c r="OS24" s="583"/>
      <c r="OT24" s="583"/>
      <c r="OU24" s="583"/>
      <c r="OV24" s="583"/>
      <c r="OW24" s="583"/>
      <c r="OX24" s="583"/>
      <c r="OY24" s="583"/>
      <c r="OZ24" s="583"/>
      <c r="PA24" s="583"/>
      <c r="PB24" s="583"/>
      <c r="PC24" s="583"/>
      <c r="PD24" s="583"/>
      <c r="PE24" s="583"/>
      <c r="PF24" s="583"/>
      <c r="PG24" s="583"/>
      <c r="PH24" s="583"/>
      <c r="PI24" s="583"/>
      <c r="PJ24" s="583"/>
      <c r="PK24" s="583"/>
      <c r="PL24" s="583"/>
      <c r="PM24" s="583"/>
      <c r="PN24" s="583"/>
      <c r="PO24" s="583"/>
      <c r="PP24" s="583"/>
      <c r="PQ24" s="583"/>
      <c r="PR24" s="583"/>
      <c r="PS24" s="583"/>
      <c r="PT24" s="583"/>
      <c r="PU24" s="583"/>
      <c r="PV24" s="583"/>
      <c r="PW24" s="583"/>
      <c r="PX24" s="583"/>
      <c r="PY24" s="583"/>
      <c r="PZ24" s="583"/>
      <c r="QA24" s="583"/>
      <c r="QB24" s="583"/>
      <c r="QC24" s="583"/>
      <c r="QD24" s="583"/>
      <c r="QE24" s="583"/>
      <c r="QF24" s="583"/>
      <c r="QG24" s="583"/>
      <c r="QH24" s="583"/>
      <c r="QI24" s="583"/>
      <c r="QJ24" s="583"/>
      <c r="QK24" s="583"/>
      <c r="QL24" s="583"/>
      <c r="QM24" s="583"/>
      <c r="QN24" s="583"/>
      <c r="QO24" s="583"/>
      <c r="QP24" s="583"/>
      <c r="QQ24" s="583"/>
      <c r="QR24" s="583"/>
      <c r="QS24" s="583"/>
      <c r="QT24" s="583"/>
      <c r="QU24" s="583"/>
      <c r="QV24" s="583"/>
      <c r="QW24" s="583"/>
      <c r="QX24" s="583"/>
      <c r="QY24" s="583"/>
      <c r="QZ24" s="583"/>
      <c r="RA24" s="583"/>
      <c r="RB24" s="583"/>
      <c r="RC24" s="583"/>
      <c r="RD24" s="583"/>
      <c r="RE24" s="583"/>
      <c r="RF24" s="583"/>
      <c r="RG24" s="583"/>
      <c r="RH24" s="583"/>
      <c r="RI24" s="583"/>
      <c r="RJ24" s="583"/>
      <c r="RK24" s="583"/>
      <c r="RL24" s="583"/>
      <c r="RM24" s="583"/>
      <c r="RN24" s="583"/>
      <c r="RO24" s="583"/>
      <c r="RP24" s="583"/>
      <c r="RQ24" s="583"/>
      <c r="RR24" s="583"/>
      <c r="RS24" s="583"/>
      <c r="RT24" s="583"/>
      <c r="RU24" s="583"/>
      <c r="RV24" s="583"/>
      <c r="RW24" s="583"/>
      <c r="RX24" s="583"/>
      <c r="RY24" s="583"/>
      <c r="RZ24" s="583"/>
      <c r="SA24" s="583"/>
      <c r="SB24" s="583"/>
      <c r="SC24" s="583"/>
      <c r="SD24" s="583"/>
      <c r="SE24" s="583"/>
      <c r="SF24" s="583"/>
      <c r="SG24" s="583"/>
      <c r="SH24" s="583"/>
      <c r="SI24" s="583"/>
      <c r="SJ24" s="583"/>
      <c r="SK24" s="583"/>
      <c r="SL24" s="583"/>
      <c r="SM24" s="583"/>
      <c r="SN24" s="583"/>
      <c r="SO24" s="583"/>
      <c r="SP24" s="583"/>
      <c r="SQ24" s="583"/>
      <c r="SR24" s="583"/>
      <c r="SS24" s="583"/>
      <c r="ST24" s="583"/>
      <c r="SU24" s="583"/>
      <c r="SV24" s="583"/>
      <c r="SW24" s="583"/>
      <c r="SX24" s="583"/>
      <c r="SY24" s="583"/>
      <c r="SZ24" s="583"/>
      <c r="TA24" s="583"/>
      <c r="TB24" s="583"/>
      <c r="TC24" s="583"/>
      <c r="TD24" s="583"/>
      <c r="TE24" s="583"/>
      <c r="TF24" s="583"/>
      <c r="TG24" s="583"/>
      <c r="TH24" s="583"/>
      <c r="TI24" s="583"/>
      <c r="TJ24" s="583"/>
      <c r="TK24" s="583"/>
      <c r="TL24" s="583"/>
      <c r="TM24" s="583"/>
      <c r="TN24" s="583"/>
      <c r="TO24" s="583"/>
      <c r="TP24" s="583"/>
      <c r="TQ24" s="583"/>
      <c r="TR24" s="583"/>
      <c r="TS24" s="583"/>
      <c r="TT24" s="583"/>
      <c r="TU24" s="583"/>
      <c r="TV24" s="583"/>
      <c r="TW24" s="583"/>
      <c r="TX24" s="583"/>
      <c r="TY24" s="583"/>
      <c r="TZ24" s="583"/>
      <c r="UA24" s="583"/>
      <c r="UB24" s="583"/>
      <c r="UC24" s="583"/>
      <c r="UD24" s="583"/>
      <c r="UE24" s="583"/>
      <c r="UF24" s="583"/>
      <c r="UG24" s="583"/>
      <c r="UH24" s="583"/>
      <c r="UI24" s="583"/>
      <c r="UJ24" s="583"/>
      <c r="UK24" s="583"/>
      <c r="UL24" s="583"/>
      <c r="UM24" s="583"/>
      <c r="UN24" s="583"/>
      <c r="UO24" s="583"/>
      <c r="UP24" s="583"/>
      <c r="UQ24" s="583"/>
      <c r="UR24" s="583"/>
      <c r="US24" s="583"/>
      <c r="UT24" s="583"/>
      <c r="UU24" s="583"/>
      <c r="UV24" s="583"/>
      <c r="UW24" s="583"/>
      <c r="UX24" s="583"/>
      <c r="UY24" s="583"/>
      <c r="UZ24" s="583"/>
      <c r="VA24" s="583"/>
      <c r="VB24" s="583"/>
      <c r="VC24" s="583"/>
      <c r="VD24" s="583"/>
      <c r="VE24" s="583"/>
      <c r="VF24" s="583"/>
      <c r="VG24" s="583"/>
      <c r="VH24" s="583"/>
      <c r="VI24" s="583"/>
      <c r="VJ24" s="583"/>
      <c r="VK24" s="583"/>
      <c r="VL24" s="583"/>
      <c r="VM24" s="583"/>
      <c r="VN24" s="583"/>
      <c r="VO24" s="583"/>
      <c r="VP24" s="583"/>
      <c r="VQ24" s="583"/>
      <c r="VR24" s="583"/>
      <c r="VS24" s="583"/>
      <c r="VT24" s="583"/>
      <c r="VU24" s="583"/>
      <c r="VV24" s="583"/>
      <c r="VW24" s="583"/>
      <c r="VX24" s="583"/>
      <c r="VY24" s="583"/>
      <c r="VZ24" s="583"/>
      <c r="WA24" s="583"/>
      <c r="WB24" s="583"/>
      <c r="WC24" s="583"/>
      <c r="WD24" s="583"/>
      <c r="WE24" s="583"/>
      <c r="WF24" s="583"/>
      <c r="WG24" s="583"/>
      <c r="WH24" s="583"/>
      <c r="WI24" s="583"/>
      <c r="WJ24" s="583"/>
      <c r="WK24" s="583"/>
      <c r="WL24" s="583"/>
      <c r="WM24" s="583"/>
      <c r="WN24" s="583"/>
      <c r="WO24" s="583"/>
      <c r="WP24" s="583"/>
      <c r="WQ24" s="583"/>
      <c r="WR24" s="583"/>
      <c r="WS24" s="583"/>
      <c r="WT24" s="583"/>
      <c r="WU24" s="583"/>
      <c r="WV24" s="583"/>
      <c r="WW24" s="583"/>
      <c r="WX24" s="583"/>
      <c r="WY24" s="583"/>
      <c r="WZ24" s="583"/>
      <c r="XA24" s="583"/>
      <c r="XB24" s="583"/>
      <c r="XC24" s="583"/>
      <c r="XD24" s="583"/>
      <c r="XE24" s="583"/>
      <c r="XF24" s="583"/>
      <c r="XG24" s="583"/>
      <c r="XH24" s="583"/>
      <c r="XI24" s="583"/>
      <c r="XJ24" s="583"/>
      <c r="XK24" s="583"/>
      <c r="XL24" s="583"/>
      <c r="XM24" s="583"/>
      <c r="XN24" s="583"/>
      <c r="XO24" s="583"/>
      <c r="XP24" s="583"/>
      <c r="XQ24" s="583"/>
      <c r="XR24" s="583"/>
      <c r="XS24" s="583"/>
      <c r="XT24" s="583"/>
      <c r="XU24" s="583"/>
      <c r="XV24" s="583"/>
      <c r="XW24" s="583"/>
      <c r="XX24" s="583"/>
      <c r="XY24" s="583"/>
      <c r="XZ24" s="583"/>
      <c r="YA24" s="583"/>
      <c r="YB24" s="583"/>
      <c r="YC24" s="583"/>
      <c r="YD24" s="583"/>
      <c r="YE24" s="583"/>
      <c r="YF24" s="583"/>
      <c r="YG24" s="583"/>
      <c r="YH24" s="583"/>
      <c r="YI24" s="583"/>
      <c r="YJ24" s="583"/>
      <c r="YK24" s="583"/>
      <c r="YL24" s="583"/>
      <c r="YM24" s="583"/>
      <c r="YN24" s="583"/>
      <c r="YO24" s="583"/>
      <c r="YP24" s="583"/>
      <c r="YQ24" s="583"/>
      <c r="YR24" s="583"/>
      <c r="YS24" s="583"/>
      <c r="YT24" s="583"/>
      <c r="YU24" s="583"/>
      <c r="YV24" s="583"/>
      <c r="YW24" s="583"/>
      <c r="YX24" s="583"/>
      <c r="YY24" s="583"/>
      <c r="YZ24" s="583"/>
      <c r="ZA24" s="583"/>
      <c r="ZB24" s="583"/>
      <c r="ZC24" s="583"/>
      <c r="ZD24" s="583"/>
      <c r="ZE24" s="583"/>
      <c r="ZF24" s="583"/>
      <c r="ZG24" s="583"/>
      <c r="ZH24" s="583"/>
      <c r="ZI24" s="583"/>
      <c r="ZJ24" s="583"/>
      <c r="ZK24" s="583"/>
      <c r="ZL24" s="583"/>
      <c r="ZM24" s="583"/>
      <c r="ZN24" s="583"/>
      <c r="ZO24" s="583"/>
      <c r="ZP24" s="583"/>
      <c r="ZQ24" s="583"/>
      <c r="ZR24" s="583"/>
      <c r="ZS24" s="583"/>
      <c r="ZT24" s="583"/>
      <c r="ZU24" s="583"/>
      <c r="ZV24" s="583"/>
      <c r="ZW24" s="583"/>
      <c r="ZX24" s="583"/>
      <c r="ZY24" s="583"/>
      <c r="ZZ24" s="583"/>
      <c r="AAA24" s="583"/>
      <c r="AAB24" s="583"/>
      <c r="AAC24" s="583"/>
      <c r="AAD24" s="583"/>
      <c r="AAE24" s="583"/>
      <c r="AAF24" s="583"/>
      <c r="AAG24" s="583"/>
      <c r="AAH24" s="583"/>
      <c r="AAI24" s="583"/>
      <c r="AAJ24" s="583"/>
      <c r="AAK24" s="583"/>
      <c r="AAL24" s="583"/>
      <c r="AAM24" s="583"/>
      <c r="AAN24" s="583"/>
      <c r="AAO24" s="583"/>
      <c r="AAP24" s="583"/>
      <c r="AAQ24" s="583"/>
      <c r="AAR24" s="583"/>
      <c r="AAS24" s="583"/>
      <c r="AAT24" s="583"/>
      <c r="AAU24" s="583"/>
      <c r="AAV24" s="583"/>
      <c r="AAW24" s="583"/>
      <c r="AAX24" s="583"/>
      <c r="AAY24" s="583"/>
      <c r="AAZ24" s="583"/>
      <c r="ABA24" s="583"/>
      <c r="ABB24" s="583"/>
      <c r="ABC24" s="583"/>
      <c r="ABD24" s="583"/>
      <c r="ABE24" s="583"/>
      <c r="ABF24" s="583"/>
      <c r="ABG24" s="583"/>
      <c r="ABH24" s="583"/>
      <c r="ABI24" s="583"/>
      <c r="ABJ24" s="583"/>
      <c r="ABK24" s="583"/>
      <c r="ABL24" s="583"/>
      <c r="ABM24" s="583"/>
      <c r="ABN24" s="583"/>
      <c r="ABO24" s="583"/>
      <c r="ABP24" s="583"/>
      <c r="ABQ24" s="583"/>
      <c r="ABR24" s="583"/>
      <c r="ABS24" s="583"/>
      <c r="ABT24" s="583"/>
      <c r="ABU24" s="583"/>
      <c r="ABV24" s="583"/>
      <c r="ABW24" s="583"/>
      <c r="ABX24" s="583"/>
      <c r="ABY24" s="583"/>
      <c r="ABZ24" s="583"/>
      <c r="ACA24" s="583"/>
      <c r="ACB24" s="583"/>
      <c r="ACC24" s="583"/>
      <c r="ACD24" s="583"/>
      <c r="ACE24" s="583"/>
      <c r="ACF24" s="583"/>
      <c r="ACG24" s="583"/>
      <c r="ACH24" s="583"/>
      <c r="ACI24" s="583"/>
      <c r="ACJ24" s="583"/>
      <c r="ACK24" s="583"/>
      <c r="ACL24" s="583"/>
      <c r="ACM24" s="583"/>
      <c r="ACN24" s="583"/>
      <c r="ACO24" s="583"/>
      <c r="ACP24" s="583"/>
      <c r="ACQ24" s="583"/>
      <c r="ACR24" s="583"/>
      <c r="ACS24" s="583"/>
      <c r="ACT24" s="583"/>
      <c r="ACU24" s="583"/>
      <c r="ACV24" s="583"/>
      <c r="ACW24" s="583"/>
      <c r="ACX24" s="583"/>
      <c r="ACY24" s="583"/>
      <c r="ACZ24" s="583"/>
      <c r="ADA24" s="583"/>
      <c r="ADB24" s="583"/>
      <c r="ADC24" s="583"/>
      <c r="ADD24" s="583"/>
      <c r="ADE24" s="583"/>
      <c r="ADF24" s="583"/>
      <c r="ADG24" s="583"/>
      <c r="ADH24" s="583"/>
      <c r="ADI24" s="583"/>
      <c r="ADJ24" s="583"/>
      <c r="ADK24" s="583"/>
      <c r="ADL24" s="583"/>
      <c r="ADM24" s="583"/>
      <c r="ADN24" s="583"/>
      <c r="ADO24" s="583"/>
      <c r="ADP24" s="583"/>
      <c r="ADQ24" s="583"/>
      <c r="ADR24" s="583"/>
      <c r="ADS24" s="583"/>
      <c r="ADT24" s="583"/>
      <c r="ADU24" s="583"/>
      <c r="ADV24" s="583"/>
      <c r="ADW24" s="583"/>
      <c r="ADX24" s="583"/>
      <c r="ADY24" s="583"/>
      <c r="ADZ24" s="583"/>
      <c r="AEA24" s="583"/>
      <c r="AEB24" s="583"/>
      <c r="AEC24" s="583"/>
      <c r="AED24" s="583"/>
      <c r="AEE24" s="583"/>
      <c r="AEF24" s="583"/>
      <c r="AEG24" s="583"/>
      <c r="AEH24" s="583"/>
      <c r="AEI24" s="583"/>
      <c r="AEJ24" s="583"/>
      <c r="AEK24" s="583"/>
      <c r="AEL24" s="583"/>
      <c r="AEM24" s="583"/>
      <c r="AEN24" s="583"/>
      <c r="AEO24" s="583"/>
      <c r="AEP24" s="583"/>
      <c r="AEQ24" s="583"/>
      <c r="AER24" s="583"/>
      <c r="AES24" s="583"/>
      <c r="AET24" s="583"/>
      <c r="AEU24" s="583"/>
      <c r="AEV24" s="583"/>
      <c r="AEW24" s="583"/>
      <c r="AEX24" s="583"/>
      <c r="AEY24" s="583"/>
      <c r="AEZ24" s="583"/>
      <c r="AFA24" s="583"/>
      <c r="AFB24" s="583"/>
      <c r="AFC24" s="583"/>
      <c r="AFD24" s="583"/>
      <c r="AFE24" s="583"/>
      <c r="AFF24" s="583"/>
      <c r="AFG24" s="583"/>
      <c r="AFH24" s="583"/>
      <c r="AFI24" s="583"/>
      <c r="AFJ24" s="583"/>
      <c r="AFK24" s="583"/>
      <c r="AFL24" s="583"/>
      <c r="AFM24" s="583"/>
      <c r="AFN24" s="583"/>
      <c r="AFO24" s="583"/>
      <c r="AFP24" s="583"/>
      <c r="AFQ24" s="583"/>
      <c r="AFR24" s="583"/>
      <c r="AFS24" s="583"/>
      <c r="AFT24" s="583"/>
      <c r="AFU24" s="583"/>
      <c r="AFV24" s="583"/>
      <c r="AFW24" s="583"/>
      <c r="AFX24" s="583"/>
      <c r="AFY24" s="583"/>
      <c r="AFZ24" s="583"/>
      <c r="AGA24" s="583"/>
      <c r="AGB24" s="583"/>
      <c r="AGC24" s="583"/>
      <c r="AGD24" s="583"/>
      <c r="AGE24" s="583"/>
      <c r="AGF24" s="583"/>
      <c r="AGG24" s="583"/>
      <c r="AGH24" s="583"/>
      <c r="AGI24" s="583"/>
      <c r="AGJ24" s="583"/>
      <c r="AGK24" s="583"/>
      <c r="AGL24" s="583"/>
      <c r="AGM24" s="583"/>
      <c r="AGN24" s="583"/>
      <c r="AGO24" s="583"/>
      <c r="AGP24" s="583"/>
      <c r="AGQ24" s="583"/>
      <c r="AGR24" s="583"/>
      <c r="AGS24" s="583"/>
      <c r="AGT24" s="583"/>
      <c r="AGU24" s="583"/>
      <c r="AGV24" s="583"/>
      <c r="AGW24" s="583"/>
      <c r="AGX24" s="583"/>
      <c r="AGY24" s="583"/>
      <c r="AGZ24" s="583"/>
      <c r="AHA24" s="583"/>
      <c r="AHB24" s="583"/>
      <c r="AHC24" s="583"/>
      <c r="AHD24" s="583"/>
      <c r="AHE24" s="583"/>
      <c r="AHF24" s="583"/>
      <c r="AHG24" s="583"/>
      <c r="AHH24" s="583"/>
      <c r="AHI24" s="583"/>
      <c r="AHJ24" s="583"/>
      <c r="AHK24" s="583"/>
      <c r="AHL24" s="583"/>
      <c r="AHM24" s="583"/>
      <c r="AHN24" s="583"/>
      <c r="AHO24" s="583"/>
      <c r="AHP24" s="583"/>
      <c r="AHQ24" s="583"/>
      <c r="AHR24" s="583"/>
      <c r="AHS24" s="583"/>
      <c r="AHT24" s="583"/>
      <c r="AHU24" s="583"/>
      <c r="AHV24" s="583"/>
      <c r="AHW24" s="583"/>
      <c r="AHX24" s="583"/>
      <c r="AHY24" s="583"/>
      <c r="AHZ24" s="583"/>
      <c r="AIA24" s="583"/>
      <c r="AIB24" s="583"/>
      <c r="AIC24" s="583"/>
      <c r="AID24" s="583"/>
      <c r="AIE24" s="583"/>
      <c r="AIF24" s="583"/>
      <c r="AIG24" s="583"/>
      <c r="AIH24" s="583"/>
      <c r="AII24" s="583"/>
      <c r="AIJ24" s="583"/>
      <c r="AIK24" s="583"/>
      <c r="AIL24" s="583"/>
      <c r="AIM24" s="583"/>
      <c r="AIN24" s="583"/>
      <c r="AIO24" s="583"/>
      <c r="AIP24" s="583"/>
      <c r="AIQ24" s="583"/>
      <c r="AIR24" s="583"/>
      <c r="AIS24" s="583"/>
      <c r="AIT24" s="583"/>
      <c r="AIU24" s="583"/>
      <c r="AIV24" s="583"/>
      <c r="AIW24" s="583"/>
      <c r="AIX24" s="583"/>
      <c r="AIY24" s="583"/>
      <c r="AIZ24" s="583"/>
      <c r="AJA24" s="583"/>
      <c r="AJB24" s="583"/>
      <c r="AJC24" s="583"/>
      <c r="AJD24" s="583"/>
      <c r="AJE24" s="583"/>
      <c r="AJF24" s="583"/>
      <c r="AJG24" s="583"/>
      <c r="AJH24" s="583"/>
      <c r="AJI24" s="583"/>
      <c r="AJJ24" s="583"/>
      <c r="AJK24" s="583"/>
      <c r="AJL24" s="583"/>
      <c r="AJM24" s="583"/>
      <c r="AJN24" s="583"/>
      <c r="AJO24" s="583"/>
      <c r="AJP24" s="583"/>
      <c r="AJQ24" s="583"/>
      <c r="AJR24" s="583"/>
      <c r="AJS24" s="583"/>
      <c r="AJT24" s="583"/>
      <c r="AJU24" s="583"/>
      <c r="AJV24" s="583"/>
      <c r="AJW24" s="583"/>
      <c r="AJX24" s="583"/>
      <c r="AJY24" s="583"/>
      <c r="AJZ24" s="583"/>
      <c r="AKA24" s="583"/>
      <c r="AKB24" s="583"/>
      <c r="AKC24" s="583"/>
      <c r="AKD24" s="583"/>
      <c r="AKE24" s="583"/>
      <c r="AKF24" s="583"/>
      <c r="AKG24" s="583"/>
      <c r="AKH24" s="583"/>
      <c r="AKI24" s="583"/>
      <c r="AKJ24" s="583"/>
      <c r="AKK24" s="583"/>
      <c r="AKL24" s="583"/>
      <c r="AKM24" s="583"/>
      <c r="AKN24" s="583"/>
      <c r="AKO24" s="583"/>
      <c r="AKP24" s="583"/>
      <c r="AKQ24" s="583"/>
      <c r="AKR24" s="583"/>
      <c r="AKS24" s="583"/>
      <c r="AKT24" s="583"/>
      <c r="AKU24" s="583"/>
      <c r="AKV24" s="583"/>
      <c r="AKW24" s="583"/>
      <c r="AKX24" s="583"/>
      <c r="AKY24" s="583"/>
      <c r="AKZ24" s="583"/>
      <c r="ALA24" s="583"/>
      <c r="ALB24" s="583"/>
      <c r="ALC24" s="583"/>
      <c r="ALD24" s="583"/>
      <c r="ALE24" s="583"/>
      <c r="ALF24" s="583"/>
      <c r="ALG24" s="583"/>
      <c r="ALH24" s="583"/>
      <c r="ALI24" s="583"/>
      <c r="ALJ24" s="583"/>
      <c r="ALK24" s="583"/>
      <c r="ALL24" s="583"/>
      <c r="ALM24" s="583"/>
      <c r="ALN24" s="583"/>
      <c r="ALO24" s="583"/>
      <c r="ALP24" s="583"/>
      <c r="ALQ24" s="583"/>
      <c r="ALR24" s="583"/>
      <c r="ALS24" s="583"/>
      <c r="ALT24" s="583"/>
      <c r="ALU24" s="583"/>
      <c r="ALV24" s="583"/>
      <c r="ALW24" s="583"/>
      <c r="ALX24" s="583"/>
      <c r="ALY24" s="583"/>
      <c r="ALZ24" s="583"/>
      <c r="AMA24" s="583"/>
      <c r="AMB24" s="583"/>
      <c r="AMC24" s="583"/>
      <c r="AMD24" s="583"/>
      <c r="AME24" s="583"/>
      <c r="AMF24" s="583"/>
      <c r="AMG24" s="583"/>
      <c r="AMH24" s="583"/>
      <c r="AMI24" s="583"/>
      <c r="AMJ24" s="583"/>
      <c r="AMK24" s="583"/>
      <c r="AML24" s="583"/>
      <c r="AMM24" s="583"/>
      <c r="AMN24" s="583"/>
      <c r="AMO24" s="583"/>
      <c r="AMP24" s="583"/>
      <c r="AMQ24" s="583"/>
      <c r="AMR24" s="583"/>
      <c r="AMS24" s="583"/>
      <c r="AMT24" s="583"/>
      <c r="AMU24" s="583"/>
      <c r="AMV24" s="583"/>
      <c r="AMW24" s="583"/>
      <c r="AMX24" s="583"/>
      <c r="AMY24" s="583"/>
      <c r="AMZ24" s="583"/>
      <c r="ANA24" s="583"/>
      <c r="ANB24" s="583"/>
      <c r="ANC24" s="583"/>
      <c r="AND24" s="583"/>
      <c r="ANE24" s="583"/>
      <c r="ANF24" s="583"/>
      <c r="ANG24" s="583"/>
      <c r="ANH24" s="583"/>
      <c r="ANI24" s="583"/>
      <c r="ANJ24" s="583"/>
      <c r="ANK24" s="583"/>
      <c r="ANL24" s="583"/>
      <c r="ANM24" s="583"/>
      <c r="ANN24" s="583"/>
      <c r="ANO24" s="583"/>
      <c r="ANP24" s="583"/>
      <c r="ANQ24" s="583"/>
      <c r="ANR24" s="583"/>
      <c r="ANS24" s="583"/>
      <c r="ANT24" s="583"/>
      <c r="ANU24" s="583"/>
      <c r="ANV24" s="583"/>
      <c r="ANW24" s="583"/>
      <c r="ANX24" s="583"/>
      <c r="ANY24" s="583"/>
      <c r="ANZ24" s="583"/>
      <c r="AOA24" s="583"/>
      <c r="AOB24" s="583"/>
      <c r="AOC24" s="583"/>
      <c r="AOD24" s="583"/>
      <c r="AOE24" s="583"/>
      <c r="AOF24" s="583"/>
      <c r="AOG24" s="583"/>
      <c r="AOH24" s="583"/>
      <c r="AOI24" s="583"/>
      <c r="AOJ24" s="583"/>
      <c r="AOK24" s="583"/>
      <c r="AOL24" s="583"/>
      <c r="AOM24" s="583"/>
      <c r="AON24" s="583"/>
      <c r="AOO24" s="583"/>
      <c r="AOP24" s="583"/>
      <c r="AOQ24" s="583"/>
      <c r="AOR24" s="583"/>
      <c r="AOS24" s="583"/>
      <c r="AOT24" s="583"/>
      <c r="AOU24" s="583"/>
      <c r="AOV24" s="583"/>
      <c r="AOW24" s="583"/>
      <c r="AOX24" s="583"/>
      <c r="AOY24" s="583"/>
      <c r="AOZ24" s="583"/>
      <c r="APA24" s="583"/>
      <c r="APB24" s="583"/>
      <c r="APC24" s="583"/>
      <c r="APD24" s="583"/>
      <c r="APE24" s="583"/>
      <c r="APF24" s="583"/>
      <c r="APG24" s="583"/>
      <c r="APH24" s="583"/>
      <c r="API24" s="583"/>
      <c r="APJ24" s="583"/>
      <c r="APK24" s="583"/>
      <c r="APL24" s="583"/>
      <c r="APM24" s="583"/>
      <c r="APN24" s="583"/>
      <c r="APO24" s="583"/>
      <c r="APP24" s="583"/>
      <c r="APQ24" s="583"/>
      <c r="APR24" s="583"/>
      <c r="APS24" s="583"/>
      <c r="APT24" s="583"/>
      <c r="APU24" s="583"/>
      <c r="APV24" s="583"/>
      <c r="APW24" s="583"/>
      <c r="APX24" s="583"/>
      <c r="APY24" s="583"/>
      <c r="APZ24" s="583"/>
      <c r="AQA24" s="583"/>
      <c r="AQB24" s="583"/>
      <c r="AQC24" s="583"/>
      <c r="AQD24" s="583"/>
      <c r="AQE24" s="583"/>
      <c r="AQF24" s="583"/>
      <c r="AQG24" s="583"/>
      <c r="AQH24" s="583"/>
      <c r="AQI24" s="583"/>
      <c r="AQJ24" s="583"/>
      <c r="AQK24" s="583"/>
      <c r="AQL24" s="583"/>
      <c r="AQM24" s="583"/>
      <c r="AQN24" s="583"/>
      <c r="AQO24" s="583"/>
      <c r="AQP24" s="583"/>
      <c r="AQQ24" s="583"/>
      <c r="AQR24" s="583"/>
      <c r="AQS24" s="583"/>
      <c r="AQT24" s="583"/>
      <c r="AQU24" s="583"/>
      <c r="AQV24" s="583"/>
      <c r="AQW24" s="583"/>
      <c r="AQX24" s="583"/>
      <c r="AQY24" s="583"/>
      <c r="AQZ24" s="583"/>
      <c r="ARA24" s="583"/>
      <c r="ARB24" s="583"/>
      <c r="ARC24" s="583"/>
      <c r="ARD24" s="583"/>
      <c r="ARE24" s="583"/>
      <c r="ARF24" s="583"/>
      <c r="ARG24" s="583"/>
      <c r="ARH24" s="583"/>
      <c r="ARI24" s="583"/>
      <c r="ARJ24" s="583"/>
      <c r="ARK24" s="583"/>
      <c r="ARL24" s="583"/>
      <c r="ARM24" s="583"/>
      <c r="ARN24" s="583"/>
      <c r="ARO24" s="583"/>
      <c r="ARP24" s="583"/>
      <c r="ARQ24" s="583"/>
      <c r="ARR24" s="583"/>
      <c r="ARS24" s="583"/>
      <c r="ART24" s="583"/>
      <c r="ARU24" s="583"/>
      <c r="ARV24" s="583"/>
      <c r="ARW24" s="583"/>
      <c r="ARX24" s="583"/>
      <c r="ARY24" s="583"/>
      <c r="ARZ24" s="583"/>
      <c r="ASA24" s="583"/>
      <c r="ASB24" s="583"/>
      <c r="ASC24" s="583"/>
      <c r="ASD24" s="583"/>
      <c r="ASE24" s="583"/>
      <c r="ASF24" s="583"/>
      <c r="ASG24" s="583"/>
      <c r="ASH24" s="583"/>
      <c r="ASI24" s="583"/>
      <c r="ASJ24" s="583"/>
      <c r="ASK24" s="583"/>
      <c r="ASL24" s="583"/>
      <c r="ASM24" s="583"/>
      <c r="ASN24" s="583"/>
      <c r="ASO24" s="583"/>
      <c r="ASP24" s="583"/>
      <c r="ASQ24" s="583"/>
      <c r="ASR24" s="583"/>
      <c r="ASS24" s="583"/>
      <c r="AST24" s="583"/>
      <c r="ASU24" s="583"/>
      <c r="ASV24" s="583"/>
      <c r="ASW24" s="583"/>
      <c r="ASX24" s="583"/>
      <c r="ASY24" s="583"/>
      <c r="ASZ24" s="583"/>
      <c r="ATA24" s="583"/>
      <c r="ATB24" s="583"/>
      <c r="ATC24" s="583"/>
      <c r="ATD24" s="583"/>
      <c r="ATE24" s="583"/>
      <c r="ATF24" s="583"/>
      <c r="ATG24" s="583"/>
      <c r="ATH24" s="583"/>
      <c r="ATI24" s="583"/>
      <c r="ATJ24" s="583"/>
      <c r="ATK24" s="583"/>
      <c r="ATL24" s="583"/>
      <c r="ATM24" s="583"/>
      <c r="ATN24" s="583"/>
      <c r="ATO24" s="583"/>
      <c r="ATP24" s="583"/>
      <c r="ATQ24" s="583"/>
      <c r="ATR24" s="583"/>
      <c r="ATS24" s="583"/>
      <c r="ATT24" s="583"/>
      <c r="ATU24" s="583"/>
      <c r="ATV24" s="583"/>
      <c r="ATW24" s="583"/>
      <c r="ATX24" s="583"/>
      <c r="ATY24" s="583"/>
      <c r="ATZ24" s="583"/>
      <c r="AUA24" s="583"/>
      <c r="AUB24" s="583"/>
      <c r="AUC24" s="583"/>
      <c r="AUD24" s="583"/>
      <c r="AUE24" s="583"/>
      <c r="AUF24" s="583"/>
      <c r="AUG24" s="583"/>
      <c r="AUH24" s="583"/>
      <c r="AUI24" s="583"/>
      <c r="AUJ24" s="583"/>
      <c r="AUK24" s="583"/>
      <c r="AUL24" s="583"/>
      <c r="AUM24" s="583"/>
      <c r="AUN24" s="583"/>
      <c r="AUO24" s="583"/>
      <c r="AUP24" s="583"/>
      <c r="AUQ24" s="583"/>
      <c r="AUR24" s="583"/>
      <c r="AUS24" s="583"/>
      <c r="AUT24" s="583"/>
      <c r="AUU24" s="583"/>
      <c r="AUV24" s="583"/>
      <c r="AUW24" s="583"/>
      <c r="AUX24" s="583"/>
      <c r="AUY24" s="583"/>
      <c r="AUZ24" s="583"/>
      <c r="AVA24" s="583"/>
      <c r="AVB24" s="583"/>
      <c r="AVC24" s="583"/>
      <c r="AVD24" s="583"/>
      <c r="AVE24" s="583"/>
      <c r="AVF24" s="583"/>
      <c r="AVG24" s="583"/>
      <c r="AVH24" s="583"/>
      <c r="AVI24" s="583"/>
      <c r="AVJ24" s="583"/>
      <c r="AVK24" s="583"/>
      <c r="AVL24" s="583"/>
      <c r="AVM24" s="583"/>
      <c r="AVN24" s="583"/>
      <c r="AVO24" s="583"/>
      <c r="AVP24" s="583"/>
      <c r="AVQ24" s="583"/>
      <c r="AVR24" s="583"/>
      <c r="AVS24" s="583"/>
      <c r="AVT24" s="583"/>
      <c r="AVU24" s="583"/>
      <c r="AVV24" s="583"/>
      <c r="AVW24" s="583"/>
      <c r="AVX24" s="583"/>
      <c r="AVY24" s="583"/>
      <c r="AVZ24" s="583"/>
      <c r="AWA24" s="583"/>
      <c r="AWB24" s="583"/>
      <c r="AWC24" s="583"/>
      <c r="AWD24" s="583"/>
      <c r="AWE24" s="583"/>
      <c r="AWF24" s="583"/>
      <c r="AWG24" s="583"/>
      <c r="AWH24" s="583"/>
      <c r="AWI24" s="583"/>
      <c r="AWJ24" s="583"/>
      <c r="AWK24" s="583"/>
      <c r="AWL24" s="583"/>
      <c r="AWM24" s="583"/>
      <c r="AWN24" s="583"/>
      <c r="AWO24" s="583"/>
      <c r="AWP24" s="583"/>
      <c r="AWQ24" s="583"/>
      <c r="AWR24" s="583"/>
      <c r="AWS24" s="583"/>
      <c r="AWT24" s="583"/>
      <c r="AWU24" s="583"/>
      <c r="AWV24" s="583"/>
      <c r="AWW24" s="583"/>
      <c r="AWX24" s="583"/>
      <c r="AWY24" s="583"/>
      <c r="AWZ24" s="583"/>
      <c r="AXA24" s="583"/>
      <c r="AXB24" s="583"/>
      <c r="AXC24" s="583"/>
      <c r="AXD24" s="583"/>
      <c r="AXE24" s="583"/>
      <c r="AXF24" s="583"/>
      <c r="AXG24" s="583"/>
      <c r="AXH24" s="583"/>
      <c r="AXI24" s="583"/>
      <c r="AXJ24" s="583"/>
      <c r="AXK24" s="583"/>
      <c r="AXL24" s="583"/>
      <c r="AXM24" s="583"/>
      <c r="AXN24" s="583"/>
      <c r="AXO24" s="583"/>
      <c r="AXP24" s="583"/>
      <c r="AXQ24" s="583"/>
      <c r="AXR24" s="583"/>
      <c r="AXS24" s="583"/>
      <c r="AXT24" s="583"/>
      <c r="AXU24" s="583"/>
      <c r="AXV24" s="583"/>
      <c r="AXW24" s="583"/>
      <c r="AXX24" s="583"/>
      <c r="AXY24" s="583"/>
      <c r="AXZ24" s="583"/>
      <c r="AYA24" s="583"/>
      <c r="AYB24" s="583"/>
      <c r="AYC24" s="583"/>
      <c r="AYD24" s="583"/>
      <c r="AYE24" s="583"/>
      <c r="AYF24" s="583"/>
      <c r="AYG24" s="583"/>
      <c r="AYH24" s="583"/>
      <c r="AYI24" s="583"/>
      <c r="AYJ24" s="583"/>
      <c r="AYK24" s="583"/>
      <c r="AYL24" s="583"/>
      <c r="AYM24" s="583"/>
      <c r="AYN24" s="583"/>
      <c r="AYO24" s="583"/>
      <c r="AYP24" s="583"/>
      <c r="AYQ24" s="583"/>
      <c r="AYR24" s="583"/>
      <c r="AYS24" s="583"/>
      <c r="AYT24" s="583"/>
      <c r="AYU24" s="583"/>
      <c r="AYV24" s="583"/>
      <c r="AYW24" s="583"/>
      <c r="AYX24" s="583"/>
      <c r="AYY24" s="583"/>
      <c r="AYZ24" s="583"/>
      <c r="AZA24" s="583"/>
      <c r="AZB24" s="583"/>
      <c r="AZC24" s="583"/>
      <c r="AZD24" s="583"/>
      <c r="AZE24" s="583"/>
      <c r="AZF24" s="583"/>
      <c r="AZG24" s="583"/>
      <c r="AZH24" s="583"/>
      <c r="AZI24" s="583"/>
      <c r="AZJ24" s="583"/>
      <c r="AZK24" s="583"/>
      <c r="AZL24" s="583"/>
      <c r="AZM24" s="583"/>
      <c r="AZN24" s="583"/>
      <c r="AZO24" s="583"/>
      <c r="AZP24" s="583"/>
      <c r="AZQ24" s="583"/>
      <c r="AZR24" s="583"/>
      <c r="AZS24" s="583"/>
      <c r="AZT24" s="583"/>
      <c r="AZU24" s="583"/>
      <c r="AZV24" s="583"/>
      <c r="AZW24" s="583"/>
      <c r="AZX24" s="583"/>
      <c r="AZY24" s="583"/>
      <c r="AZZ24" s="583"/>
      <c r="BAA24" s="583"/>
      <c r="BAB24" s="583"/>
      <c r="BAC24" s="583"/>
      <c r="BAD24" s="583"/>
      <c r="BAE24" s="583"/>
      <c r="BAF24" s="583"/>
      <c r="BAG24" s="583"/>
      <c r="BAH24" s="583"/>
      <c r="BAI24" s="583"/>
      <c r="BAJ24" s="583"/>
      <c r="BAK24" s="583"/>
      <c r="BAL24" s="583"/>
      <c r="BAM24" s="583"/>
      <c r="BAN24" s="583"/>
      <c r="BAO24" s="583"/>
      <c r="BAP24" s="583"/>
      <c r="BAQ24" s="583"/>
      <c r="BAR24" s="583"/>
      <c r="BAS24" s="583"/>
      <c r="BAT24" s="583"/>
      <c r="BAU24" s="583"/>
      <c r="BAV24" s="583"/>
      <c r="BAW24" s="583"/>
      <c r="BAX24" s="583"/>
      <c r="BAY24" s="583"/>
      <c r="BAZ24" s="583"/>
      <c r="BBA24" s="583"/>
      <c r="BBB24" s="583"/>
      <c r="BBC24" s="583"/>
      <c r="BBD24" s="583"/>
      <c r="BBE24" s="583"/>
      <c r="BBF24" s="583"/>
      <c r="BBG24" s="583"/>
      <c r="BBH24" s="583"/>
      <c r="BBI24" s="583"/>
      <c r="BBJ24" s="583"/>
      <c r="BBK24" s="583"/>
      <c r="BBL24" s="583"/>
      <c r="BBM24" s="583"/>
      <c r="BBN24" s="583"/>
      <c r="BBO24" s="583"/>
      <c r="BBP24" s="583"/>
      <c r="BBQ24" s="583"/>
      <c r="BBR24" s="583"/>
      <c r="BBS24" s="583"/>
      <c r="BBT24" s="583"/>
      <c r="BBU24" s="583"/>
      <c r="BBV24" s="583"/>
      <c r="BBW24" s="583"/>
      <c r="BBX24" s="583"/>
      <c r="BBY24" s="583"/>
      <c r="BBZ24" s="583"/>
      <c r="BCA24" s="583"/>
      <c r="BCB24" s="583"/>
      <c r="BCC24" s="583"/>
      <c r="BCD24" s="583"/>
      <c r="BCE24" s="583"/>
      <c r="BCF24" s="583"/>
      <c r="BCG24" s="583"/>
      <c r="BCH24" s="583"/>
      <c r="BCI24" s="583"/>
      <c r="BCJ24" s="583"/>
      <c r="BCK24" s="583"/>
      <c r="BCL24" s="583"/>
      <c r="BCM24" s="583"/>
      <c r="BCN24" s="583"/>
      <c r="BCO24" s="583"/>
      <c r="BCP24" s="583"/>
      <c r="BCQ24" s="583"/>
      <c r="BCR24" s="583"/>
      <c r="BCS24" s="583"/>
      <c r="BCT24" s="583"/>
      <c r="BCU24" s="583"/>
      <c r="BCV24" s="583"/>
      <c r="BCW24" s="583"/>
      <c r="BCX24" s="583"/>
      <c r="BCY24" s="583"/>
      <c r="BCZ24" s="583"/>
      <c r="BDA24" s="583"/>
      <c r="BDB24" s="583"/>
      <c r="BDC24" s="583"/>
      <c r="BDD24" s="583"/>
      <c r="BDE24" s="583"/>
      <c r="BDF24" s="583"/>
      <c r="BDG24" s="583"/>
      <c r="BDH24" s="583"/>
      <c r="BDI24" s="583"/>
      <c r="BDJ24" s="583"/>
      <c r="BDK24" s="583"/>
      <c r="BDL24" s="583"/>
      <c r="BDM24" s="583"/>
      <c r="BDN24" s="583"/>
      <c r="BDO24" s="583"/>
      <c r="BDP24" s="583"/>
      <c r="BDQ24" s="583"/>
      <c r="BDR24" s="583"/>
      <c r="BDS24" s="583"/>
      <c r="BDT24" s="583"/>
      <c r="BDU24" s="583"/>
      <c r="BDV24" s="583"/>
      <c r="BDW24" s="583"/>
      <c r="BDX24" s="583"/>
      <c r="BDY24" s="583"/>
      <c r="BDZ24" s="583"/>
      <c r="BEA24" s="583"/>
      <c r="BEB24" s="583"/>
      <c r="BEC24" s="583"/>
      <c r="BED24" s="583"/>
      <c r="BEE24" s="583"/>
      <c r="BEF24" s="583"/>
      <c r="BEG24" s="583"/>
      <c r="BEH24" s="583"/>
      <c r="BEI24" s="583"/>
      <c r="BEJ24" s="583"/>
      <c r="BEK24" s="583"/>
      <c r="BEL24" s="583"/>
      <c r="BEM24" s="583"/>
      <c r="BEN24" s="583"/>
      <c r="BEO24" s="583"/>
      <c r="BEP24" s="583"/>
      <c r="BEQ24" s="583"/>
      <c r="BER24" s="583"/>
      <c r="BES24" s="583"/>
      <c r="BET24" s="583"/>
      <c r="BEU24" s="583"/>
      <c r="BEV24" s="583"/>
      <c r="BEW24" s="583"/>
      <c r="BEX24" s="583"/>
      <c r="BEY24" s="583"/>
      <c r="BEZ24" s="583"/>
      <c r="BFA24" s="583"/>
      <c r="BFB24" s="583"/>
      <c r="BFC24" s="583"/>
      <c r="BFD24" s="583"/>
      <c r="BFE24" s="583"/>
      <c r="BFF24" s="583"/>
      <c r="BFG24" s="583"/>
      <c r="BFH24" s="583"/>
      <c r="BFI24" s="583"/>
      <c r="BFJ24" s="583"/>
      <c r="BFK24" s="583"/>
      <c r="BFL24" s="583"/>
      <c r="BFM24" s="583"/>
      <c r="BFN24" s="583"/>
      <c r="BFO24" s="583"/>
      <c r="BFP24" s="583"/>
      <c r="BFQ24" s="583"/>
      <c r="BFR24" s="583"/>
      <c r="BFS24" s="583"/>
      <c r="BFT24" s="583"/>
      <c r="BFU24" s="583"/>
      <c r="BFV24" s="583"/>
      <c r="BFW24" s="583"/>
      <c r="BFX24" s="583"/>
      <c r="BFY24" s="583"/>
      <c r="BFZ24" s="583"/>
      <c r="BGA24" s="583"/>
      <c r="BGB24" s="583"/>
      <c r="BGC24" s="583"/>
      <c r="BGD24" s="583"/>
      <c r="BGE24" s="583"/>
      <c r="BGF24" s="583"/>
      <c r="BGG24" s="583"/>
      <c r="BGH24" s="583"/>
      <c r="BGI24" s="583"/>
      <c r="BGJ24" s="583"/>
      <c r="BGK24" s="583"/>
      <c r="BGL24" s="583"/>
      <c r="BGM24" s="583"/>
      <c r="BGN24" s="583"/>
      <c r="BGO24" s="583"/>
      <c r="BGP24" s="583"/>
      <c r="BGQ24" s="583"/>
      <c r="BGR24" s="583"/>
      <c r="BGS24" s="583"/>
      <c r="BGT24" s="583"/>
      <c r="BGU24" s="583"/>
      <c r="BGV24" s="583"/>
      <c r="BGW24" s="583"/>
      <c r="BGX24" s="583"/>
      <c r="BGY24" s="583"/>
      <c r="BGZ24" s="583"/>
      <c r="BHA24" s="583"/>
      <c r="BHB24" s="583"/>
      <c r="BHC24" s="583"/>
      <c r="BHD24" s="583"/>
      <c r="BHE24" s="583"/>
      <c r="BHF24" s="583"/>
      <c r="BHG24" s="583"/>
      <c r="BHH24" s="583"/>
      <c r="BHI24" s="583"/>
      <c r="BHJ24" s="583"/>
      <c r="BHK24" s="583"/>
      <c r="BHL24" s="583"/>
      <c r="BHM24" s="583"/>
      <c r="BHN24" s="583"/>
      <c r="BHO24" s="583"/>
      <c r="BHP24" s="583"/>
      <c r="BHQ24" s="583"/>
      <c r="BHR24" s="583"/>
      <c r="BHS24" s="583"/>
      <c r="BHT24" s="583"/>
      <c r="BHU24" s="583"/>
      <c r="BHV24" s="583"/>
      <c r="BHW24" s="583"/>
      <c r="BHX24" s="583"/>
      <c r="BHY24" s="583"/>
      <c r="BHZ24" s="583"/>
      <c r="BIA24" s="583"/>
      <c r="BIB24" s="583"/>
      <c r="BIC24" s="583"/>
      <c r="BID24" s="583"/>
      <c r="BIE24" s="583"/>
      <c r="BIF24" s="583"/>
      <c r="BIG24" s="583"/>
      <c r="BIH24" s="583"/>
      <c r="BII24" s="583"/>
      <c r="BIJ24" s="583"/>
      <c r="BIK24" s="583"/>
      <c r="BIL24" s="583"/>
      <c r="BIM24" s="583"/>
      <c r="BIN24" s="583"/>
      <c r="BIO24" s="583"/>
      <c r="BIP24" s="583"/>
      <c r="BIQ24" s="583"/>
      <c r="BIR24" s="583"/>
      <c r="BIS24" s="583"/>
      <c r="BIT24" s="583"/>
      <c r="BIU24" s="583"/>
      <c r="BIV24" s="583"/>
      <c r="BIW24" s="583"/>
      <c r="BIX24" s="583"/>
      <c r="BIY24" s="583"/>
      <c r="BIZ24" s="583"/>
      <c r="BJA24" s="583"/>
      <c r="BJB24" s="583"/>
      <c r="BJC24" s="583"/>
      <c r="BJD24" s="583"/>
      <c r="BJE24" s="583"/>
      <c r="BJF24" s="583"/>
      <c r="BJG24" s="583"/>
      <c r="BJH24" s="583"/>
      <c r="BJI24" s="583"/>
      <c r="BJJ24" s="583"/>
      <c r="BJK24" s="583"/>
      <c r="BJL24" s="583"/>
      <c r="BJM24" s="583"/>
      <c r="BJN24" s="583"/>
      <c r="BJO24" s="583"/>
      <c r="BJP24" s="583"/>
      <c r="BJQ24" s="583"/>
      <c r="BJR24" s="583"/>
      <c r="BJS24" s="583"/>
      <c r="BJT24" s="583"/>
      <c r="BJU24" s="583"/>
      <c r="BJV24" s="583"/>
      <c r="BJW24" s="583"/>
      <c r="BJX24" s="583"/>
      <c r="BJY24" s="583"/>
      <c r="BJZ24" s="583"/>
      <c r="BKA24" s="583"/>
      <c r="BKB24" s="583"/>
      <c r="BKC24" s="583"/>
      <c r="BKD24" s="583"/>
      <c r="BKE24" s="583"/>
      <c r="BKF24" s="583"/>
      <c r="BKG24" s="583"/>
      <c r="BKH24" s="583"/>
      <c r="BKI24" s="583"/>
      <c r="BKJ24" s="583"/>
      <c r="BKK24" s="583"/>
      <c r="BKL24" s="583"/>
      <c r="BKM24" s="583"/>
      <c r="BKN24" s="583"/>
      <c r="BKO24" s="583"/>
      <c r="BKP24" s="583"/>
      <c r="BKQ24" s="583"/>
      <c r="BKR24" s="583"/>
      <c r="BKS24" s="583"/>
      <c r="BKT24" s="583"/>
      <c r="BKU24" s="583"/>
      <c r="BKV24" s="583"/>
      <c r="BKW24" s="583"/>
      <c r="BKX24" s="583"/>
      <c r="BKY24" s="583"/>
      <c r="BKZ24" s="583"/>
      <c r="BLA24" s="583"/>
      <c r="BLB24" s="583"/>
      <c r="BLC24" s="583"/>
      <c r="BLD24" s="583"/>
      <c r="BLE24" s="583"/>
      <c r="BLF24" s="583"/>
      <c r="BLG24" s="583"/>
      <c r="BLH24" s="583"/>
      <c r="BLI24" s="583"/>
      <c r="BLJ24" s="583"/>
      <c r="BLK24" s="583"/>
      <c r="BLL24" s="583"/>
      <c r="BLM24" s="583"/>
      <c r="BLN24" s="583"/>
      <c r="BLO24" s="583"/>
      <c r="BLP24" s="583"/>
      <c r="BLQ24" s="583"/>
      <c r="BLR24" s="583"/>
      <c r="BLS24" s="583"/>
      <c r="BLT24" s="583"/>
      <c r="BLU24" s="583"/>
      <c r="BLV24" s="583"/>
      <c r="BLW24" s="583"/>
      <c r="BLX24" s="583"/>
      <c r="BLY24" s="583"/>
      <c r="BLZ24" s="583"/>
      <c r="BMA24" s="583"/>
      <c r="BMB24" s="583"/>
      <c r="BMC24" s="583"/>
      <c r="BMD24" s="583"/>
      <c r="BME24" s="583"/>
      <c r="BMF24" s="583"/>
      <c r="BMG24" s="583"/>
      <c r="BMH24" s="583"/>
      <c r="BMI24" s="583"/>
      <c r="BMJ24" s="583"/>
      <c r="BMK24" s="583"/>
      <c r="BML24" s="583"/>
      <c r="BMM24" s="583"/>
      <c r="BMN24" s="583"/>
      <c r="BMO24" s="583"/>
      <c r="BMP24" s="583"/>
      <c r="BMQ24" s="583"/>
      <c r="BMR24" s="583"/>
      <c r="BMS24" s="583"/>
      <c r="BMT24" s="583"/>
      <c r="BMU24" s="583"/>
      <c r="BMV24" s="583"/>
      <c r="BMW24" s="583"/>
      <c r="BMX24" s="583"/>
      <c r="BMY24" s="583"/>
      <c r="BMZ24" s="583"/>
      <c r="BNA24" s="583"/>
      <c r="BNB24" s="583"/>
      <c r="BNC24" s="583"/>
      <c r="BND24" s="583"/>
      <c r="BNE24" s="583"/>
      <c r="BNF24" s="583"/>
      <c r="BNG24" s="583"/>
      <c r="BNH24" s="583"/>
      <c r="BNI24" s="583"/>
      <c r="BNJ24" s="583"/>
      <c r="BNK24" s="583"/>
      <c r="BNL24" s="583"/>
      <c r="BNM24" s="583"/>
      <c r="BNN24" s="583"/>
      <c r="BNO24" s="583"/>
      <c r="BNP24" s="583"/>
      <c r="BNQ24" s="583"/>
      <c r="BNR24" s="583"/>
      <c r="BNS24" s="583"/>
      <c r="BNT24" s="583"/>
      <c r="BNU24" s="583"/>
      <c r="BNV24" s="583"/>
      <c r="BNW24" s="583"/>
      <c r="BNX24" s="583"/>
      <c r="BNY24" s="583"/>
      <c r="BNZ24" s="583"/>
      <c r="BOA24" s="583"/>
      <c r="BOB24" s="583"/>
      <c r="BOC24" s="583"/>
      <c r="BOD24" s="583"/>
      <c r="BOE24" s="583"/>
      <c r="BOF24" s="583"/>
      <c r="BOG24" s="583"/>
      <c r="BOH24" s="583"/>
      <c r="BOI24" s="583"/>
      <c r="BOJ24" s="583"/>
      <c r="BOK24" s="583"/>
      <c r="BOL24" s="583"/>
      <c r="BOM24" s="583"/>
      <c r="BON24" s="583"/>
      <c r="BOO24" s="583"/>
      <c r="BOP24" s="583"/>
      <c r="BOQ24" s="583"/>
      <c r="BOR24" s="583"/>
      <c r="BOS24" s="583"/>
      <c r="BOT24" s="583"/>
      <c r="BOU24" s="583"/>
      <c r="BOV24" s="583"/>
      <c r="BOW24" s="583"/>
      <c r="BOX24" s="583"/>
      <c r="BOY24" s="583"/>
      <c r="BOZ24" s="583"/>
      <c r="BPA24" s="583"/>
      <c r="BPB24" s="583"/>
      <c r="BPC24" s="583"/>
      <c r="BPD24" s="583"/>
      <c r="BPE24" s="583"/>
      <c r="BPF24" s="583"/>
      <c r="BPG24" s="583"/>
      <c r="BPH24" s="583"/>
      <c r="BPI24" s="583"/>
      <c r="BPJ24" s="583"/>
      <c r="BPK24" s="583"/>
      <c r="BPL24" s="583"/>
      <c r="BPM24" s="583"/>
      <c r="BPN24" s="583"/>
      <c r="BPO24" s="583"/>
      <c r="BPP24" s="583"/>
      <c r="BPQ24" s="583"/>
      <c r="BPR24" s="583"/>
      <c r="BPS24" s="583"/>
      <c r="BPT24" s="583"/>
      <c r="BPU24" s="583"/>
      <c r="BPV24" s="583"/>
      <c r="BPW24" s="583"/>
      <c r="BPX24" s="583"/>
      <c r="BPY24" s="583"/>
      <c r="BPZ24" s="583"/>
      <c r="BQA24" s="583"/>
      <c r="BQB24" s="583"/>
      <c r="BQC24" s="583"/>
      <c r="BQD24" s="583"/>
      <c r="BQE24" s="583"/>
      <c r="BQF24" s="583"/>
      <c r="BQG24" s="583"/>
      <c r="BQH24" s="583"/>
      <c r="BQI24" s="583"/>
      <c r="BQJ24" s="583"/>
      <c r="BQK24" s="583"/>
      <c r="BQL24" s="583"/>
      <c r="BQM24" s="583"/>
      <c r="BQN24" s="583"/>
      <c r="BQO24" s="583"/>
      <c r="BQP24" s="583"/>
      <c r="BQQ24" s="583"/>
      <c r="BQR24" s="583"/>
      <c r="BQS24" s="583"/>
      <c r="BQT24" s="583"/>
      <c r="BQU24" s="583"/>
      <c r="BQV24" s="583"/>
      <c r="BQW24" s="583"/>
      <c r="BQX24" s="583"/>
      <c r="BQY24" s="583"/>
      <c r="BQZ24" s="583"/>
      <c r="BRA24" s="583"/>
      <c r="BRB24" s="583"/>
      <c r="BRC24" s="583"/>
      <c r="BRD24" s="583"/>
      <c r="BRE24" s="583"/>
      <c r="BRF24" s="583"/>
      <c r="BRG24" s="583"/>
      <c r="BRH24" s="583"/>
      <c r="BRI24" s="583"/>
      <c r="BRJ24" s="583"/>
      <c r="BRK24" s="583"/>
      <c r="BRL24" s="583"/>
      <c r="BRM24" s="583"/>
      <c r="BRN24" s="583"/>
      <c r="BRO24" s="583"/>
      <c r="BRP24" s="583"/>
      <c r="BRQ24" s="583"/>
      <c r="BRR24" s="583"/>
      <c r="BRS24" s="583"/>
      <c r="BRT24" s="583"/>
      <c r="BRU24" s="583"/>
      <c r="BRV24" s="583"/>
      <c r="BRW24" s="583"/>
      <c r="BRX24" s="583"/>
      <c r="BRY24" s="583"/>
      <c r="BRZ24" s="583"/>
      <c r="BSA24" s="583"/>
      <c r="BSB24" s="583"/>
      <c r="BSC24" s="583"/>
      <c r="BSD24" s="583"/>
      <c r="BSE24" s="583"/>
      <c r="BSF24" s="583"/>
      <c r="BSG24" s="583"/>
      <c r="BSH24" s="583"/>
      <c r="BSI24" s="583"/>
      <c r="BSJ24" s="583"/>
      <c r="BSK24" s="583"/>
      <c r="BSL24" s="583"/>
      <c r="BSM24" s="583"/>
      <c r="BSN24" s="583"/>
      <c r="BSO24" s="583"/>
      <c r="BSP24" s="583"/>
      <c r="BSQ24" s="583"/>
      <c r="BSR24" s="583"/>
      <c r="BSS24" s="583"/>
      <c r="BST24" s="583"/>
      <c r="BSU24" s="583"/>
      <c r="BSV24" s="583"/>
      <c r="BSW24" s="583"/>
      <c r="BSX24" s="583"/>
      <c r="BSY24" s="583"/>
      <c r="BSZ24" s="583"/>
      <c r="BTA24" s="583"/>
      <c r="BTB24" s="583"/>
      <c r="BTC24" s="583"/>
      <c r="BTD24" s="583"/>
      <c r="BTE24" s="583"/>
      <c r="BTF24" s="583"/>
      <c r="BTG24" s="583"/>
      <c r="BTH24" s="583"/>
      <c r="BTI24" s="583"/>
      <c r="BTJ24" s="583"/>
      <c r="BTK24" s="583"/>
      <c r="BTL24" s="583"/>
      <c r="BTM24" s="583"/>
      <c r="BTN24" s="583"/>
      <c r="BTO24" s="583"/>
      <c r="BTP24" s="583"/>
      <c r="BTQ24" s="583"/>
      <c r="BTR24" s="583"/>
      <c r="BTS24" s="583"/>
      <c r="BTT24" s="583"/>
      <c r="BTU24" s="583"/>
      <c r="BTV24" s="583"/>
      <c r="BTW24" s="583"/>
      <c r="BTX24" s="583"/>
      <c r="BTY24" s="583"/>
      <c r="BTZ24" s="583"/>
      <c r="BUA24" s="583"/>
      <c r="BUB24" s="583"/>
      <c r="BUC24" s="583"/>
      <c r="BUD24" s="583"/>
      <c r="BUE24" s="583"/>
      <c r="BUF24" s="583"/>
      <c r="BUG24" s="583"/>
      <c r="BUH24" s="583"/>
      <c r="BUI24" s="583"/>
      <c r="BUJ24" s="583"/>
      <c r="BUK24" s="583"/>
      <c r="BUL24" s="583"/>
      <c r="BUM24" s="583"/>
      <c r="BUN24" s="583"/>
      <c r="BUO24" s="583"/>
      <c r="BUP24" s="583"/>
      <c r="BUQ24" s="583"/>
      <c r="BUR24" s="583"/>
      <c r="BUS24" s="583"/>
      <c r="BUT24" s="583"/>
      <c r="BUU24" s="583"/>
      <c r="BUV24" s="583"/>
      <c r="BUW24" s="583"/>
      <c r="BUX24" s="583"/>
      <c r="BUY24" s="583"/>
      <c r="BUZ24" s="583"/>
      <c r="BVA24" s="583"/>
      <c r="BVB24" s="583"/>
      <c r="BVC24" s="583"/>
      <c r="BVD24" s="583"/>
      <c r="BVE24" s="583"/>
      <c r="BVF24" s="583"/>
      <c r="BVG24" s="583"/>
      <c r="BVH24" s="583"/>
      <c r="BVI24" s="583"/>
      <c r="BVJ24" s="583"/>
      <c r="BVK24" s="583"/>
      <c r="BVL24" s="583"/>
      <c r="BVM24" s="583"/>
      <c r="BVN24" s="583"/>
      <c r="BVO24" s="583"/>
      <c r="BVP24" s="583"/>
      <c r="BVQ24" s="583"/>
      <c r="BVR24" s="583"/>
      <c r="BVS24" s="583"/>
      <c r="BVT24" s="583"/>
      <c r="BVU24" s="583"/>
      <c r="BVV24" s="583"/>
      <c r="BVW24" s="583"/>
      <c r="BVX24" s="583"/>
      <c r="BVY24" s="583"/>
      <c r="BVZ24" s="583"/>
      <c r="BWA24" s="583"/>
      <c r="BWB24" s="583"/>
      <c r="BWC24" s="583"/>
      <c r="BWD24" s="583"/>
      <c r="BWE24" s="583"/>
      <c r="BWF24" s="583"/>
      <c r="BWG24" s="583"/>
      <c r="BWH24" s="583"/>
      <c r="BWI24" s="583"/>
      <c r="BWJ24" s="583"/>
      <c r="BWK24" s="583"/>
      <c r="BWL24" s="583"/>
      <c r="BWM24" s="583"/>
      <c r="BWN24" s="583"/>
      <c r="BWO24" s="583"/>
      <c r="BWP24" s="583"/>
      <c r="BWQ24" s="583"/>
      <c r="BWR24" s="583"/>
      <c r="BWS24" s="583"/>
      <c r="BWT24" s="583"/>
      <c r="BWU24" s="583"/>
      <c r="BWV24" s="583"/>
      <c r="BWW24" s="583"/>
      <c r="BWX24" s="583"/>
      <c r="BWY24" s="583"/>
      <c r="BWZ24" s="583"/>
      <c r="BXA24" s="583"/>
      <c r="BXB24" s="583"/>
      <c r="BXC24" s="583"/>
      <c r="BXD24" s="583"/>
      <c r="BXE24" s="583"/>
      <c r="BXF24" s="583"/>
      <c r="BXG24" s="583"/>
      <c r="BXH24" s="583"/>
      <c r="BXI24" s="583"/>
      <c r="BXJ24" s="583"/>
      <c r="BXK24" s="583"/>
      <c r="BXL24" s="583"/>
      <c r="BXM24" s="583"/>
      <c r="BXN24" s="583"/>
      <c r="BXO24" s="583"/>
      <c r="BXP24" s="583"/>
      <c r="BXQ24" s="583"/>
      <c r="BXR24" s="583"/>
      <c r="BXS24" s="583"/>
      <c r="BXT24" s="583"/>
      <c r="BXU24" s="583"/>
      <c r="BXV24" s="583"/>
      <c r="BXW24" s="583"/>
      <c r="BXX24" s="583"/>
      <c r="BXY24" s="583"/>
      <c r="BXZ24" s="583"/>
      <c r="BYA24" s="583"/>
      <c r="BYB24" s="583"/>
      <c r="BYC24" s="583"/>
      <c r="BYD24" s="583"/>
      <c r="BYE24" s="583"/>
      <c r="BYF24" s="583"/>
      <c r="BYG24" s="583"/>
      <c r="BYH24" s="583"/>
      <c r="BYI24" s="583"/>
      <c r="BYJ24" s="583"/>
      <c r="BYK24" s="583"/>
      <c r="BYL24" s="583"/>
      <c r="BYM24" s="583"/>
      <c r="BYN24" s="583"/>
      <c r="BYO24" s="583"/>
      <c r="BYP24" s="583"/>
      <c r="BYQ24" s="583"/>
      <c r="BYR24" s="583"/>
      <c r="BYS24" s="583"/>
      <c r="BYT24" s="583"/>
      <c r="BYU24" s="583"/>
      <c r="BYV24" s="583"/>
      <c r="BYW24" s="583"/>
      <c r="BYX24" s="583"/>
      <c r="BYY24" s="583"/>
      <c r="BYZ24" s="583"/>
      <c r="BZA24" s="583"/>
      <c r="BZB24" s="583"/>
      <c r="BZC24" s="583"/>
      <c r="BZD24" s="583"/>
      <c r="BZE24" s="583"/>
      <c r="BZF24" s="583"/>
      <c r="BZG24" s="583"/>
      <c r="BZH24" s="583"/>
      <c r="BZI24" s="583"/>
      <c r="BZJ24" s="583"/>
      <c r="BZK24" s="583"/>
      <c r="BZL24" s="583"/>
      <c r="BZM24" s="583"/>
      <c r="BZN24" s="583"/>
      <c r="BZO24" s="583"/>
      <c r="BZP24" s="583"/>
      <c r="BZQ24" s="583"/>
      <c r="BZR24" s="583"/>
      <c r="BZS24" s="583"/>
      <c r="BZT24" s="583"/>
      <c r="BZU24" s="583"/>
      <c r="BZV24" s="583"/>
      <c r="BZW24" s="583"/>
      <c r="BZX24" s="583"/>
      <c r="BZY24" s="583"/>
      <c r="BZZ24" s="583"/>
      <c r="CAA24" s="583"/>
      <c r="CAB24" s="583"/>
      <c r="CAC24" s="583"/>
      <c r="CAD24" s="583"/>
      <c r="CAE24" s="583"/>
      <c r="CAF24" s="583"/>
      <c r="CAG24" s="583"/>
      <c r="CAH24" s="583"/>
      <c r="CAI24" s="583"/>
      <c r="CAJ24" s="583"/>
      <c r="CAK24" s="583"/>
      <c r="CAL24" s="583"/>
      <c r="CAM24" s="583"/>
      <c r="CAN24" s="583"/>
      <c r="CAO24" s="583"/>
      <c r="CAP24" s="583"/>
      <c r="CAQ24" s="583"/>
      <c r="CAR24" s="583"/>
      <c r="CAS24" s="583"/>
      <c r="CAT24" s="583"/>
      <c r="CAU24" s="583"/>
      <c r="CAV24" s="583"/>
      <c r="CAW24" s="583"/>
      <c r="CAX24" s="583"/>
      <c r="CAY24" s="583"/>
      <c r="CAZ24" s="583"/>
      <c r="CBA24" s="583"/>
      <c r="CBB24" s="583"/>
      <c r="CBC24" s="583"/>
      <c r="CBD24" s="583"/>
      <c r="CBE24" s="583"/>
      <c r="CBF24" s="583"/>
      <c r="CBG24" s="583"/>
      <c r="CBH24" s="583"/>
      <c r="CBI24" s="583"/>
      <c r="CBJ24" s="583"/>
      <c r="CBK24" s="583"/>
      <c r="CBL24" s="583"/>
      <c r="CBM24" s="583"/>
      <c r="CBN24" s="583"/>
      <c r="CBO24" s="583"/>
      <c r="CBP24" s="583"/>
      <c r="CBQ24" s="583"/>
      <c r="CBR24" s="583"/>
      <c r="CBS24" s="583"/>
      <c r="CBT24" s="583"/>
      <c r="CBU24" s="583"/>
      <c r="CBV24" s="583"/>
      <c r="CBW24" s="583"/>
      <c r="CBX24" s="583"/>
      <c r="CBY24" s="583"/>
      <c r="CBZ24" s="583"/>
    </row>
    <row r="25" spans="1:2106" ht="15.75" customHeight="1">
      <c r="A25" s="611"/>
      <c r="B25" s="617"/>
      <c r="C25" s="613">
        <f t="shared" si="0"/>
        <v>0</v>
      </c>
      <c r="D25" s="613">
        <f>IF(B25&gt;0,VLOOKUP(A25,'Lista Suspensa'!$A$1:$F$92,3,),0)</f>
        <v>0</v>
      </c>
      <c r="E25" s="613">
        <f>IF(OR(B25&gt;0,C25&gt;0),VLOOKUP(A25,'Lista Suspensa'!$A$1:$F$90,4,),0)</f>
        <v>0</v>
      </c>
      <c r="F25" s="613">
        <f>IF(OR(B25&gt;0,C25&gt;0),VLOOKUP(A25,'Lista Suspensa'!$A$1:$F$90,5,),0)</f>
        <v>0</v>
      </c>
      <c r="G25" s="402">
        <f>IF(OR(B25&gt;0,C25&gt;0),VLOOKUP(A25,'Lista Suspensa'!$A$1:$F$90,6,),0)</f>
        <v>0</v>
      </c>
      <c r="H25" s="617"/>
      <c r="I25" s="613">
        <f t="shared" si="12"/>
        <v>0</v>
      </c>
      <c r="J25" s="613">
        <f>IF(H25&gt;0,VLOOKUP(A25,'Lista Suspensa'!$A$1:$F$92,3,),0)</f>
        <v>0</v>
      </c>
      <c r="K25" s="613">
        <f>IF(OR(H25&gt;0,I25&gt;0),VLOOKUP(A25,'Lista Suspensa'!$A$1:$F$90,4,),0)</f>
        <v>0</v>
      </c>
      <c r="L25" s="613">
        <f>IF(OR(H25&gt;0,I25&gt;0),VLOOKUP(A25,'Lista Suspensa'!$A$1:$F$90,5,),0)</f>
        <v>0</v>
      </c>
      <c r="M25" s="402">
        <f>IF(OR(H25&gt;0,I25&gt;0),VLOOKUP(A25,'Lista Suspensa'!$A$1:$F$90,6,),0)</f>
        <v>0</v>
      </c>
      <c r="N25" s="624"/>
      <c r="O25" s="613">
        <f t="shared" si="1"/>
        <v>0</v>
      </c>
      <c r="P25" s="613">
        <f>IF(N25&gt;0,VLOOKUP(A25,'Lista Suspensa'!$A$1:$F$92,3,),0)</f>
        <v>0</v>
      </c>
      <c r="Q25" s="613">
        <f>IF(OR(N25&gt;0,O25&gt;0),VLOOKUP(A25,'Lista Suspensa'!$A$1:$F$90,4,),0)</f>
        <v>0</v>
      </c>
      <c r="R25" s="613">
        <f>IF(OR(N25&gt;0,O25&gt;0),VLOOKUP(A25,'Lista Suspensa'!$A$1:$F$90,5,),0)</f>
        <v>0</v>
      </c>
      <c r="S25" s="402">
        <f>IF(OR(N25&gt;0,O25&gt;0),VLOOKUP(A25,'Lista Suspensa'!$A$1:$F$90,6,),0)</f>
        <v>0</v>
      </c>
      <c r="T25" s="624"/>
      <c r="U25" s="613">
        <f t="shared" si="2"/>
        <v>0</v>
      </c>
      <c r="V25" s="613">
        <f>IF(T25&gt;0,VLOOKUP(A25,'Lista Suspensa'!$A$1:$F$92,3,),0)</f>
        <v>0</v>
      </c>
      <c r="W25" s="613">
        <f>IF(OR(T25&gt;0,U25&gt;0),VLOOKUP(A25,'Lista Suspensa'!$A$1:$F$90,4,),0)</f>
        <v>0</v>
      </c>
      <c r="X25" s="613">
        <f>IF(OR(T25&gt;0,U25&gt;0),VLOOKUP(A25,'Lista Suspensa'!$A$1:$F$90,5,),0)</f>
        <v>0</v>
      </c>
      <c r="Y25" s="402">
        <f>IF(OR(T25&gt;0,U25&gt;0),VLOOKUP(A25,'Lista Suspensa'!$A$1:$F$90,6,),0)</f>
        <v>0</v>
      </c>
      <c r="Z25" s="617"/>
      <c r="AA25" s="613">
        <f t="shared" si="3"/>
        <v>0</v>
      </c>
      <c r="AB25" s="613">
        <f>IF(Z25&gt;0,VLOOKUP(A25,'Lista Suspensa'!$A$1:$F$92,3,),0)</f>
        <v>0</v>
      </c>
      <c r="AC25" s="613">
        <f>IF(OR(Z25&gt;0,AA25&gt;0),VLOOKUP(A25,'Lista Suspensa'!$A$1:$F$90,4,),0)</f>
        <v>0</v>
      </c>
      <c r="AD25" s="613">
        <f>IF(OR(Z25&gt;0,AA25&gt;0),VLOOKUP(A25,'Lista Suspensa'!$A$1:$F$90,5,),0)</f>
        <v>0</v>
      </c>
      <c r="AE25" s="402">
        <f>IF(OR(Z25&gt;0,AA25&gt;0),VLOOKUP(A25,'Lista Suspensa'!$A$1:$F$90,6,),0)</f>
        <v>0</v>
      </c>
      <c r="AF25" s="617"/>
      <c r="AG25" s="613">
        <f t="shared" si="13"/>
        <v>0</v>
      </c>
      <c r="AH25" s="613">
        <f>IF(AF25&gt;0,VLOOKUP(A25,'Lista Suspensa'!$A$1:$F$92,3,),0)</f>
        <v>0</v>
      </c>
      <c r="AI25" s="613">
        <f>IF(OR(AF25&gt;0,AG25&gt;0),VLOOKUP(A25,'Lista Suspensa'!$A$1:$F$90,4,),0)</f>
        <v>0</v>
      </c>
      <c r="AJ25" s="613">
        <f>IF(OR(AF25&gt;0,AG25&gt;0),VLOOKUP(A25,'Lista Suspensa'!$A$1:$F$90,5,),0)</f>
        <v>0</v>
      </c>
      <c r="AK25" s="402">
        <f>IF(OR(AF25&gt;0,AG25&gt;0),VLOOKUP(A25,'Lista Suspensa'!$A$1:$F$90,6,),0)</f>
        <v>0</v>
      </c>
      <c r="AL25" s="624"/>
      <c r="AM25" s="613">
        <f t="shared" si="4"/>
        <v>0</v>
      </c>
      <c r="AN25" s="613">
        <f>IF(AL25&gt;0,VLOOKUP(A25,'Lista Suspensa'!$A$1:$F$92,3,),0)</f>
        <v>0</v>
      </c>
      <c r="AO25" s="613">
        <f>IF(OR(AL25&gt;0,AM25&gt;0),VLOOKUP(A25,'Lista Suspensa'!$A$1:$F$90,4,),0)</f>
        <v>0</v>
      </c>
      <c r="AP25" s="613">
        <f>IF(OR(AL25&gt;0,AM25&gt;0),VLOOKUP(A25,'Lista Suspensa'!$A$1:$F$90,5,),0)</f>
        <v>0</v>
      </c>
      <c r="AQ25" s="402">
        <f>IF(OR(AL25&gt;0,AM25&gt;0),VLOOKUP(A25,'Lista Suspensa'!$A$1:$F$90,6,),0)</f>
        <v>0</v>
      </c>
      <c r="AR25" s="624"/>
      <c r="AS25" s="613">
        <f t="shared" si="14"/>
        <v>0</v>
      </c>
      <c r="AT25" s="613">
        <f>IF(AR25&gt;0,VLOOKUP(A25,'Lista Suspensa'!$A$1:$F$92,3,),0)</f>
        <v>0</v>
      </c>
      <c r="AU25" s="613">
        <f>IF(OR(AR25&gt;0,AS25&gt;0),VLOOKUP(A25,'Lista Suspensa'!$A$1:$F$90,4,),0)</f>
        <v>0</v>
      </c>
      <c r="AV25" s="613">
        <f>IF(OR(AR25&gt;0,AS25&gt;0),VLOOKUP(A25,'Lista Suspensa'!$A$1:$F$90,5,),0)</f>
        <v>0</v>
      </c>
      <c r="AW25" s="37">
        <f>IF(OR(AR25&gt;0,AS25&gt;0),VLOOKUP(A25,'Lista Suspensa'!$A$1:$F$90,6,),0)</f>
        <v>0</v>
      </c>
      <c r="AX25" s="624"/>
      <c r="AY25" s="613">
        <f t="shared" si="5"/>
        <v>0</v>
      </c>
      <c r="AZ25" s="613">
        <f>IF(AX25&gt;0,VLOOKUP(A25,'Lista Suspensa'!$A$1:$F$92,3,),0)</f>
        <v>0</v>
      </c>
      <c r="BA25" s="613">
        <f>IF(OR(AX25&gt;0,AY25&gt;0),VLOOKUP(A25,'Lista Suspensa'!$A$1:$F$90,4,),0)</f>
        <v>0</v>
      </c>
      <c r="BB25" s="613">
        <f>IF(OR(AX25&gt;0,AY25&gt;0),VLOOKUP(A25,'Lista Suspensa'!$A$1:$F$90,5,),0)</f>
        <v>0</v>
      </c>
      <c r="BC25" s="37">
        <f>IF(OR(AX25&gt;0,AY25&gt;0),VLOOKUP(A25,'Lista Suspensa'!$A$1:$F$90,6,),0)</f>
        <v>0</v>
      </c>
      <c r="BD25" s="624"/>
      <c r="BE25" s="613">
        <f t="shared" si="6"/>
        <v>0</v>
      </c>
      <c r="BF25" s="613">
        <f>IF(BD25&gt;0,VLOOKUP(A25,'Lista Suspensa'!$A$1:$F$92,3,),0)</f>
        <v>0</v>
      </c>
      <c r="BG25" s="613">
        <f>IF(OR(BD25&gt;0,BE25&gt;0),VLOOKUP(A25,'Lista Suspensa'!$A$1:$F$90,4,),0)</f>
        <v>0</v>
      </c>
      <c r="BH25" s="613">
        <f>IF(OR(BD25&gt;0,BE25&gt;0),VLOOKUP(A25,'Lista Suspensa'!$A$1:$F$90,5,),0)</f>
        <v>0</v>
      </c>
      <c r="BI25" s="37">
        <f>IF(OR(BD25&gt;0,BE25&gt;0),VLOOKUP(A25,'Lista Suspensa'!$A$1:$F$90,6,),0)</f>
        <v>0</v>
      </c>
      <c r="BJ25" s="624"/>
      <c r="BK25" s="613">
        <f t="shared" si="7"/>
        <v>0</v>
      </c>
      <c r="BL25" s="613">
        <f>IF(BJ25&gt;0,VLOOKUP(A25,'Lista Suspensa'!$A$1:$F$92,3,),0)</f>
        <v>0</v>
      </c>
      <c r="BM25" s="613">
        <f>IF(OR(BJ25&gt;0,BK25&gt;0),VLOOKUP(A25,'Lista Suspensa'!$A$1:$F$90,4,),0)</f>
        <v>0</v>
      </c>
      <c r="BN25" s="613">
        <f>IF(OR(BJ25&gt;0,BK25&gt;0),VLOOKUP(A25,'Lista Suspensa'!$A$1:$F$90,5,),0)</f>
        <v>0</v>
      </c>
      <c r="BO25" s="37">
        <f>IF(OR(BJ25&gt;0,BK25&gt;0),VLOOKUP(A25,'Lista Suspensa'!$A$1:$F$90,6,),0)</f>
        <v>0</v>
      </c>
      <c r="BP25" s="624"/>
      <c r="BQ25" s="613">
        <f t="shared" si="8"/>
        <v>0</v>
      </c>
      <c r="BR25" s="613">
        <f>IF(BP25&gt;0,VLOOKUP(A25,'Lista Suspensa'!$A$1:$F$92,3,),0)</f>
        <v>0</v>
      </c>
      <c r="BS25" s="613">
        <f>IF(OR(BP25&gt;0,BQ25&gt;0),VLOOKUP(A25,'Lista Suspensa'!$A$1:$F$90,4,),0)</f>
        <v>0</v>
      </c>
      <c r="BT25" s="613">
        <f>IF(OR(BP25&gt;0,BQ25&gt;0),VLOOKUP(A25,'Lista Suspensa'!$A$1:$F$90,5,),0)</f>
        <v>0</v>
      </c>
      <c r="BU25" s="37">
        <f>IF(OR(BP25&gt;0,BQ25&gt;0),VLOOKUP(A25,'Lista Suspensa'!$A$1:$F$90,6,),0)</f>
        <v>0</v>
      </c>
      <c r="BV25" s="624"/>
      <c r="BW25" s="613">
        <f t="shared" si="9"/>
        <v>0</v>
      </c>
      <c r="BX25" s="613">
        <f>IF(BV25&gt;0,VLOOKUP(A25,'Lista Suspensa'!$A$1:$F$92,3,),0)</f>
        <v>0</v>
      </c>
      <c r="BY25" s="613">
        <f>IF(OR(BV25&gt;0,BW25&gt;0),VLOOKUP(A25,'Lista Suspensa'!$A$1:$F$90,4,),0)</f>
        <v>0</v>
      </c>
      <c r="BZ25" s="613">
        <f>IF(OR(BV25&gt;0,BW25&gt;0),VLOOKUP(A25,'Lista Suspensa'!$A$1:$F$90,5,),0)</f>
        <v>0</v>
      </c>
      <c r="CA25" s="37">
        <f>IF(OR(BV25&gt;0,BW25&gt;0),VLOOKUP(A25,'Lista Suspensa'!$A$1:$F$90,6,),0)</f>
        <v>0</v>
      </c>
      <c r="CB25" s="624"/>
      <c r="CC25" s="613">
        <f t="shared" si="10"/>
        <v>0</v>
      </c>
      <c r="CD25" s="613">
        <f>IF(CB25&gt;0,VLOOKUP(A25,'Lista Suspensa'!$A$1:$F$92,3,),0)</f>
        <v>0</v>
      </c>
      <c r="CE25" s="613">
        <f>IF(OR(CB25&gt;0,CC25&gt;0),VLOOKUP(A25,'Lista Suspensa'!$A$1:$F$90,4,),0)</f>
        <v>0</v>
      </c>
      <c r="CF25" s="613">
        <f>IF(OR(CB25&gt;0,CC25&gt;0),VLOOKUP(A25,'Lista Suspensa'!$A$1:$F$90,5,),0)</f>
        <v>0</v>
      </c>
      <c r="CG25" s="37">
        <f>IF(OR(CB25&gt;0,CC25&gt;0),VLOOKUP(A25,'Lista Suspensa'!$A$1:$F$90,6,),0)</f>
        <v>0</v>
      </c>
      <c r="CH25" s="624"/>
      <c r="CI25" s="613">
        <f t="shared" si="11"/>
        <v>0</v>
      </c>
      <c r="CJ25" s="613">
        <f>IF(CH25&gt;0,VLOOKUP(A25,'Lista Suspensa'!$A$1:$F$92,3,),0)</f>
        <v>0</v>
      </c>
      <c r="CK25" s="613">
        <f>IF(OR(CH25&gt;0,CI25&gt;0),VLOOKUP(A25,'Lista Suspensa'!$A$1:$F$90,4,),0)</f>
        <v>0</v>
      </c>
      <c r="CL25" s="613">
        <f>IF(OR(CH25&gt;0,CI25&gt;0),VLOOKUP(A25,'Lista Suspensa'!$A$1:$F$90,5,),0)</f>
        <v>0</v>
      </c>
      <c r="CM25" s="636">
        <f>IF(OR(CH25&gt;0,CI25&gt;0),VLOOKUP(A25,'Lista Suspensa'!$A$1:$F$90,6,),0)</f>
        <v>0</v>
      </c>
      <c r="CN25" s="645"/>
      <c r="CO25" s="403">
        <f t="shared" si="15"/>
        <v>0</v>
      </c>
      <c r="CP25" s="756">
        <f>IF(CN25&gt;0,VLOOKUP(A25,'Lista Suspensa'!$A$1:$F$92,3,),0)</f>
        <v>0</v>
      </c>
      <c r="CQ25" s="641">
        <f>IF(OR(CN25&gt;0,CO25&gt;0),VLOOKUP(A25,'Lista Suspensa'!$A$1:$F$90,6,),0)</f>
        <v>0</v>
      </c>
      <c r="CR25" s="628"/>
      <c r="CS25" s="628"/>
      <c r="CT25" s="628"/>
      <c r="CU25" s="628"/>
      <c r="CV25" s="628"/>
      <c r="CW25" s="628"/>
      <c r="CX25" s="628"/>
      <c r="CY25" s="628"/>
      <c r="CZ25" s="628"/>
      <c r="DA25" s="628"/>
      <c r="DB25" s="628"/>
      <c r="DC25" s="628"/>
      <c r="DD25" s="628"/>
      <c r="DE25" s="628"/>
      <c r="DF25" s="628"/>
      <c r="DG25" s="628"/>
      <c r="DH25" s="628"/>
    </row>
    <row r="26" spans="1:2106" s="588" customFormat="1" ht="15.75" customHeight="1">
      <c r="A26" s="614"/>
      <c r="B26" s="618"/>
      <c r="C26" s="616">
        <f t="shared" si="0"/>
        <v>0</v>
      </c>
      <c r="D26" s="616">
        <f>IF(B26&gt;0,VLOOKUP(A26,'Lista Suspensa'!$A$1:$F$92,3,),0)</f>
        <v>0</v>
      </c>
      <c r="E26" s="616">
        <f>IF(OR(B26&gt;0,C26&gt;0),VLOOKUP(A26,'Lista Suspensa'!$A$1:$F$90,4,),0)</f>
        <v>0</v>
      </c>
      <c r="F26" s="616">
        <f>IF(OR(B26&gt;0,C26&gt;0),VLOOKUP(A26,'Lista Suspensa'!$A$1:$F$90,5,),0)</f>
        <v>0</v>
      </c>
      <c r="G26" s="587">
        <f>IF(OR(B26&gt;0,C26&gt;0),VLOOKUP(A26,'Lista Suspensa'!$A$1:$F$90,6,),0)</f>
        <v>0</v>
      </c>
      <c r="H26" s="618"/>
      <c r="I26" s="623">
        <f t="shared" si="12"/>
        <v>0</v>
      </c>
      <c r="J26" s="616">
        <f>IF(H26&gt;0,VLOOKUP(A26,'Lista Suspensa'!$A$1:$F$92,3,),0)</f>
        <v>0</v>
      </c>
      <c r="K26" s="616">
        <f>IF(OR(H26&gt;0,I26&gt;0),VLOOKUP(A26,'Lista Suspensa'!$A$1:$F$90,4,),0)</f>
        <v>0</v>
      </c>
      <c r="L26" s="616">
        <f>IF(OR(H26&gt;0,I26&gt;0),VLOOKUP(A26,'Lista Suspensa'!$A$1:$F$90,5,),0)</f>
        <v>0</v>
      </c>
      <c r="M26" s="587">
        <f>IF(OR(H26&gt;0,I26&gt;0),VLOOKUP(A26,'Lista Suspensa'!$A$1:$F$90,6,),0)</f>
        <v>0</v>
      </c>
      <c r="N26" s="625"/>
      <c r="O26" s="623">
        <f t="shared" si="1"/>
        <v>0</v>
      </c>
      <c r="P26" s="616">
        <f>IF(N26&gt;0,VLOOKUP(A26,'Lista Suspensa'!$A$1:$F$92,3,),0)</f>
        <v>0</v>
      </c>
      <c r="Q26" s="616">
        <f>IF(OR(N26&gt;0,O26&gt;0),VLOOKUP(A26,'Lista Suspensa'!$A$1:$F$90,4,),0)</f>
        <v>0</v>
      </c>
      <c r="R26" s="616">
        <f>IF(OR(N26&gt;0,O26&gt;0),VLOOKUP(A26,'Lista Suspensa'!$A$1:$F$90,5,),0)</f>
        <v>0</v>
      </c>
      <c r="S26" s="587">
        <f>IF(OR(N26&gt;0,O26&gt;0),VLOOKUP(A26,'Lista Suspensa'!$A$1:$F$90,6,),0)</f>
        <v>0</v>
      </c>
      <c r="T26" s="625"/>
      <c r="U26" s="623">
        <f t="shared" si="2"/>
        <v>0</v>
      </c>
      <c r="V26" s="616">
        <f>IF(T26&gt;0,VLOOKUP(A26,'Lista Suspensa'!$A$1:$F$92,3,),0)</f>
        <v>0</v>
      </c>
      <c r="W26" s="616">
        <f>IF(OR(T26&gt;0,U26&gt;0),VLOOKUP(A26,'Lista Suspensa'!$A$1:$F$90,4,),0)</f>
        <v>0</v>
      </c>
      <c r="X26" s="616">
        <f>IF(OR(T26&gt;0,U26&gt;0),VLOOKUP(A26,'Lista Suspensa'!$A$1:$F$90,5,),0)</f>
        <v>0</v>
      </c>
      <c r="Y26" s="587">
        <f>IF(OR(T26&gt;0,U26&gt;0),VLOOKUP(A26,'Lista Suspensa'!$A$1:$F$90,6,),0)</f>
        <v>0</v>
      </c>
      <c r="Z26" s="618"/>
      <c r="AA26" s="623">
        <f t="shared" si="3"/>
        <v>0</v>
      </c>
      <c r="AB26" s="616">
        <f>IF(Z26&gt;0,VLOOKUP(A26,'Lista Suspensa'!$A$1:$F$92,3,),0)</f>
        <v>0</v>
      </c>
      <c r="AC26" s="616">
        <f>IF(OR(Z26&gt;0,AA26&gt;0),VLOOKUP(A26,'Lista Suspensa'!$A$1:$F$90,4,),0)</f>
        <v>0</v>
      </c>
      <c r="AD26" s="616">
        <f>IF(OR(Z26&gt;0,AA26&gt;0),VLOOKUP(A26,'Lista Suspensa'!$A$1:$F$90,5,),0)</f>
        <v>0</v>
      </c>
      <c r="AE26" s="587">
        <f>IF(OR(Z26&gt;0,AA26&gt;0),VLOOKUP(A26,'Lista Suspensa'!$A$1:$F$90,6,),0)</f>
        <v>0</v>
      </c>
      <c r="AF26" s="618"/>
      <c r="AG26" s="623">
        <f t="shared" si="13"/>
        <v>0</v>
      </c>
      <c r="AH26" s="616">
        <f>IF(AF26&gt;0,VLOOKUP(A26,'Lista Suspensa'!$A$1:$F$92,3,),0)</f>
        <v>0</v>
      </c>
      <c r="AI26" s="616">
        <f>IF(OR(AF26&gt;0,AG26&gt;0),VLOOKUP(A26,'Lista Suspensa'!$A$1:$F$90,4,),0)</f>
        <v>0</v>
      </c>
      <c r="AJ26" s="616">
        <f>IF(OR(AF26&gt;0,AG26&gt;0),VLOOKUP(A26,'Lista Suspensa'!$A$1:$F$90,5,),0)</f>
        <v>0</v>
      </c>
      <c r="AK26" s="587">
        <f>IF(OR(AF26&gt;0,AG26&gt;0),VLOOKUP(A26,'Lista Suspensa'!$A$1:$F$90,6,),0)</f>
        <v>0</v>
      </c>
      <c r="AL26" s="625"/>
      <c r="AM26" s="623">
        <f t="shared" si="4"/>
        <v>0</v>
      </c>
      <c r="AN26" s="616">
        <f>IF(AL26&gt;0,VLOOKUP(A26,'Lista Suspensa'!$A$1:$F$92,3,),0)</f>
        <v>0</v>
      </c>
      <c r="AO26" s="616">
        <f>IF(OR(AL26&gt;0,AM26&gt;0),VLOOKUP(A26,'Lista Suspensa'!$A$1:$F$90,4,),0)</f>
        <v>0</v>
      </c>
      <c r="AP26" s="616">
        <f>IF(OR(AL26&gt;0,AM26&gt;0),VLOOKUP(A26,'Lista Suspensa'!$A$1:$F$90,5,),0)</f>
        <v>0</v>
      </c>
      <c r="AQ26" s="587">
        <f>IF(OR(AL26&gt;0,AM26&gt;0),VLOOKUP(A26,'Lista Suspensa'!$A$1:$F$90,6,),0)</f>
        <v>0</v>
      </c>
      <c r="AR26" s="625"/>
      <c r="AS26" s="623">
        <f t="shared" si="14"/>
        <v>0</v>
      </c>
      <c r="AT26" s="616">
        <f>IF(AR26&gt;0,VLOOKUP(A26,'Lista Suspensa'!$A$1:$F$92,3,),0)</f>
        <v>0</v>
      </c>
      <c r="AU26" s="616">
        <f>IF(OR(AR26&gt;0,AS26&gt;0),VLOOKUP(A26,'Lista Suspensa'!$A$1:$F$90,4,),0)</f>
        <v>0</v>
      </c>
      <c r="AV26" s="616">
        <f>IF(OR(AR26&gt;0,AS26&gt;0),VLOOKUP(A26,'Lista Suspensa'!$A$1:$F$90,5,),0)</f>
        <v>0</v>
      </c>
      <c r="AW26" s="586">
        <f>IF(OR(AR26&gt;0,AS26&gt;0),VLOOKUP(A26,'Lista Suspensa'!$A$1:$F$90,6,),0)</f>
        <v>0</v>
      </c>
      <c r="AX26" s="625"/>
      <c r="AY26" s="623">
        <f t="shared" si="5"/>
        <v>0</v>
      </c>
      <c r="AZ26" s="616">
        <f>IF(AX26&gt;0,VLOOKUP(A26,'Lista Suspensa'!$A$1:$F$92,3,),0)</f>
        <v>0</v>
      </c>
      <c r="BA26" s="616">
        <f>IF(OR(AX26&gt;0,AY26&gt;0),VLOOKUP(A26,'Lista Suspensa'!$A$1:$F$90,4,),0)</f>
        <v>0</v>
      </c>
      <c r="BB26" s="616">
        <f>IF(OR(AX26&gt;0,AY26&gt;0),VLOOKUP(A26,'Lista Suspensa'!$A$1:$F$90,5,),0)</f>
        <v>0</v>
      </c>
      <c r="BC26" s="586">
        <f>IF(OR(AX26&gt;0,AY26&gt;0),VLOOKUP(A26,'Lista Suspensa'!$A$1:$F$90,6,),0)</f>
        <v>0</v>
      </c>
      <c r="BD26" s="625"/>
      <c r="BE26" s="623">
        <f t="shared" si="6"/>
        <v>0</v>
      </c>
      <c r="BF26" s="616">
        <f>IF(BD26&gt;0,VLOOKUP(A26,'Lista Suspensa'!$A$1:$F$92,3,),0)</f>
        <v>0</v>
      </c>
      <c r="BG26" s="616">
        <f>IF(OR(BD26&gt;0,BE26&gt;0),VLOOKUP(A26,'Lista Suspensa'!$A$1:$F$90,4,),0)</f>
        <v>0</v>
      </c>
      <c r="BH26" s="616">
        <f>IF(OR(BD26&gt;0,BE26&gt;0),VLOOKUP(A26,'Lista Suspensa'!$A$1:$F$90,5,),0)</f>
        <v>0</v>
      </c>
      <c r="BI26" s="586">
        <f>IF(OR(BD26&gt;0,BE26&gt;0),VLOOKUP(A26,'Lista Suspensa'!$A$1:$F$90,6,),0)</f>
        <v>0</v>
      </c>
      <c r="BJ26" s="625"/>
      <c r="BK26" s="623">
        <f t="shared" si="7"/>
        <v>0</v>
      </c>
      <c r="BL26" s="616">
        <f>IF(BJ26&gt;0,VLOOKUP(A26,'Lista Suspensa'!$A$1:$F$92,3,),0)</f>
        <v>0</v>
      </c>
      <c r="BM26" s="616">
        <f>IF(OR(BJ26&gt;0,BK26&gt;0),VLOOKUP(A26,'Lista Suspensa'!$A$1:$F$90,4,),0)</f>
        <v>0</v>
      </c>
      <c r="BN26" s="616">
        <f>IF(OR(BJ26&gt;0,BK26&gt;0),VLOOKUP(A26,'Lista Suspensa'!$A$1:$F$90,5,),0)</f>
        <v>0</v>
      </c>
      <c r="BO26" s="586">
        <f>IF(OR(BJ26&gt;0,BK26&gt;0),VLOOKUP(A26,'Lista Suspensa'!$A$1:$F$90,6,),0)</f>
        <v>0</v>
      </c>
      <c r="BP26" s="625"/>
      <c r="BQ26" s="623">
        <f t="shared" si="8"/>
        <v>0</v>
      </c>
      <c r="BR26" s="616">
        <f>IF(BP26&gt;0,VLOOKUP(A26,'Lista Suspensa'!$A$1:$F$92,3,),0)</f>
        <v>0</v>
      </c>
      <c r="BS26" s="616">
        <f>IF(OR(BP26&gt;0,BQ26&gt;0),VLOOKUP(A26,'Lista Suspensa'!$A$1:$F$90,4,),0)</f>
        <v>0</v>
      </c>
      <c r="BT26" s="616">
        <f>IF(OR(BP26&gt;0,BQ26&gt;0),VLOOKUP(A26,'Lista Suspensa'!$A$1:$F$90,5,),0)</f>
        <v>0</v>
      </c>
      <c r="BU26" s="586">
        <f>IF(OR(BP26&gt;0,BQ26&gt;0),VLOOKUP(A26,'Lista Suspensa'!$A$1:$F$90,6,),0)</f>
        <v>0</v>
      </c>
      <c r="BV26" s="625"/>
      <c r="BW26" s="623">
        <f t="shared" si="9"/>
        <v>0</v>
      </c>
      <c r="BX26" s="616">
        <f>IF(BV26&gt;0,VLOOKUP(A26,'Lista Suspensa'!$A$1:$F$92,3,),0)</f>
        <v>0</v>
      </c>
      <c r="BY26" s="616">
        <f>IF(OR(BV26&gt;0,BW26&gt;0),VLOOKUP(A26,'Lista Suspensa'!$A$1:$F$90,4,),0)</f>
        <v>0</v>
      </c>
      <c r="BZ26" s="616">
        <f>IF(OR(BV26&gt;0,BW26&gt;0),VLOOKUP(A26,'Lista Suspensa'!$A$1:$F$90,5,),0)</f>
        <v>0</v>
      </c>
      <c r="CA26" s="586">
        <f>IF(OR(BV26&gt;0,BW26&gt;0),VLOOKUP(A26,'Lista Suspensa'!$A$1:$F$90,6,),0)</f>
        <v>0</v>
      </c>
      <c r="CB26" s="625"/>
      <c r="CC26" s="623">
        <f t="shared" si="10"/>
        <v>0</v>
      </c>
      <c r="CD26" s="616">
        <f>IF(CB26&gt;0,VLOOKUP(A26,'Lista Suspensa'!$A$1:$F$92,3,),0)</f>
        <v>0</v>
      </c>
      <c r="CE26" s="616">
        <f>IF(OR(CB26&gt;0,CC26&gt;0),VLOOKUP(A26,'Lista Suspensa'!$A$1:$F$90,4,),0)</f>
        <v>0</v>
      </c>
      <c r="CF26" s="616">
        <f>IF(OR(CB26&gt;0,CC26&gt;0),VLOOKUP(A26,'Lista Suspensa'!$A$1:$F$90,5,),0)</f>
        <v>0</v>
      </c>
      <c r="CG26" s="586">
        <f>IF(OR(CB26&gt;0,CC26&gt;0),VLOOKUP(A26,'Lista Suspensa'!$A$1:$F$90,6,),0)</f>
        <v>0</v>
      </c>
      <c r="CH26" s="625"/>
      <c r="CI26" s="623">
        <f t="shared" si="11"/>
        <v>0</v>
      </c>
      <c r="CJ26" s="616">
        <f>IF(CH26&gt;0,VLOOKUP(A26,'Lista Suspensa'!$A$1:$F$92,3,),0)</f>
        <v>0</v>
      </c>
      <c r="CK26" s="616">
        <f>IF(OR(CH26&gt;0,CI26&gt;0),VLOOKUP(A26,'Lista Suspensa'!$A$1:$F$90,4,),0)</f>
        <v>0</v>
      </c>
      <c r="CL26" s="616">
        <f>IF(OR(CH26&gt;0,CI26&gt;0),VLOOKUP(A26,'Lista Suspensa'!$A$1:$F$90,5,),0)</f>
        <v>0</v>
      </c>
      <c r="CM26" s="637">
        <f>IF(OR(CH26&gt;0,CI26&gt;0),VLOOKUP(A26,'Lista Suspensa'!$A$1:$F$90,6,),0)</f>
        <v>0</v>
      </c>
      <c r="CN26" s="646"/>
      <c r="CO26" s="403">
        <f t="shared" si="15"/>
        <v>0</v>
      </c>
      <c r="CP26" s="756">
        <f>IF(CN26&gt;0,VLOOKUP(A26,'Lista Suspensa'!$A$1:$F$92,3,),0)</f>
        <v>0</v>
      </c>
      <c r="CQ26" s="643">
        <f>IF(OR(CN26&gt;0,CO26&gt;0),VLOOKUP(A26,'Lista Suspensa'!$A$1:$F$90,6,),0)</f>
        <v>0</v>
      </c>
      <c r="CR26" s="628"/>
      <c r="CS26" s="628"/>
      <c r="CT26" s="628"/>
      <c r="CU26" s="628"/>
      <c r="CV26" s="628"/>
      <c r="CW26" s="628"/>
      <c r="CX26" s="628"/>
      <c r="CY26" s="628"/>
      <c r="CZ26" s="628"/>
      <c r="DA26" s="628"/>
      <c r="DB26" s="628"/>
      <c r="DC26" s="628"/>
      <c r="DD26" s="628"/>
      <c r="DE26" s="628"/>
      <c r="DF26" s="628"/>
      <c r="DG26" s="628"/>
      <c r="DH26" s="628"/>
      <c r="DI26" s="583"/>
      <c r="DJ26" s="583"/>
      <c r="DK26" s="583"/>
      <c r="DL26" s="583"/>
      <c r="DM26" s="583"/>
      <c r="DN26" s="583"/>
      <c r="DO26" s="583"/>
      <c r="DP26" s="583"/>
      <c r="DQ26" s="583"/>
      <c r="DR26" s="583"/>
      <c r="DS26" s="583"/>
      <c r="DT26" s="583"/>
      <c r="DU26" s="583"/>
      <c r="DV26" s="583"/>
      <c r="DW26" s="583"/>
      <c r="DX26" s="583"/>
      <c r="DY26" s="583"/>
      <c r="DZ26" s="583"/>
      <c r="EA26" s="583"/>
      <c r="EB26" s="583"/>
      <c r="EC26" s="583"/>
      <c r="ED26" s="583"/>
      <c r="EE26" s="583"/>
      <c r="EF26" s="583"/>
      <c r="EG26" s="583"/>
      <c r="EH26" s="583"/>
      <c r="EI26" s="583"/>
      <c r="EJ26" s="583"/>
      <c r="EK26" s="583"/>
      <c r="EL26" s="583"/>
      <c r="EM26" s="583"/>
      <c r="EN26" s="583"/>
      <c r="EO26" s="583"/>
      <c r="EP26" s="583"/>
      <c r="EQ26" s="583"/>
      <c r="ER26" s="583"/>
      <c r="ES26" s="583"/>
      <c r="ET26" s="583"/>
      <c r="EU26" s="583"/>
      <c r="EV26" s="583"/>
      <c r="EW26" s="583"/>
      <c r="EX26" s="583"/>
      <c r="EY26" s="583"/>
      <c r="EZ26" s="583"/>
      <c r="FA26" s="583"/>
      <c r="FB26" s="583"/>
      <c r="FC26" s="583"/>
      <c r="FD26" s="583"/>
      <c r="FE26" s="583"/>
      <c r="FF26" s="583"/>
      <c r="FG26" s="583"/>
      <c r="FH26" s="583"/>
      <c r="FI26" s="583"/>
      <c r="FJ26" s="583"/>
      <c r="FK26" s="583"/>
      <c r="FL26" s="583"/>
      <c r="FM26" s="583"/>
      <c r="FN26" s="583"/>
      <c r="FO26" s="583"/>
      <c r="FP26" s="583"/>
      <c r="FQ26" s="583"/>
      <c r="FR26" s="583"/>
      <c r="FS26" s="583"/>
      <c r="FT26" s="583"/>
      <c r="FU26" s="583"/>
      <c r="FV26" s="583"/>
      <c r="FW26" s="583"/>
      <c r="FX26" s="583"/>
      <c r="FY26" s="583"/>
      <c r="FZ26" s="583"/>
      <c r="GA26" s="583"/>
      <c r="GB26" s="583"/>
      <c r="GC26" s="583"/>
      <c r="GD26" s="583"/>
      <c r="GE26" s="583"/>
      <c r="GF26" s="583"/>
      <c r="GG26" s="583"/>
      <c r="GH26" s="583"/>
      <c r="GI26" s="583"/>
      <c r="GJ26" s="583"/>
      <c r="GK26" s="583"/>
      <c r="GL26" s="583"/>
      <c r="GM26" s="583"/>
      <c r="GN26" s="583"/>
      <c r="GO26" s="583"/>
      <c r="GP26" s="583"/>
      <c r="GQ26" s="583"/>
      <c r="GR26" s="583"/>
      <c r="GS26" s="583"/>
      <c r="GT26" s="583"/>
      <c r="GU26" s="583"/>
      <c r="GV26" s="583"/>
      <c r="GW26" s="583"/>
      <c r="GX26" s="583"/>
      <c r="GY26" s="583"/>
      <c r="GZ26" s="583"/>
      <c r="HA26" s="583"/>
      <c r="HB26" s="583"/>
      <c r="HC26" s="583"/>
      <c r="HD26" s="583"/>
      <c r="HE26" s="583"/>
      <c r="HF26" s="583"/>
      <c r="HG26" s="583"/>
      <c r="HH26" s="583"/>
      <c r="HI26" s="583"/>
      <c r="HJ26" s="583"/>
      <c r="HK26" s="583"/>
      <c r="HL26" s="583"/>
      <c r="HM26" s="583"/>
      <c r="HN26" s="583"/>
      <c r="HO26" s="583"/>
      <c r="HP26" s="583"/>
      <c r="HQ26" s="583"/>
      <c r="HR26" s="583"/>
      <c r="HS26" s="583"/>
      <c r="HT26" s="583"/>
      <c r="HU26" s="583"/>
      <c r="HV26" s="583"/>
      <c r="HW26" s="583"/>
      <c r="HX26" s="583"/>
      <c r="HY26" s="583"/>
      <c r="HZ26" s="583"/>
      <c r="IA26" s="583"/>
      <c r="IB26" s="583"/>
      <c r="IC26" s="583"/>
      <c r="ID26" s="583"/>
      <c r="IE26" s="583"/>
      <c r="IF26" s="583"/>
      <c r="IG26" s="583"/>
      <c r="IH26" s="583"/>
      <c r="II26" s="583"/>
      <c r="IJ26" s="583"/>
      <c r="IK26" s="583"/>
      <c r="IL26" s="583"/>
      <c r="IM26" s="583"/>
      <c r="IN26" s="583"/>
      <c r="IO26" s="583"/>
      <c r="IP26" s="583"/>
      <c r="IQ26" s="583"/>
      <c r="IR26" s="583"/>
      <c r="IS26" s="583"/>
      <c r="IT26" s="583"/>
      <c r="IU26" s="583"/>
      <c r="IV26" s="583"/>
      <c r="IW26" s="583"/>
      <c r="IX26" s="583"/>
      <c r="IY26" s="583"/>
      <c r="IZ26" s="583"/>
      <c r="JA26" s="583"/>
      <c r="JB26" s="583"/>
      <c r="JC26" s="583"/>
      <c r="JD26" s="583"/>
      <c r="JE26" s="583"/>
      <c r="JF26" s="583"/>
      <c r="JG26" s="583"/>
      <c r="JH26" s="583"/>
      <c r="JI26" s="583"/>
      <c r="JJ26" s="583"/>
      <c r="JK26" s="583"/>
      <c r="JL26" s="583"/>
      <c r="JM26" s="583"/>
      <c r="JN26" s="583"/>
      <c r="JO26" s="583"/>
      <c r="JP26" s="583"/>
      <c r="JQ26" s="583"/>
      <c r="JR26" s="583"/>
      <c r="JS26" s="583"/>
      <c r="JT26" s="583"/>
      <c r="JU26" s="583"/>
      <c r="JV26" s="583"/>
      <c r="JW26" s="583"/>
      <c r="JX26" s="583"/>
      <c r="JY26" s="583"/>
      <c r="JZ26" s="583"/>
      <c r="KA26" s="583"/>
      <c r="KB26" s="583"/>
      <c r="KC26" s="583"/>
      <c r="KD26" s="583"/>
      <c r="KE26" s="583"/>
      <c r="KF26" s="583"/>
      <c r="KG26" s="583"/>
      <c r="KH26" s="583"/>
      <c r="KI26" s="583"/>
      <c r="KJ26" s="583"/>
      <c r="KK26" s="583"/>
      <c r="KL26" s="583"/>
      <c r="KM26" s="583"/>
      <c r="KN26" s="583"/>
      <c r="KO26" s="583"/>
      <c r="KP26" s="583"/>
      <c r="KQ26" s="583"/>
      <c r="KR26" s="583"/>
      <c r="KS26" s="583"/>
      <c r="KT26" s="583"/>
      <c r="KU26" s="583"/>
      <c r="KV26" s="583"/>
      <c r="KW26" s="583"/>
      <c r="KX26" s="583"/>
      <c r="KY26" s="583"/>
      <c r="KZ26" s="583"/>
      <c r="LA26" s="583"/>
      <c r="LB26" s="583"/>
      <c r="LC26" s="583"/>
      <c r="LD26" s="583"/>
      <c r="LE26" s="583"/>
      <c r="LF26" s="583"/>
      <c r="LG26" s="583"/>
      <c r="LH26" s="583"/>
      <c r="LI26" s="583"/>
      <c r="LJ26" s="583"/>
      <c r="LK26" s="583"/>
      <c r="LL26" s="583"/>
      <c r="LM26" s="583"/>
      <c r="LN26" s="583"/>
      <c r="LO26" s="583"/>
      <c r="LP26" s="583"/>
      <c r="LQ26" s="583"/>
      <c r="LR26" s="583"/>
      <c r="LS26" s="583"/>
      <c r="LT26" s="583"/>
      <c r="LU26" s="583"/>
      <c r="LV26" s="583"/>
      <c r="LW26" s="583"/>
      <c r="LX26" s="583"/>
      <c r="LY26" s="583"/>
      <c r="LZ26" s="583"/>
      <c r="MA26" s="583"/>
      <c r="MB26" s="583"/>
      <c r="MC26" s="583"/>
      <c r="MD26" s="583"/>
      <c r="ME26" s="583"/>
      <c r="MF26" s="583"/>
      <c r="MG26" s="583"/>
      <c r="MH26" s="583"/>
      <c r="MI26" s="583"/>
      <c r="MJ26" s="583"/>
      <c r="MK26" s="583"/>
      <c r="ML26" s="583"/>
      <c r="MM26" s="583"/>
      <c r="MN26" s="583"/>
      <c r="MO26" s="583"/>
      <c r="MP26" s="583"/>
      <c r="MQ26" s="583"/>
      <c r="MR26" s="583"/>
      <c r="MS26" s="583"/>
      <c r="MT26" s="583"/>
      <c r="MU26" s="583"/>
      <c r="MV26" s="583"/>
      <c r="MW26" s="583"/>
      <c r="MX26" s="583"/>
      <c r="MY26" s="583"/>
      <c r="MZ26" s="583"/>
      <c r="NA26" s="583"/>
      <c r="NB26" s="583"/>
      <c r="NC26" s="583"/>
      <c r="ND26" s="583"/>
      <c r="NE26" s="583"/>
      <c r="NF26" s="583"/>
      <c r="NG26" s="583"/>
      <c r="NH26" s="583"/>
      <c r="NI26" s="583"/>
      <c r="NJ26" s="583"/>
      <c r="NK26" s="583"/>
      <c r="NL26" s="583"/>
      <c r="NM26" s="583"/>
      <c r="NN26" s="583"/>
      <c r="NO26" s="583"/>
      <c r="NP26" s="583"/>
      <c r="NQ26" s="583"/>
      <c r="NR26" s="583"/>
      <c r="NS26" s="583"/>
      <c r="NT26" s="583"/>
      <c r="NU26" s="583"/>
      <c r="NV26" s="583"/>
      <c r="NW26" s="583"/>
      <c r="NX26" s="583"/>
      <c r="NY26" s="583"/>
      <c r="NZ26" s="583"/>
      <c r="OA26" s="583"/>
      <c r="OB26" s="583"/>
      <c r="OC26" s="583"/>
      <c r="OD26" s="583"/>
      <c r="OE26" s="583"/>
      <c r="OF26" s="583"/>
      <c r="OG26" s="583"/>
      <c r="OH26" s="583"/>
      <c r="OI26" s="583"/>
      <c r="OJ26" s="583"/>
      <c r="OK26" s="583"/>
      <c r="OL26" s="583"/>
      <c r="OM26" s="583"/>
      <c r="ON26" s="583"/>
      <c r="OO26" s="583"/>
      <c r="OP26" s="583"/>
      <c r="OQ26" s="583"/>
      <c r="OR26" s="583"/>
      <c r="OS26" s="583"/>
      <c r="OT26" s="583"/>
      <c r="OU26" s="583"/>
      <c r="OV26" s="583"/>
      <c r="OW26" s="583"/>
      <c r="OX26" s="583"/>
      <c r="OY26" s="583"/>
      <c r="OZ26" s="583"/>
      <c r="PA26" s="583"/>
      <c r="PB26" s="583"/>
      <c r="PC26" s="583"/>
      <c r="PD26" s="583"/>
      <c r="PE26" s="583"/>
      <c r="PF26" s="583"/>
      <c r="PG26" s="583"/>
      <c r="PH26" s="583"/>
      <c r="PI26" s="583"/>
      <c r="PJ26" s="583"/>
      <c r="PK26" s="583"/>
      <c r="PL26" s="583"/>
      <c r="PM26" s="583"/>
      <c r="PN26" s="583"/>
      <c r="PO26" s="583"/>
      <c r="PP26" s="583"/>
      <c r="PQ26" s="583"/>
      <c r="PR26" s="583"/>
      <c r="PS26" s="583"/>
      <c r="PT26" s="583"/>
      <c r="PU26" s="583"/>
      <c r="PV26" s="583"/>
      <c r="PW26" s="583"/>
      <c r="PX26" s="583"/>
      <c r="PY26" s="583"/>
      <c r="PZ26" s="583"/>
      <c r="QA26" s="583"/>
      <c r="QB26" s="583"/>
      <c r="QC26" s="583"/>
      <c r="QD26" s="583"/>
      <c r="QE26" s="583"/>
      <c r="QF26" s="583"/>
      <c r="QG26" s="583"/>
      <c r="QH26" s="583"/>
      <c r="QI26" s="583"/>
      <c r="QJ26" s="583"/>
      <c r="QK26" s="583"/>
      <c r="QL26" s="583"/>
      <c r="QM26" s="583"/>
      <c r="QN26" s="583"/>
      <c r="QO26" s="583"/>
      <c r="QP26" s="583"/>
      <c r="QQ26" s="583"/>
      <c r="QR26" s="583"/>
      <c r="QS26" s="583"/>
      <c r="QT26" s="583"/>
      <c r="QU26" s="583"/>
      <c r="QV26" s="583"/>
      <c r="QW26" s="583"/>
      <c r="QX26" s="583"/>
      <c r="QY26" s="583"/>
      <c r="QZ26" s="583"/>
      <c r="RA26" s="583"/>
      <c r="RB26" s="583"/>
      <c r="RC26" s="583"/>
      <c r="RD26" s="583"/>
      <c r="RE26" s="583"/>
      <c r="RF26" s="583"/>
      <c r="RG26" s="583"/>
      <c r="RH26" s="583"/>
      <c r="RI26" s="583"/>
      <c r="RJ26" s="583"/>
      <c r="RK26" s="583"/>
      <c r="RL26" s="583"/>
      <c r="RM26" s="583"/>
      <c r="RN26" s="583"/>
      <c r="RO26" s="583"/>
      <c r="RP26" s="583"/>
      <c r="RQ26" s="583"/>
      <c r="RR26" s="583"/>
      <c r="RS26" s="583"/>
      <c r="RT26" s="583"/>
      <c r="RU26" s="583"/>
      <c r="RV26" s="583"/>
      <c r="RW26" s="583"/>
      <c r="RX26" s="583"/>
      <c r="RY26" s="583"/>
      <c r="RZ26" s="583"/>
      <c r="SA26" s="583"/>
      <c r="SB26" s="583"/>
      <c r="SC26" s="583"/>
      <c r="SD26" s="583"/>
      <c r="SE26" s="583"/>
      <c r="SF26" s="583"/>
      <c r="SG26" s="583"/>
      <c r="SH26" s="583"/>
      <c r="SI26" s="583"/>
      <c r="SJ26" s="583"/>
      <c r="SK26" s="583"/>
      <c r="SL26" s="583"/>
      <c r="SM26" s="583"/>
      <c r="SN26" s="583"/>
      <c r="SO26" s="583"/>
      <c r="SP26" s="583"/>
      <c r="SQ26" s="583"/>
      <c r="SR26" s="583"/>
      <c r="SS26" s="583"/>
      <c r="ST26" s="583"/>
      <c r="SU26" s="583"/>
      <c r="SV26" s="583"/>
      <c r="SW26" s="583"/>
      <c r="SX26" s="583"/>
      <c r="SY26" s="583"/>
      <c r="SZ26" s="583"/>
      <c r="TA26" s="583"/>
      <c r="TB26" s="583"/>
      <c r="TC26" s="583"/>
      <c r="TD26" s="583"/>
      <c r="TE26" s="583"/>
      <c r="TF26" s="583"/>
      <c r="TG26" s="583"/>
      <c r="TH26" s="583"/>
      <c r="TI26" s="583"/>
      <c r="TJ26" s="583"/>
      <c r="TK26" s="583"/>
      <c r="TL26" s="583"/>
      <c r="TM26" s="583"/>
      <c r="TN26" s="583"/>
      <c r="TO26" s="583"/>
      <c r="TP26" s="583"/>
      <c r="TQ26" s="583"/>
      <c r="TR26" s="583"/>
      <c r="TS26" s="583"/>
      <c r="TT26" s="583"/>
      <c r="TU26" s="583"/>
      <c r="TV26" s="583"/>
      <c r="TW26" s="583"/>
      <c r="TX26" s="583"/>
      <c r="TY26" s="583"/>
      <c r="TZ26" s="583"/>
      <c r="UA26" s="583"/>
      <c r="UB26" s="583"/>
      <c r="UC26" s="583"/>
      <c r="UD26" s="583"/>
      <c r="UE26" s="583"/>
      <c r="UF26" s="583"/>
      <c r="UG26" s="583"/>
      <c r="UH26" s="583"/>
      <c r="UI26" s="583"/>
      <c r="UJ26" s="583"/>
      <c r="UK26" s="583"/>
      <c r="UL26" s="583"/>
      <c r="UM26" s="583"/>
      <c r="UN26" s="583"/>
      <c r="UO26" s="583"/>
      <c r="UP26" s="583"/>
      <c r="UQ26" s="583"/>
      <c r="UR26" s="583"/>
      <c r="US26" s="583"/>
      <c r="UT26" s="583"/>
      <c r="UU26" s="583"/>
      <c r="UV26" s="583"/>
      <c r="UW26" s="583"/>
      <c r="UX26" s="583"/>
      <c r="UY26" s="583"/>
      <c r="UZ26" s="583"/>
      <c r="VA26" s="583"/>
      <c r="VB26" s="583"/>
      <c r="VC26" s="583"/>
      <c r="VD26" s="583"/>
      <c r="VE26" s="583"/>
      <c r="VF26" s="583"/>
      <c r="VG26" s="583"/>
      <c r="VH26" s="583"/>
      <c r="VI26" s="583"/>
      <c r="VJ26" s="583"/>
      <c r="VK26" s="583"/>
      <c r="VL26" s="583"/>
      <c r="VM26" s="583"/>
      <c r="VN26" s="583"/>
      <c r="VO26" s="583"/>
      <c r="VP26" s="583"/>
      <c r="VQ26" s="583"/>
      <c r="VR26" s="583"/>
      <c r="VS26" s="583"/>
      <c r="VT26" s="583"/>
      <c r="VU26" s="583"/>
      <c r="VV26" s="583"/>
      <c r="VW26" s="583"/>
      <c r="VX26" s="583"/>
      <c r="VY26" s="583"/>
      <c r="VZ26" s="583"/>
      <c r="WA26" s="583"/>
      <c r="WB26" s="583"/>
      <c r="WC26" s="583"/>
      <c r="WD26" s="583"/>
      <c r="WE26" s="583"/>
      <c r="WF26" s="583"/>
      <c r="WG26" s="583"/>
      <c r="WH26" s="583"/>
      <c r="WI26" s="583"/>
      <c r="WJ26" s="583"/>
      <c r="WK26" s="583"/>
      <c r="WL26" s="583"/>
      <c r="WM26" s="583"/>
      <c r="WN26" s="583"/>
      <c r="WO26" s="583"/>
      <c r="WP26" s="583"/>
      <c r="WQ26" s="583"/>
      <c r="WR26" s="583"/>
      <c r="WS26" s="583"/>
      <c r="WT26" s="583"/>
      <c r="WU26" s="583"/>
      <c r="WV26" s="583"/>
      <c r="WW26" s="583"/>
      <c r="WX26" s="583"/>
      <c r="WY26" s="583"/>
      <c r="WZ26" s="583"/>
      <c r="XA26" s="583"/>
      <c r="XB26" s="583"/>
      <c r="XC26" s="583"/>
      <c r="XD26" s="583"/>
      <c r="XE26" s="583"/>
      <c r="XF26" s="583"/>
      <c r="XG26" s="583"/>
      <c r="XH26" s="583"/>
      <c r="XI26" s="583"/>
      <c r="XJ26" s="583"/>
      <c r="XK26" s="583"/>
      <c r="XL26" s="583"/>
      <c r="XM26" s="583"/>
      <c r="XN26" s="583"/>
      <c r="XO26" s="583"/>
      <c r="XP26" s="583"/>
      <c r="XQ26" s="583"/>
      <c r="XR26" s="583"/>
      <c r="XS26" s="583"/>
      <c r="XT26" s="583"/>
      <c r="XU26" s="583"/>
      <c r="XV26" s="583"/>
      <c r="XW26" s="583"/>
      <c r="XX26" s="583"/>
      <c r="XY26" s="583"/>
      <c r="XZ26" s="583"/>
      <c r="YA26" s="583"/>
      <c r="YB26" s="583"/>
      <c r="YC26" s="583"/>
      <c r="YD26" s="583"/>
      <c r="YE26" s="583"/>
      <c r="YF26" s="583"/>
      <c r="YG26" s="583"/>
      <c r="YH26" s="583"/>
      <c r="YI26" s="583"/>
      <c r="YJ26" s="583"/>
      <c r="YK26" s="583"/>
      <c r="YL26" s="583"/>
      <c r="YM26" s="583"/>
      <c r="YN26" s="583"/>
      <c r="YO26" s="583"/>
      <c r="YP26" s="583"/>
      <c r="YQ26" s="583"/>
      <c r="YR26" s="583"/>
      <c r="YS26" s="583"/>
      <c r="YT26" s="583"/>
      <c r="YU26" s="583"/>
      <c r="YV26" s="583"/>
      <c r="YW26" s="583"/>
      <c r="YX26" s="583"/>
      <c r="YY26" s="583"/>
      <c r="YZ26" s="583"/>
      <c r="ZA26" s="583"/>
      <c r="ZB26" s="583"/>
      <c r="ZC26" s="583"/>
      <c r="ZD26" s="583"/>
      <c r="ZE26" s="583"/>
      <c r="ZF26" s="583"/>
      <c r="ZG26" s="583"/>
      <c r="ZH26" s="583"/>
      <c r="ZI26" s="583"/>
      <c r="ZJ26" s="583"/>
      <c r="ZK26" s="583"/>
      <c r="ZL26" s="583"/>
      <c r="ZM26" s="583"/>
      <c r="ZN26" s="583"/>
      <c r="ZO26" s="583"/>
      <c r="ZP26" s="583"/>
      <c r="ZQ26" s="583"/>
      <c r="ZR26" s="583"/>
      <c r="ZS26" s="583"/>
      <c r="ZT26" s="583"/>
      <c r="ZU26" s="583"/>
      <c r="ZV26" s="583"/>
      <c r="ZW26" s="583"/>
      <c r="ZX26" s="583"/>
      <c r="ZY26" s="583"/>
      <c r="ZZ26" s="583"/>
      <c r="AAA26" s="583"/>
      <c r="AAB26" s="583"/>
      <c r="AAC26" s="583"/>
      <c r="AAD26" s="583"/>
      <c r="AAE26" s="583"/>
      <c r="AAF26" s="583"/>
      <c r="AAG26" s="583"/>
      <c r="AAH26" s="583"/>
      <c r="AAI26" s="583"/>
      <c r="AAJ26" s="583"/>
      <c r="AAK26" s="583"/>
      <c r="AAL26" s="583"/>
      <c r="AAM26" s="583"/>
      <c r="AAN26" s="583"/>
      <c r="AAO26" s="583"/>
      <c r="AAP26" s="583"/>
      <c r="AAQ26" s="583"/>
      <c r="AAR26" s="583"/>
      <c r="AAS26" s="583"/>
      <c r="AAT26" s="583"/>
      <c r="AAU26" s="583"/>
      <c r="AAV26" s="583"/>
      <c r="AAW26" s="583"/>
      <c r="AAX26" s="583"/>
      <c r="AAY26" s="583"/>
      <c r="AAZ26" s="583"/>
      <c r="ABA26" s="583"/>
      <c r="ABB26" s="583"/>
      <c r="ABC26" s="583"/>
      <c r="ABD26" s="583"/>
      <c r="ABE26" s="583"/>
      <c r="ABF26" s="583"/>
      <c r="ABG26" s="583"/>
      <c r="ABH26" s="583"/>
      <c r="ABI26" s="583"/>
      <c r="ABJ26" s="583"/>
      <c r="ABK26" s="583"/>
      <c r="ABL26" s="583"/>
      <c r="ABM26" s="583"/>
      <c r="ABN26" s="583"/>
      <c r="ABO26" s="583"/>
      <c r="ABP26" s="583"/>
      <c r="ABQ26" s="583"/>
      <c r="ABR26" s="583"/>
      <c r="ABS26" s="583"/>
      <c r="ABT26" s="583"/>
      <c r="ABU26" s="583"/>
      <c r="ABV26" s="583"/>
      <c r="ABW26" s="583"/>
      <c r="ABX26" s="583"/>
      <c r="ABY26" s="583"/>
      <c r="ABZ26" s="583"/>
      <c r="ACA26" s="583"/>
      <c r="ACB26" s="583"/>
      <c r="ACC26" s="583"/>
      <c r="ACD26" s="583"/>
      <c r="ACE26" s="583"/>
      <c r="ACF26" s="583"/>
      <c r="ACG26" s="583"/>
      <c r="ACH26" s="583"/>
      <c r="ACI26" s="583"/>
      <c r="ACJ26" s="583"/>
      <c r="ACK26" s="583"/>
      <c r="ACL26" s="583"/>
      <c r="ACM26" s="583"/>
      <c r="ACN26" s="583"/>
      <c r="ACO26" s="583"/>
      <c r="ACP26" s="583"/>
      <c r="ACQ26" s="583"/>
      <c r="ACR26" s="583"/>
      <c r="ACS26" s="583"/>
      <c r="ACT26" s="583"/>
      <c r="ACU26" s="583"/>
      <c r="ACV26" s="583"/>
      <c r="ACW26" s="583"/>
      <c r="ACX26" s="583"/>
      <c r="ACY26" s="583"/>
      <c r="ACZ26" s="583"/>
      <c r="ADA26" s="583"/>
      <c r="ADB26" s="583"/>
      <c r="ADC26" s="583"/>
      <c r="ADD26" s="583"/>
      <c r="ADE26" s="583"/>
      <c r="ADF26" s="583"/>
      <c r="ADG26" s="583"/>
      <c r="ADH26" s="583"/>
      <c r="ADI26" s="583"/>
      <c r="ADJ26" s="583"/>
      <c r="ADK26" s="583"/>
      <c r="ADL26" s="583"/>
      <c r="ADM26" s="583"/>
      <c r="ADN26" s="583"/>
      <c r="ADO26" s="583"/>
      <c r="ADP26" s="583"/>
      <c r="ADQ26" s="583"/>
      <c r="ADR26" s="583"/>
      <c r="ADS26" s="583"/>
      <c r="ADT26" s="583"/>
      <c r="ADU26" s="583"/>
      <c r="ADV26" s="583"/>
      <c r="ADW26" s="583"/>
      <c r="ADX26" s="583"/>
      <c r="ADY26" s="583"/>
      <c r="ADZ26" s="583"/>
      <c r="AEA26" s="583"/>
      <c r="AEB26" s="583"/>
      <c r="AEC26" s="583"/>
      <c r="AED26" s="583"/>
      <c r="AEE26" s="583"/>
      <c r="AEF26" s="583"/>
      <c r="AEG26" s="583"/>
      <c r="AEH26" s="583"/>
      <c r="AEI26" s="583"/>
      <c r="AEJ26" s="583"/>
      <c r="AEK26" s="583"/>
      <c r="AEL26" s="583"/>
      <c r="AEM26" s="583"/>
      <c r="AEN26" s="583"/>
      <c r="AEO26" s="583"/>
      <c r="AEP26" s="583"/>
      <c r="AEQ26" s="583"/>
      <c r="AER26" s="583"/>
      <c r="AES26" s="583"/>
      <c r="AET26" s="583"/>
      <c r="AEU26" s="583"/>
      <c r="AEV26" s="583"/>
      <c r="AEW26" s="583"/>
      <c r="AEX26" s="583"/>
      <c r="AEY26" s="583"/>
      <c r="AEZ26" s="583"/>
      <c r="AFA26" s="583"/>
      <c r="AFB26" s="583"/>
      <c r="AFC26" s="583"/>
      <c r="AFD26" s="583"/>
      <c r="AFE26" s="583"/>
      <c r="AFF26" s="583"/>
      <c r="AFG26" s="583"/>
      <c r="AFH26" s="583"/>
      <c r="AFI26" s="583"/>
      <c r="AFJ26" s="583"/>
      <c r="AFK26" s="583"/>
      <c r="AFL26" s="583"/>
      <c r="AFM26" s="583"/>
      <c r="AFN26" s="583"/>
      <c r="AFO26" s="583"/>
      <c r="AFP26" s="583"/>
      <c r="AFQ26" s="583"/>
      <c r="AFR26" s="583"/>
      <c r="AFS26" s="583"/>
      <c r="AFT26" s="583"/>
      <c r="AFU26" s="583"/>
      <c r="AFV26" s="583"/>
      <c r="AFW26" s="583"/>
      <c r="AFX26" s="583"/>
      <c r="AFY26" s="583"/>
      <c r="AFZ26" s="583"/>
      <c r="AGA26" s="583"/>
      <c r="AGB26" s="583"/>
      <c r="AGC26" s="583"/>
      <c r="AGD26" s="583"/>
      <c r="AGE26" s="583"/>
      <c r="AGF26" s="583"/>
      <c r="AGG26" s="583"/>
      <c r="AGH26" s="583"/>
      <c r="AGI26" s="583"/>
      <c r="AGJ26" s="583"/>
      <c r="AGK26" s="583"/>
      <c r="AGL26" s="583"/>
      <c r="AGM26" s="583"/>
      <c r="AGN26" s="583"/>
      <c r="AGO26" s="583"/>
      <c r="AGP26" s="583"/>
      <c r="AGQ26" s="583"/>
      <c r="AGR26" s="583"/>
      <c r="AGS26" s="583"/>
      <c r="AGT26" s="583"/>
      <c r="AGU26" s="583"/>
      <c r="AGV26" s="583"/>
      <c r="AGW26" s="583"/>
      <c r="AGX26" s="583"/>
      <c r="AGY26" s="583"/>
      <c r="AGZ26" s="583"/>
      <c r="AHA26" s="583"/>
      <c r="AHB26" s="583"/>
      <c r="AHC26" s="583"/>
      <c r="AHD26" s="583"/>
      <c r="AHE26" s="583"/>
      <c r="AHF26" s="583"/>
      <c r="AHG26" s="583"/>
      <c r="AHH26" s="583"/>
      <c r="AHI26" s="583"/>
      <c r="AHJ26" s="583"/>
      <c r="AHK26" s="583"/>
      <c r="AHL26" s="583"/>
      <c r="AHM26" s="583"/>
      <c r="AHN26" s="583"/>
      <c r="AHO26" s="583"/>
      <c r="AHP26" s="583"/>
      <c r="AHQ26" s="583"/>
      <c r="AHR26" s="583"/>
      <c r="AHS26" s="583"/>
      <c r="AHT26" s="583"/>
      <c r="AHU26" s="583"/>
      <c r="AHV26" s="583"/>
      <c r="AHW26" s="583"/>
      <c r="AHX26" s="583"/>
      <c r="AHY26" s="583"/>
      <c r="AHZ26" s="583"/>
      <c r="AIA26" s="583"/>
      <c r="AIB26" s="583"/>
      <c r="AIC26" s="583"/>
      <c r="AID26" s="583"/>
      <c r="AIE26" s="583"/>
      <c r="AIF26" s="583"/>
      <c r="AIG26" s="583"/>
      <c r="AIH26" s="583"/>
      <c r="AII26" s="583"/>
      <c r="AIJ26" s="583"/>
      <c r="AIK26" s="583"/>
      <c r="AIL26" s="583"/>
      <c r="AIM26" s="583"/>
      <c r="AIN26" s="583"/>
      <c r="AIO26" s="583"/>
      <c r="AIP26" s="583"/>
      <c r="AIQ26" s="583"/>
      <c r="AIR26" s="583"/>
      <c r="AIS26" s="583"/>
      <c r="AIT26" s="583"/>
      <c r="AIU26" s="583"/>
      <c r="AIV26" s="583"/>
      <c r="AIW26" s="583"/>
      <c r="AIX26" s="583"/>
      <c r="AIY26" s="583"/>
      <c r="AIZ26" s="583"/>
      <c r="AJA26" s="583"/>
      <c r="AJB26" s="583"/>
      <c r="AJC26" s="583"/>
      <c r="AJD26" s="583"/>
      <c r="AJE26" s="583"/>
      <c r="AJF26" s="583"/>
      <c r="AJG26" s="583"/>
      <c r="AJH26" s="583"/>
      <c r="AJI26" s="583"/>
      <c r="AJJ26" s="583"/>
      <c r="AJK26" s="583"/>
      <c r="AJL26" s="583"/>
      <c r="AJM26" s="583"/>
      <c r="AJN26" s="583"/>
      <c r="AJO26" s="583"/>
      <c r="AJP26" s="583"/>
      <c r="AJQ26" s="583"/>
      <c r="AJR26" s="583"/>
      <c r="AJS26" s="583"/>
      <c r="AJT26" s="583"/>
      <c r="AJU26" s="583"/>
      <c r="AJV26" s="583"/>
      <c r="AJW26" s="583"/>
      <c r="AJX26" s="583"/>
      <c r="AJY26" s="583"/>
      <c r="AJZ26" s="583"/>
      <c r="AKA26" s="583"/>
      <c r="AKB26" s="583"/>
      <c r="AKC26" s="583"/>
      <c r="AKD26" s="583"/>
      <c r="AKE26" s="583"/>
      <c r="AKF26" s="583"/>
      <c r="AKG26" s="583"/>
      <c r="AKH26" s="583"/>
      <c r="AKI26" s="583"/>
      <c r="AKJ26" s="583"/>
      <c r="AKK26" s="583"/>
      <c r="AKL26" s="583"/>
      <c r="AKM26" s="583"/>
      <c r="AKN26" s="583"/>
      <c r="AKO26" s="583"/>
      <c r="AKP26" s="583"/>
      <c r="AKQ26" s="583"/>
      <c r="AKR26" s="583"/>
      <c r="AKS26" s="583"/>
      <c r="AKT26" s="583"/>
      <c r="AKU26" s="583"/>
      <c r="AKV26" s="583"/>
      <c r="AKW26" s="583"/>
      <c r="AKX26" s="583"/>
      <c r="AKY26" s="583"/>
      <c r="AKZ26" s="583"/>
      <c r="ALA26" s="583"/>
      <c r="ALB26" s="583"/>
      <c r="ALC26" s="583"/>
      <c r="ALD26" s="583"/>
      <c r="ALE26" s="583"/>
      <c r="ALF26" s="583"/>
      <c r="ALG26" s="583"/>
      <c r="ALH26" s="583"/>
      <c r="ALI26" s="583"/>
      <c r="ALJ26" s="583"/>
      <c r="ALK26" s="583"/>
      <c r="ALL26" s="583"/>
      <c r="ALM26" s="583"/>
      <c r="ALN26" s="583"/>
      <c r="ALO26" s="583"/>
      <c r="ALP26" s="583"/>
      <c r="ALQ26" s="583"/>
      <c r="ALR26" s="583"/>
      <c r="ALS26" s="583"/>
      <c r="ALT26" s="583"/>
      <c r="ALU26" s="583"/>
      <c r="ALV26" s="583"/>
      <c r="ALW26" s="583"/>
      <c r="ALX26" s="583"/>
      <c r="ALY26" s="583"/>
      <c r="ALZ26" s="583"/>
      <c r="AMA26" s="583"/>
      <c r="AMB26" s="583"/>
      <c r="AMC26" s="583"/>
      <c r="AMD26" s="583"/>
      <c r="AME26" s="583"/>
      <c r="AMF26" s="583"/>
      <c r="AMG26" s="583"/>
      <c r="AMH26" s="583"/>
      <c r="AMI26" s="583"/>
      <c r="AMJ26" s="583"/>
      <c r="AMK26" s="583"/>
      <c r="AML26" s="583"/>
      <c r="AMM26" s="583"/>
      <c r="AMN26" s="583"/>
      <c r="AMO26" s="583"/>
      <c r="AMP26" s="583"/>
      <c r="AMQ26" s="583"/>
      <c r="AMR26" s="583"/>
      <c r="AMS26" s="583"/>
      <c r="AMT26" s="583"/>
      <c r="AMU26" s="583"/>
      <c r="AMV26" s="583"/>
      <c r="AMW26" s="583"/>
      <c r="AMX26" s="583"/>
      <c r="AMY26" s="583"/>
      <c r="AMZ26" s="583"/>
      <c r="ANA26" s="583"/>
      <c r="ANB26" s="583"/>
      <c r="ANC26" s="583"/>
      <c r="AND26" s="583"/>
      <c r="ANE26" s="583"/>
      <c r="ANF26" s="583"/>
      <c r="ANG26" s="583"/>
      <c r="ANH26" s="583"/>
      <c r="ANI26" s="583"/>
      <c r="ANJ26" s="583"/>
      <c r="ANK26" s="583"/>
      <c r="ANL26" s="583"/>
      <c r="ANM26" s="583"/>
      <c r="ANN26" s="583"/>
      <c r="ANO26" s="583"/>
      <c r="ANP26" s="583"/>
      <c r="ANQ26" s="583"/>
      <c r="ANR26" s="583"/>
      <c r="ANS26" s="583"/>
      <c r="ANT26" s="583"/>
      <c r="ANU26" s="583"/>
      <c r="ANV26" s="583"/>
      <c r="ANW26" s="583"/>
      <c r="ANX26" s="583"/>
      <c r="ANY26" s="583"/>
      <c r="ANZ26" s="583"/>
      <c r="AOA26" s="583"/>
      <c r="AOB26" s="583"/>
      <c r="AOC26" s="583"/>
      <c r="AOD26" s="583"/>
      <c r="AOE26" s="583"/>
      <c r="AOF26" s="583"/>
      <c r="AOG26" s="583"/>
      <c r="AOH26" s="583"/>
      <c r="AOI26" s="583"/>
      <c r="AOJ26" s="583"/>
      <c r="AOK26" s="583"/>
      <c r="AOL26" s="583"/>
      <c r="AOM26" s="583"/>
      <c r="AON26" s="583"/>
      <c r="AOO26" s="583"/>
      <c r="AOP26" s="583"/>
      <c r="AOQ26" s="583"/>
      <c r="AOR26" s="583"/>
      <c r="AOS26" s="583"/>
      <c r="AOT26" s="583"/>
      <c r="AOU26" s="583"/>
      <c r="AOV26" s="583"/>
      <c r="AOW26" s="583"/>
      <c r="AOX26" s="583"/>
      <c r="AOY26" s="583"/>
      <c r="AOZ26" s="583"/>
      <c r="APA26" s="583"/>
      <c r="APB26" s="583"/>
      <c r="APC26" s="583"/>
      <c r="APD26" s="583"/>
      <c r="APE26" s="583"/>
      <c r="APF26" s="583"/>
      <c r="APG26" s="583"/>
      <c r="APH26" s="583"/>
      <c r="API26" s="583"/>
      <c r="APJ26" s="583"/>
      <c r="APK26" s="583"/>
      <c r="APL26" s="583"/>
      <c r="APM26" s="583"/>
      <c r="APN26" s="583"/>
      <c r="APO26" s="583"/>
      <c r="APP26" s="583"/>
      <c r="APQ26" s="583"/>
      <c r="APR26" s="583"/>
      <c r="APS26" s="583"/>
      <c r="APT26" s="583"/>
      <c r="APU26" s="583"/>
      <c r="APV26" s="583"/>
      <c r="APW26" s="583"/>
      <c r="APX26" s="583"/>
      <c r="APY26" s="583"/>
      <c r="APZ26" s="583"/>
      <c r="AQA26" s="583"/>
      <c r="AQB26" s="583"/>
      <c r="AQC26" s="583"/>
      <c r="AQD26" s="583"/>
      <c r="AQE26" s="583"/>
      <c r="AQF26" s="583"/>
      <c r="AQG26" s="583"/>
      <c r="AQH26" s="583"/>
      <c r="AQI26" s="583"/>
      <c r="AQJ26" s="583"/>
      <c r="AQK26" s="583"/>
      <c r="AQL26" s="583"/>
      <c r="AQM26" s="583"/>
      <c r="AQN26" s="583"/>
      <c r="AQO26" s="583"/>
      <c r="AQP26" s="583"/>
      <c r="AQQ26" s="583"/>
      <c r="AQR26" s="583"/>
      <c r="AQS26" s="583"/>
      <c r="AQT26" s="583"/>
      <c r="AQU26" s="583"/>
      <c r="AQV26" s="583"/>
      <c r="AQW26" s="583"/>
      <c r="AQX26" s="583"/>
      <c r="AQY26" s="583"/>
      <c r="AQZ26" s="583"/>
      <c r="ARA26" s="583"/>
      <c r="ARB26" s="583"/>
      <c r="ARC26" s="583"/>
      <c r="ARD26" s="583"/>
      <c r="ARE26" s="583"/>
      <c r="ARF26" s="583"/>
      <c r="ARG26" s="583"/>
      <c r="ARH26" s="583"/>
      <c r="ARI26" s="583"/>
      <c r="ARJ26" s="583"/>
      <c r="ARK26" s="583"/>
      <c r="ARL26" s="583"/>
      <c r="ARM26" s="583"/>
      <c r="ARN26" s="583"/>
      <c r="ARO26" s="583"/>
      <c r="ARP26" s="583"/>
      <c r="ARQ26" s="583"/>
      <c r="ARR26" s="583"/>
      <c r="ARS26" s="583"/>
      <c r="ART26" s="583"/>
      <c r="ARU26" s="583"/>
      <c r="ARV26" s="583"/>
      <c r="ARW26" s="583"/>
      <c r="ARX26" s="583"/>
      <c r="ARY26" s="583"/>
      <c r="ARZ26" s="583"/>
      <c r="ASA26" s="583"/>
      <c r="ASB26" s="583"/>
      <c r="ASC26" s="583"/>
      <c r="ASD26" s="583"/>
      <c r="ASE26" s="583"/>
      <c r="ASF26" s="583"/>
      <c r="ASG26" s="583"/>
      <c r="ASH26" s="583"/>
      <c r="ASI26" s="583"/>
      <c r="ASJ26" s="583"/>
      <c r="ASK26" s="583"/>
      <c r="ASL26" s="583"/>
      <c r="ASM26" s="583"/>
      <c r="ASN26" s="583"/>
      <c r="ASO26" s="583"/>
      <c r="ASP26" s="583"/>
      <c r="ASQ26" s="583"/>
      <c r="ASR26" s="583"/>
      <c r="ASS26" s="583"/>
      <c r="AST26" s="583"/>
      <c r="ASU26" s="583"/>
      <c r="ASV26" s="583"/>
      <c r="ASW26" s="583"/>
      <c r="ASX26" s="583"/>
      <c r="ASY26" s="583"/>
      <c r="ASZ26" s="583"/>
      <c r="ATA26" s="583"/>
      <c r="ATB26" s="583"/>
      <c r="ATC26" s="583"/>
      <c r="ATD26" s="583"/>
      <c r="ATE26" s="583"/>
      <c r="ATF26" s="583"/>
      <c r="ATG26" s="583"/>
      <c r="ATH26" s="583"/>
      <c r="ATI26" s="583"/>
      <c r="ATJ26" s="583"/>
      <c r="ATK26" s="583"/>
      <c r="ATL26" s="583"/>
      <c r="ATM26" s="583"/>
      <c r="ATN26" s="583"/>
      <c r="ATO26" s="583"/>
      <c r="ATP26" s="583"/>
      <c r="ATQ26" s="583"/>
      <c r="ATR26" s="583"/>
      <c r="ATS26" s="583"/>
      <c r="ATT26" s="583"/>
      <c r="ATU26" s="583"/>
      <c r="ATV26" s="583"/>
      <c r="ATW26" s="583"/>
      <c r="ATX26" s="583"/>
      <c r="ATY26" s="583"/>
      <c r="ATZ26" s="583"/>
      <c r="AUA26" s="583"/>
      <c r="AUB26" s="583"/>
      <c r="AUC26" s="583"/>
      <c r="AUD26" s="583"/>
      <c r="AUE26" s="583"/>
      <c r="AUF26" s="583"/>
      <c r="AUG26" s="583"/>
      <c r="AUH26" s="583"/>
      <c r="AUI26" s="583"/>
      <c r="AUJ26" s="583"/>
      <c r="AUK26" s="583"/>
      <c r="AUL26" s="583"/>
      <c r="AUM26" s="583"/>
      <c r="AUN26" s="583"/>
      <c r="AUO26" s="583"/>
      <c r="AUP26" s="583"/>
      <c r="AUQ26" s="583"/>
      <c r="AUR26" s="583"/>
      <c r="AUS26" s="583"/>
      <c r="AUT26" s="583"/>
      <c r="AUU26" s="583"/>
      <c r="AUV26" s="583"/>
      <c r="AUW26" s="583"/>
      <c r="AUX26" s="583"/>
      <c r="AUY26" s="583"/>
      <c r="AUZ26" s="583"/>
      <c r="AVA26" s="583"/>
      <c r="AVB26" s="583"/>
      <c r="AVC26" s="583"/>
      <c r="AVD26" s="583"/>
      <c r="AVE26" s="583"/>
      <c r="AVF26" s="583"/>
      <c r="AVG26" s="583"/>
      <c r="AVH26" s="583"/>
      <c r="AVI26" s="583"/>
      <c r="AVJ26" s="583"/>
      <c r="AVK26" s="583"/>
      <c r="AVL26" s="583"/>
      <c r="AVM26" s="583"/>
      <c r="AVN26" s="583"/>
      <c r="AVO26" s="583"/>
      <c r="AVP26" s="583"/>
      <c r="AVQ26" s="583"/>
      <c r="AVR26" s="583"/>
      <c r="AVS26" s="583"/>
      <c r="AVT26" s="583"/>
      <c r="AVU26" s="583"/>
      <c r="AVV26" s="583"/>
      <c r="AVW26" s="583"/>
      <c r="AVX26" s="583"/>
      <c r="AVY26" s="583"/>
      <c r="AVZ26" s="583"/>
      <c r="AWA26" s="583"/>
      <c r="AWB26" s="583"/>
      <c r="AWC26" s="583"/>
      <c r="AWD26" s="583"/>
      <c r="AWE26" s="583"/>
      <c r="AWF26" s="583"/>
      <c r="AWG26" s="583"/>
      <c r="AWH26" s="583"/>
      <c r="AWI26" s="583"/>
      <c r="AWJ26" s="583"/>
      <c r="AWK26" s="583"/>
      <c r="AWL26" s="583"/>
      <c r="AWM26" s="583"/>
      <c r="AWN26" s="583"/>
      <c r="AWO26" s="583"/>
      <c r="AWP26" s="583"/>
      <c r="AWQ26" s="583"/>
      <c r="AWR26" s="583"/>
      <c r="AWS26" s="583"/>
      <c r="AWT26" s="583"/>
      <c r="AWU26" s="583"/>
      <c r="AWV26" s="583"/>
      <c r="AWW26" s="583"/>
      <c r="AWX26" s="583"/>
      <c r="AWY26" s="583"/>
      <c r="AWZ26" s="583"/>
      <c r="AXA26" s="583"/>
      <c r="AXB26" s="583"/>
      <c r="AXC26" s="583"/>
      <c r="AXD26" s="583"/>
      <c r="AXE26" s="583"/>
      <c r="AXF26" s="583"/>
      <c r="AXG26" s="583"/>
      <c r="AXH26" s="583"/>
      <c r="AXI26" s="583"/>
      <c r="AXJ26" s="583"/>
      <c r="AXK26" s="583"/>
      <c r="AXL26" s="583"/>
      <c r="AXM26" s="583"/>
      <c r="AXN26" s="583"/>
      <c r="AXO26" s="583"/>
      <c r="AXP26" s="583"/>
      <c r="AXQ26" s="583"/>
      <c r="AXR26" s="583"/>
      <c r="AXS26" s="583"/>
      <c r="AXT26" s="583"/>
      <c r="AXU26" s="583"/>
      <c r="AXV26" s="583"/>
      <c r="AXW26" s="583"/>
      <c r="AXX26" s="583"/>
      <c r="AXY26" s="583"/>
      <c r="AXZ26" s="583"/>
      <c r="AYA26" s="583"/>
      <c r="AYB26" s="583"/>
      <c r="AYC26" s="583"/>
      <c r="AYD26" s="583"/>
      <c r="AYE26" s="583"/>
      <c r="AYF26" s="583"/>
      <c r="AYG26" s="583"/>
      <c r="AYH26" s="583"/>
      <c r="AYI26" s="583"/>
      <c r="AYJ26" s="583"/>
      <c r="AYK26" s="583"/>
      <c r="AYL26" s="583"/>
      <c r="AYM26" s="583"/>
      <c r="AYN26" s="583"/>
      <c r="AYO26" s="583"/>
      <c r="AYP26" s="583"/>
      <c r="AYQ26" s="583"/>
      <c r="AYR26" s="583"/>
      <c r="AYS26" s="583"/>
      <c r="AYT26" s="583"/>
      <c r="AYU26" s="583"/>
      <c r="AYV26" s="583"/>
      <c r="AYW26" s="583"/>
      <c r="AYX26" s="583"/>
      <c r="AYY26" s="583"/>
      <c r="AYZ26" s="583"/>
      <c r="AZA26" s="583"/>
      <c r="AZB26" s="583"/>
      <c r="AZC26" s="583"/>
      <c r="AZD26" s="583"/>
      <c r="AZE26" s="583"/>
      <c r="AZF26" s="583"/>
      <c r="AZG26" s="583"/>
      <c r="AZH26" s="583"/>
      <c r="AZI26" s="583"/>
      <c r="AZJ26" s="583"/>
      <c r="AZK26" s="583"/>
      <c r="AZL26" s="583"/>
      <c r="AZM26" s="583"/>
      <c r="AZN26" s="583"/>
      <c r="AZO26" s="583"/>
      <c r="AZP26" s="583"/>
      <c r="AZQ26" s="583"/>
      <c r="AZR26" s="583"/>
      <c r="AZS26" s="583"/>
      <c r="AZT26" s="583"/>
      <c r="AZU26" s="583"/>
      <c r="AZV26" s="583"/>
      <c r="AZW26" s="583"/>
      <c r="AZX26" s="583"/>
      <c r="AZY26" s="583"/>
      <c r="AZZ26" s="583"/>
      <c r="BAA26" s="583"/>
      <c r="BAB26" s="583"/>
      <c r="BAC26" s="583"/>
      <c r="BAD26" s="583"/>
      <c r="BAE26" s="583"/>
      <c r="BAF26" s="583"/>
      <c r="BAG26" s="583"/>
      <c r="BAH26" s="583"/>
      <c r="BAI26" s="583"/>
      <c r="BAJ26" s="583"/>
      <c r="BAK26" s="583"/>
      <c r="BAL26" s="583"/>
      <c r="BAM26" s="583"/>
      <c r="BAN26" s="583"/>
      <c r="BAO26" s="583"/>
      <c r="BAP26" s="583"/>
      <c r="BAQ26" s="583"/>
      <c r="BAR26" s="583"/>
      <c r="BAS26" s="583"/>
      <c r="BAT26" s="583"/>
      <c r="BAU26" s="583"/>
      <c r="BAV26" s="583"/>
      <c r="BAW26" s="583"/>
      <c r="BAX26" s="583"/>
      <c r="BAY26" s="583"/>
      <c r="BAZ26" s="583"/>
      <c r="BBA26" s="583"/>
      <c r="BBB26" s="583"/>
      <c r="BBC26" s="583"/>
      <c r="BBD26" s="583"/>
      <c r="BBE26" s="583"/>
      <c r="BBF26" s="583"/>
      <c r="BBG26" s="583"/>
      <c r="BBH26" s="583"/>
      <c r="BBI26" s="583"/>
      <c r="BBJ26" s="583"/>
      <c r="BBK26" s="583"/>
      <c r="BBL26" s="583"/>
      <c r="BBM26" s="583"/>
      <c r="BBN26" s="583"/>
      <c r="BBO26" s="583"/>
      <c r="BBP26" s="583"/>
      <c r="BBQ26" s="583"/>
      <c r="BBR26" s="583"/>
      <c r="BBS26" s="583"/>
      <c r="BBT26" s="583"/>
      <c r="BBU26" s="583"/>
      <c r="BBV26" s="583"/>
      <c r="BBW26" s="583"/>
      <c r="BBX26" s="583"/>
      <c r="BBY26" s="583"/>
      <c r="BBZ26" s="583"/>
      <c r="BCA26" s="583"/>
      <c r="BCB26" s="583"/>
      <c r="BCC26" s="583"/>
      <c r="BCD26" s="583"/>
      <c r="BCE26" s="583"/>
      <c r="BCF26" s="583"/>
      <c r="BCG26" s="583"/>
      <c r="BCH26" s="583"/>
      <c r="BCI26" s="583"/>
      <c r="BCJ26" s="583"/>
      <c r="BCK26" s="583"/>
      <c r="BCL26" s="583"/>
      <c r="BCM26" s="583"/>
      <c r="BCN26" s="583"/>
      <c r="BCO26" s="583"/>
      <c r="BCP26" s="583"/>
      <c r="BCQ26" s="583"/>
      <c r="BCR26" s="583"/>
      <c r="BCS26" s="583"/>
      <c r="BCT26" s="583"/>
      <c r="BCU26" s="583"/>
      <c r="BCV26" s="583"/>
      <c r="BCW26" s="583"/>
      <c r="BCX26" s="583"/>
      <c r="BCY26" s="583"/>
      <c r="BCZ26" s="583"/>
      <c r="BDA26" s="583"/>
      <c r="BDB26" s="583"/>
      <c r="BDC26" s="583"/>
      <c r="BDD26" s="583"/>
      <c r="BDE26" s="583"/>
      <c r="BDF26" s="583"/>
      <c r="BDG26" s="583"/>
      <c r="BDH26" s="583"/>
      <c r="BDI26" s="583"/>
      <c r="BDJ26" s="583"/>
      <c r="BDK26" s="583"/>
      <c r="BDL26" s="583"/>
      <c r="BDM26" s="583"/>
      <c r="BDN26" s="583"/>
      <c r="BDO26" s="583"/>
      <c r="BDP26" s="583"/>
      <c r="BDQ26" s="583"/>
      <c r="BDR26" s="583"/>
      <c r="BDS26" s="583"/>
      <c r="BDT26" s="583"/>
      <c r="BDU26" s="583"/>
      <c r="BDV26" s="583"/>
      <c r="BDW26" s="583"/>
      <c r="BDX26" s="583"/>
      <c r="BDY26" s="583"/>
      <c r="BDZ26" s="583"/>
      <c r="BEA26" s="583"/>
      <c r="BEB26" s="583"/>
      <c r="BEC26" s="583"/>
      <c r="BED26" s="583"/>
      <c r="BEE26" s="583"/>
      <c r="BEF26" s="583"/>
      <c r="BEG26" s="583"/>
      <c r="BEH26" s="583"/>
      <c r="BEI26" s="583"/>
      <c r="BEJ26" s="583"/>
      <c r="BEK26" s="583"/>
      <c r="BEL26" s="583"/>
      <c r="BEM26" s="583"/>
      <c r="BEN26" s="583"/>
      <c r="BEO26" s="583"/>
      <c r="BEP26" s="583"/>
      <c r="BEQ26" s="583"/>
      <c r="BER26" s="583"/>
      <c r="BES26" s="583"/>
      <c r="BET26" s="583"/>
      <c r="BEU26" s="583"/>
      <c r="BEV26" s="583"/>
      <c r="BEW26" s="583"/>
      <c r="BEX26" s="583"/>
      <c r="BEY26" s="583"/>
      <c r="BEZ26" s="583"/>
      <c r="BFA26" s="583"/>
      <c r="BFB26" s="583"/>
      <c r="BFC26" s="583"/>
      <c r="BFD26" s="583"/>
      <c r="BFE26" s="583"/>
      <c r="BFF26" s="583"/>
      <c r="BFG26" s="583"/>
      <c r="BFH26" s="583"/>
      <c r="BFI26" s="583"/>
      <c r="BFJ26" s="583"/>
      <c r="BFK26" s="583"/>
      <c r="BFL26" s="583"/>
      <c r="BFM26" s="583"/>
      <c r="BFN26" s="583"/>
      <c r="BFO26" s="583"/>
      <c r="BFP26" s="583"/>
      <c r="BFQ26" s="583"/>
      <c r="BFR26" s="583"/>
      <c r="BFS26" s="583"/>
      <c r="BFT26" s="583"/>
      <c r="BFU26" s="583"/>
      <c r="BFV26" s="583"/>
      <c r="BFW26" s="583"/>
      <c r="BFX26" s="583"/>
      <c r="BFY26" s="583"/>
      <c r="BFZ26" s="583"/>
      <c r="BGA26" s="583"/>
      <c r="BGB26" s="583"/>
      <c r="BGC26" s="583"/>
      <c r="BGD26" s="583"/>
      <c r="BGE26" s="583"/>
      <c r="BGF26" s="583"/>
      <c r="BGG26" s="583"/>
      <c r="BGH26" s="583"/>
      <c r="BGI26" s="583"/>
      <c r="BGJ26" s="583"/>
      <c r="BGK26" s="583"/>
      <c r="BGL26" s="583"/>
      <c r="BGM26" s="583"/>
      <c r="BGN26" s="583"/>
      <c r="BGO26" s="583"/>
      <c r="BGP26" s="583"/>
      <c r="BGQ26" s="583"/>
      <c r="BGR26" s="583"/>
      <c r="BGS26" s="583"/>
      <c r="BGT26" s="583"/>
      <c r="BGU26" s="583"/>
      <c r="BGV26" s="583"/>
      <c r="BGW26" s="583"/>
      <c r="BGX26" s="583"/>
      <c r="BGY26" s="583"/>
      <c r="BGZ26" s="583"/>
      <c r="BHA26" s="583"/>
      <c r="BHB26" s="583"/>
      <c r="BHC26" s="583"/>
      <c r="BHD26" s="583"/>
      <c r="BHE26" s="583"/>
      <c r="BHF26" s="583"/>
      <c r="BHG26" s="583"/>
      <c r="BHH26" s="583"/>
      <c r="BHI26" s="583"/>
      <c r="BHJ26" s="583"/>
      <c r="BHK26" s="583"/>
      <c r="BHL26" s="583"/>
      <c r="BHM26" s="583"/>
      <c r="BHN26" s="583"/>
      <c r="BHO26" s="583"/>
      <c r="BHP26" s="583"/>
      <c r="BHQ26" s="583"/>
      <c r="BHR26" s="583"/>
      <c r="BHS26" s="583"/>
      <c r="BHT26" s="583"/>
      <c r="BHU26" s="583"/>
      <c r="BHV26" s="583"/>
      <c r="BHW26" s="583"/>
      <c r="BHX26" s="583"/>
      <c r="BHY26" s="583"/>
      <c r="BHZ26" s="583"/>
      <c r="BIA26" s="583"/>
      <c r="BIB26" s="583"/>
      <c r="BIC26" s="583"/>
      <c r="BID26" s="583"/>
      <c r="BIE26" s="583"/>
      <c r="BIF26" s="583"/>
      <c r="BIG26" s="583"/>
      <c r="BIH26" s="583"/>
      <c r="BII26" s="583"/>
      <c r="BIJ26" s="583"/>
      <c r="BIK26" s="583"/>
      <c r="BIL26" s="583"/>
      <c r="BIM26" s="583"/>
      <c r="BIN26" s="583"/>
      <c r="BIO26" s="583"/>
      <c r="BIP26" s="583"/>
      <c r="BIQ26" s="583"/>
      <c r="BIR26" s="583"/>
      <c r="BIS26" s="583"/>
      <c r="BIT26" s="583"/>
      <c r="BIU26" s="583"/>
      <c r="BIV26" s="583"/>
      <c r="BIW26" s="583"/>
      <c r="BIX26" s="583"/>
      <c r="BIY26" s="583"/>
      <c r="BIZ26" s="583"/>
      <c r="BJA26" s="583"/>
      <c r="BJB26" s="583"/>
      <c r="BJC26" s="583"/>
      <c r="BJD26" s="583"/>
      <c r="BJE26" s="583"/>
      <c r="BJF26" s="583"/>
      <c r="BJG26" s="583"/>
      <c r="BJH26" s="583"/>
      <c r="BJI26" s="583"/>
      <c r="BJJ26" s="583"/>
      <c r="BJK26" s="583"/>
      <c r="BJL26" s="583"/>
      <c r="BJM26" s="583"/>
      <c r="BJN26" s="583"/>
      <c r="BJO26" s="583"/>
      <c r="BJP26" s="583"/>
      <c r="BJQ26" s="583"/>
      <c r="BJR26" s="583"/>
      <c r="BJS26" s="583"/>
      <c r="BJT26" s="583"/>
      <c r="BJU26" s="583"/>
      <c r="BJV26" s="583"/>
      <c r="BJW26" s="583"/>
      <c r="BJX26" s="583"/>
      <c r="BJY26" s="583"/>
      <c r="BJZ26" s="583"/>
      <c r="BKA26" s="583"/>
      <c r="BKB26" s="583"/>
      <c r="BKC26" s="583"/>
      <c r="BKD26" s="583"/>
      <c r="BKE26" s="583"/>
      <c r="BKF26" s="583"/>
      <c r="BKG26" s="583"/>
      <c r="BKH26" s="583"/>
      <c r="BKI26" s="583"/>
      <c r="BKJ26" s="583"/>
      <c r="BKK26" s="583"/>
      <c r="BKL26" s="583"/>
      <c r="BKM26" s="583"/>
      <c r="BKN26" s="583"/>
      <c r="BKO26" s="583"/>
      <c r="BKP26" s="583"/>
      <c r="BKQ26" s="583"/>
      <c r="BKR26" s="583"/>
      <c r="BKS26" s="583"/>
      <c r="BKT26" s="583"/>
      <c r="BKU26" s="583"/>
      <c r="BKV26" s="583"/>
      <c r="BKW26" s="583"/>
      <c r="BKX26" s="583"/>
      <c r="BKY26" s="583"/>
      <c r="BKZ26" s="583"/>
      <c r="BLA26" s="583"/>
      <c r="BLB26" s="583"/>
      <c r="BLC26" s="583"/>
      <c r="BLD26" s="583"/>
      <c r="BLE26" s="583"/>
      <c r="BLF26" s="583"/>
      <c r="BLG26" s="583"/>
      <c r="BLH26" s="583"/>
      <c r="BLI26" s="583"/>
      <c r="BLJ26" s="583"/>
      <c r="BLK26" s="583"/>
      <c r="BLL26" s="583"/>
      <c r="BLM26" s="583"/>
      <c r="BLN26" s="583"/>
      <c r="BLO26" s="583"/>
      <c r="BLP26" s="583"/>
      <c r="BLQ26" s="583"/>
      <c r="BLR26" s="583"/>
      <c r="BLS26" s="583"/>
      <c r="BLT26" s="583"/>
      <c r="BLU26" s="583"/>
      <c r="BLV26" s="583"/>
      <c r="BLW26" s="583"/>
      <c r="BLX26" s="583"/>
      <c r="BLY26" s="583"/>
      <c r="BLZ26" s="583"/>
      <c r="BMA26" s="583"/>
      <c r="BMB26" s="583"/>
      <c r="BMC26" s="583"/>
      <c r="BMD26" s="583"/>
      <c r="BME26" s="583"/>
      <c r="BMF26" s="583"/>
      <c r="BMG26" s="583"/>
      <c r="BMH26" s="583"/>
      <c r="BMI26" s="583"/>
      <c r="BMJ26" s="583"/>
      <c r="BMK26" s="583"/>
      <c r="BML26" s="583"/>
      <c r="BMM26" s="583"/>
      <c r="BMN26" s="583"/>
      <c r="BMO26" s="583"/>
      <c r="BMP26" s="583"/>
      <c r="BMQ26" s="583"/>
      <c r="BMR26" s="583"/>
      <c r="BMS26" s="583"/>
      <c r="BMT26" s="583"/>
      <c r="BMU26" s="583"/>
      <c r="BMV26" s="583"/>
      <c r="BMW26" s="583"/>
      <c r="BMX26" s="583"/>
      <c r="BMY26" s="583"/>
      <c r="BMZ26" s="583"/>
      <c r="BNA26" s="583"/>
      <c r="BNB26" s="583"/>
      <c r="BNC26" s="583"/>
      <c r="BND26" s="583"/>
      <c r="BNE26" s="583"/>
      <c r="BNF26" s="583"/>
      <c r="BNG26" s="583"/>
      <c r="BNH26" s="583"/>
      <c r="BNI26" s="583"/>
      <c r="BNJ26" s="583"/>
      <c r="BNK26" s="583"/>
      <c r="BNL26" s="583"/>
      <c r="BNM26" s="583"/>
      <c r="BNN26" s="583"/>
      <c r="BNO26" s="583"/>
      <c r="BNP26" s="583"/>
      <c r="BNQ26" s="583"/>
      <c r="BNR26" s="583"/>
      <c r="BNS26" s="583"/>
      <c r="BNT26" s="583"/>
      <c r="BNU26" s="583"/>
      <c r="BNV26" s="583"/>
      <c r="BNW26" s="583"/>
      <c r="BNX26" s="583"/>
      <c r="BNY26" s="583"/>
      <c r="BNZ26" s="583"/>
      <c r="BOA26" s="583"/>
      <c r="BOB26" s="583"/>
      <c r="BOC26" s="583"/>
      <c r="BOD26" s="583"/>
      <c r="BOE26" s="583"/>
      <c r="BOF26" s="583"/>
      <c r="BOG26" s="583"/>
      <c r="BOH26" s="583"/>
      <c r="BOI26" s="583"/>
      <c r="BOJ26" s="583"/>
      <c r="BOK26" s="583"/>
      <c r="BOL26" s="583"/>
      <c r="BOM26" s="583"/>
      <c r="BON26" s="583"/>
      <c r="BOO26" s="583"/>
      <c r="BOP26" s="583"/>
      <c r="BOQ26" s="583"/>
      <c r="BOR26" s="583"/>
      <c r="BOS26" s="583"/>
      <c r="BOT26" s="583"/>
      <c r="BOU26" s="583"/>
      <c r="BOV26" s="583"/>
      <c r="BOW26" s="583"/>
      <c r="BOX26" s="583"/>
      <c r="BOY26" s="583"/>
      <c r="BOZ26" s="583"/>
      <c r="BPA26" s="583"/>
      <c r="BPB26" s="583"/>
      <c r="BPC26" s="583"/>
      <c r="BPD26" s="583"/>
      <c r="BPE26" s="583"/>
      <c r="BPF26" s="583"/>
      <c r="BPG26" s="583"/>
      <c r="BPH26" s="583"/>
      <c r="BPI26" s="583"/>
      <c r="BPJ26" s="583"/>
      <c r="BPK26" s="583"/>
      <c r="BPL26" s="583"/>
      <c r="BPM26" s="583"/>
      <c r="BPN26" s="583"/>
      <c r="BPO26" s="583"/>
      <c r="BPP26" s="583"/>
      <c r="BPQ26" s="583"/>
      <c r="BPR26" s="583"/>
      <c r="BPS26" s="583"/>
      <c r="BPT26" s="583"/>
      <c r="BPU26" s="583"/>
      <c r="BPV26" s="583"/>
      <c r="BPW26" s="583"/>
      <c r="BPX26" s="583"/>
      <c r="BPY26" s="583"/>
      <c r="BPZ26" s="583"/>
      <c r="BQA26" s="583"/>
      <c r="BQB26" s="583"/>
      <c r="BQC26" s="583"/>
      <c r="BQD26" s="583"/>
      <c r="BQE26" s="583"/>
      <c r="BQF26" s="583"/>
      <c r="BQG26" s="583"/>
      <c r="BQH26" s="583"/>
      <c r="BQI26" s="583"/>
      <c r="BQJ26" s="583"/>
      <c r="BQK26" s="583"/>
      <c r="BQL26" s="583"/>
      <c r="BQM26" s="583"/>
      <c r="BQN26" s="583"/>
      <c r="BQO26" s="583"/>
      <c r="BQP26" s="583"/>
      <c r="BQQ26" s="583"/>
      <c r="BQR26" s="583"/>
      <c r="BQS26" s="583"/>
      <c r="BQT26" s="583"/>
      <c r="BQU26" s="583"/>
      <c r="BQV26" s="583"/>
      <c r="BQW26" s="583"/>
      <c r="BQX26" s="583"/>
      <c r="BQY26" s="583"/>
      <c r="BQZ26" s="583"/>
      <c r="BRA26" s="583"/>
      <c r="BRB26" s="583"/>
      <c r="BRC26" s="583"/>
      <c r="BRD26" s="583"/>
      <c r="BRE26" s="583"/>
      <c r="BRF26" s="583"/>
      <c r="BRG26" s="583"/>
      <c r="BRH26" s="583"/>
      <c r="BRI26" s="583"/>
      <c r="BRJ26" s="583"/>
      <c r="BRK26" s="583"/>
      <c r="BRL26" s="583"/>
      <c r="BRM26" s="583"/>
      <c r="BRN26" s="583"/>
      <c r="BRO26" s="583"/>
      <c r="BRP26" s="583"/>
      <c r="BRQ26" s="583"/>
      <c r="BRR26" s="583"/>
      <c r="BRS26" s="583"/>
      <c r="BRT26" s="583"/>
      <c r="BRU26" s="583"/>
      <c r="BRV26" s="583"/>
      <c r="BRW26" s="583"/>
      <c r="BRX26" s="583"/>
      <c r="BRY26" s="583"/>
      <c r="BRZ26" s="583"/>
      <c r="BSA26" s="583"/>
      <c r="BSB26" s="583"/>
      <c r="BSC26" s="583"/>
      <c r="BSD26" s="583"/>
      <c r="BSE26" s="583"/>
      <c r="BSF26" s="583"/>
      <c r="BSG26" s="583"/>
      <c r="BSH26" s="583"/>
      <c r="BSI26" s="583"/>
      <c r="BSJ26" s="583"/>
      <c r="BSK26" s="583"/>
      <c r="BSL26" s="583"/>
      <c r="BSM26" s="583"/>
      <c r="BSN26" s="583"/>
      <c r="BSO26" s="583"/>
      <c r="BSP26" s="583"/>
      <c r="BSQ26" s="583"/>
      <c r="BSR26" s="583"/>
      <c r="BSS26" s="583"/>
      <c r="BST26" s="583"/>
      <c r="BSU26" s="583"/>
      <c r="BSV26" s="583"/>
      <c r="BSW26" s="583"/>
      <c r="BSX26" s="583"/>
      <c r="BSY26" s="583"/>
      <c r="BSZ26" s="583"/>
      <c r="BTA26" s="583"/>
      <c r="BTB26" s="583"/>
      <c r="BTC26" s="583"/>
      <c r="BTD26" s="583"/>
      <c r="BTE26" s="583"/>
      <c r="BTF26" s="583"/>
      <c r="BTG26" s="583"/>
      <c r="BTH26" s="583"/>
      <c r="BTI26" s="583"/>
      <c r="BTJ26" s="583"/>
      <c r="BTK26" s="583"/>
      <c r="BTL26" s="583"/>
      <c r="BTM26" s="583"/>
      <c r="BTN26" s="583"/>
      <c r="BTO26" s="583"/>
      <c r="BTP26" s="583"/>
      <c r="BTQ26" s="583"/>
      <c r="BTR26" s="583"/>
      <c r="BTS26" s="583"/>
      <c r="BTT26" s="583"/>
      <c r="BTU26" s="583"/>
      <c r="BTV26" s="583"/>
      <c r="BTW26" s="583"/>
      <c r="BTX26" s="583"/>
      <c r="BTY26" s="583"/>
      <c r="BTZ26" s="583"/>
      <c r="BUA26" s="583"/>
      <c r="BUB26" s="583"/>
      <c r="BUC26" s="583"/>
      <c r="BUD26" s="583"/>
      <c r="BUE26" s="583"/>
      <c r="BUF26" s="583"/>
      <c r="BUG26" s="583"/>
      <c r="BUH26" s="583"/>
      <c r="BUI26" s="583"/>
      <c r="BUJ26" s="583"/>
      <c r="BUK26" s="583"/>
      <c r="BUL26" s="583"/>
      <c r="BUM26" s="583"/>
      <c r="BUN26" s="583"/>
      <c r="BUO26" s="583"/>
      <c r="BUP26" s="583"/>
      <c r="BUQ26" s="583"/>
      <c r="BUR26" s="583"/>
      <c r="BUS26" s="583"/>
      <c r="BUT26" s="583"/>
      <c r="BUU26" s="583"/>
      <c r="BUV26" s="583"/>
      <c r="BUW26" s="583"/>
      <c r="BUX26" s="583"/>
      <c r="BUY26" s="583"/>
      <c r="BUZ26" s="583"/>
      <c r="BVA26" s="583"/>
      <c r="BVB26" s="583"/>
      <c r="BVC26" s="583"/>
      <c r="BVD26" s="583"/>
      <c r="BVE26" s="583"/>
      <c r="BVF26" s="583"/>
      <c r="BVG26" s="583"/>
      <c r="BVH26" s="583"/>
      <c r="BVI26" s="583"/>
      <c r="BVJ26" s="583"/>
      <c r="BVK26" s="583"/>
      <c r="BVL26" s="583"/>
      <c r="BVM26" s="583"/>
      <c r="BVN26" s="583"/>
      <c r="BVO26" s="583"/>
      <c r="BVP26" s="583"/>
      <c r="BVQ26" s="583"/>
      <c r="BVR26" s="583"/>
      <c r="BVS26" s="583"/>
      <c r="BVT26" s="583"/>
      <c r="BVU26" s="583"/>
      <c r="BVV26" s="583"/>
      <c r="BVW26" s="583"/>
      <c r="BVX26" s="583"/>
      <c r="BVY26" s="583"/>
      <c r="BVZ26" s="583"/>
      <c r="BWA26" s="583"/>
      <c r="BWB26" s="583"/>
      <c r="BWC26" s="583"/>
      <c r="BWD26" s="583"/>
      <c r="BWE26" s="583"/>
      <c r="BWF26" s="583"/>
      <c r="BWG26" s="583"/>
      <c r="BWH26" s="583"/>
      <c r="BWI26" s="583"/>
      <c r="BWJ26" s="583"/>
      <c r="BWK26" s="583"/>
      <c r="BWL26" s="583"/>
      <c r="BWM26" s="583"/>
      <c r="BWN26" s="583"/>
      <c r="BWO26" s="583"/>
      <c r="BWP26" s="583"/>
      <c r="BWQ26" s="583"/>
      <c r="BWR26" s="583"/>
      <c r="BWS26" s="583"/>
      <c r="BWT26" s="583"/>
      <c r="BWU26" s="583"/>
      <c r="BWV26" s="583"/>
      <c r="BWW26" s="583"/>
      <c r="BWX26" s="583"/>
      <c r="BWY26" s="583"/>
      <c r="BWZ26" s="583"/>
      <c r="BXA26" s="583"/>
      <c r="BXB26" s="583"/>
      <c r="BXC26" s="583"/>
      <c r="BXD26" s="583"/>
      <c r="BXE26" s="583"/>
      <c r="BXF26" s="583"/>
      <c r="BXG26" s="583"/>
      <c r="BXH26" s="583"/>
      <c r="BXI26" s="583"/>
      <c r="BXJ26" s="583"/>
      <c r="BXK26" s="583"/>
      <c r="BXL26" s="583"/>
      <c r="BXM26" s="583"/>
      <c r="BXN26" s="583"/>
      <c r="BXO26" s="583"/>
      <c r="BXP26" s="583"/>
      <c r="BXQ26" s="583"/>
      <c r="BXR26" s="583"/>
      <c r="BXS26" s="583"/>
      <c r="BXT26" s="583"/>
      <c r="BXU26" s="583"/>
      <c r="BXV26" s="583"/>
      <c r="BXW26" s="583"/>
      <c r="BXX26" s="583"/>
      <c r="BXY26" s="583"/>
      <c r="BXZ26" s="583"/>
      <c r="BYA26" s="583"/>
      <c r="BYB26" s="583"/>
      <c r="BYC26" s="583"/>
      <c r="BYD26" s="583"/>
      <c r="BYE26" s="583"/>
      <c r="BYF26" s="583"/>
      <c r="BYG26" s="583"/>
      <c r="BYH26" s="583"/>
      <c r="BYI26" s="583"/>
      <c r="BYJ26" s="583"/>
      <c r="BYK26" s="583"/>
      <c r="BYL26" s="583"/>
      <c r="BYM26" s="583"/>
      <c r="BYN26" s="583"/>
      <c r="BYO26" s="583"/>
      <c r="BYP26" s="583"/>
      <c r="BYQ26" s="583"/>
      <c r="BYR26" s="583"/>
      <c r="BYS26" s="583"/>
      <c r="BYT26" s="583"/>
      <c r="BYU26" s="583"/>
      <c r="BYV26" s="583"/>
      <c r="BYW26" s="583"/>
      <c r="BYX26" s="583"/>
      <c r="BYY26" s="583"/>
      <c r="BYZ26" s="583"/>
      <c r="BZA26" s="583"/>
      <c r="BZB26" s="583"/>
      <c r="BZC26" s="583"/>
      <c r="BZD26" s="583"/>
      <c r="BZE26" s="583"/>
      <c r="BZF26" s="583"/>
      <c r="BZG26" s="583"/>
      <c r="BZH26" s="583"/>
      <c r="BZI26" s="583"/>
      <c r="BZJ26" s="583"/>
      <c r="BZK26" s="583"/>
      <c r="BZL26" s="583"/>
      <c r="BZM26" s="583"/>
      <c r="BZN26" s="583"/>
      <c r="BZO26" s="583"/>
      <c r="BZP26" s="583"/>
      <c r="BZQ26" s="583"/>
      <c r="BZR26" s="583"/>
      <c r="BZS26" s="583"/>
      <c r="BZT26" s="583"/>
      <c r="BZU26" s="583"/>
      <c r="BZV26" s="583"/>
      <c r="BZW26" s="583"/>
      <c r="BZX26" s="583"/>
      <c r="BZY26" s="583"/>
      <c r="BZZ26" s="583"/>
      <c r="CAA26" s="583"/>
      <c r="CAB26" s="583"/>
      <c r="CAC26" s="583"/>
      <c r="CAD26" s="583"/>
      <c r="CAE26" s="583"/>
      <c r="CAF26" s="583"/>
      <c r="CAG26" s="583"/>
      <c r="CAH26" s="583"/>
      <c r="CAI26" s="583"/>
      <c r="CAJ26" s="583"/>
      <c r="CAK26" s="583"/>
      <c r="CAL26" s="583"/>
      <c r="CAM26" s="583"/>
      <c r="CAN26" s="583"/>
      <c r="CAO26" s="583"/>
      <c r="CAP26" s="583"/>
      <c r="CAQ26" s="583"/>
      <c r="CAR26" s="583"/>
      <c r="CAS26" s="583"/>
      <c r="CAT26" s="583"/>
      <c r="CAU26" s="583"/>
      <c r="CAV26" s="583"/>
      <c r="CAW26" s="583"/>
      <c r="CAX26" s="583"/>
      <c r="CAY26" s="583"/>
      <c r="CAZ26" s="583"/>
      <c r="CBA26" s="583"/>
      <c r="CBB26" s="583"/>
      <c r="CBC26" s="583"/>
      <c r="CBD26" s="583"/>
      <c r="CBE26" s="583"/>
      <c r="CBF26" s="583"/>
      <c r="CBG26" s="583"/>
      <c r="CBH26" s="583"/>
      <c r="CBI26" s="583"/>
      <c r="CBJ26" s="583"/>
      <c r="CBK26" s="583"/>
      <c r="CBL26" s="583"/>
      <c r="CBM26" s="583"/>
      <c r="CBN26" s="583"/>
      <c r="CBO26" s="583"/>
      <c r="CBP26" s="583"/>
      <c r="CBQ26" s="583"/>
      <c r="CBR26" s="583"/>
      <c r="CBS26" s="583"/>
      <c r="CBT26" s="583"/>
      <c r="CBU26" s="583"/>
      <c r="CBV26" s="583"/>
      <c r="CBW26" s="583"/>
      <c r="CBX26" s="583"/>
      <c r="CBY26" s="583"/>
      <c r="CBZ26" s="583"/>
    </row>
    <row r="27" spans="1:2106" ht="15.75" customHeight="1">
      <c r="A27" s="611"/>
      <c r="B27" s="617"/>
      <c r="C27" s="613">
        <f t="shared" si="0"/>
        <v>0</v>
      </c>
      <c r="D27" s="613">
        <f>IF(B27&gt;0,VLOOKUP(A27,'Lista Suspensa'!$A$1:$F$92,3,),0)</f>
        <v>0</v>
      </c>
      <c r="E27" s="613">
        <f>IF(OR(B27&gt;0,C27&gt;0),VLOOKUP(A27,'Lista Suspensa'!$A$1:$F$90,4,),0)</f>
        <v>0</v>
      </c>
      <c r="F27" s="613">
        <f>IF(OR(B27&gt;0,C27&gt;0),VLOOKUP(A27,'Lista Suspensa'!$A$1:$F$90,5,),0)</f>
        <v>0</v>
      </c>
      <c r="G27" s="402">
        <f>IF(OR(B27&gt;0,C27&gt;0),VLOOKUP(A27,'Lista Suspensa'!$A$1:$F$90,6,),0)</f>
        <v>0</v>
      </c>
      <c r="H27" s="617"/>
      <c r="I27" s="613">
        <f t="shared" si="12"/>
        <v>0</v>
      </c>
      <c r="J27" s="613">
        <f>IF(H27&gt;0,VLOOKUP(A27,'Lista Suspensa'!$A$1:$F$92,3,),0)</f>
        <v>0</v>
      </c>
      <c r="K27" s="613">
        <f>IF(OR(H27&gt;0,I27&gt;0),VLOOKUP(A27,'Lista Suspensa'!$A$1:$F$90,4,),0)</f>
        <v>0</v>
      </c>
      <c r="L27" s="613">
        <f>IF(OR(H27&gt;0,I27&gt;0),VLOOKUP(A27,'Lista Suspensa'!$A$1:$F$90,5,),0)</f>
        <v>0</v>
      </c>
      <c r="M27" s="402">
        <f>IF(OR(H27&gt;0,I27&gt;0),VLOOKUP(A27,'Lista Suspensa'!$A$1:$F$90,6,),0)</f>
        <v>0</v>
      </c>
      <c r="N27" s="624"/>
      <c r="O27" s="613">
        <f t="shared" si="1"/>
        <v>0</v>
      </c>
      <c r="P27" s="613">
        <f>IF(N27&gt;0,VLOOKUP(A27,'Lista Suspensa'!$A$1:$F$92,3,),0)</f>
        <v>0</v>
      </c>
      <c r="Q27" s="613">
        <f>IF(OR(N27&gt;0,O27&gt;0),VLOOKUP(A27,'Lista Suspensa'!$A$1:$F$90,4,),0)</f>
        <v>0</v>
      </c>
      <c r="R27" s="613">
        <f>IF(OR(N27&gt;0,O27&gt;0),VLOOKUP(A27,'Lista Suspensa'!$A$1:$F$90,5,),0)</f>
        <v>0</v>
      </c>
      <c r="S27" s="402">
        <f>IF(OR(N27&gt;0,O27&gt;0),VLOOKUP(A27,'Lista Suspensa'!$A$1:$F$90,6,),0)</f>
        <v>0</v>
      </c>
      <c r="T27" s="624"/>
      <c r="U27" s="613">
        <f t="shared" si="2"/>
        <v>0</v>
      </c>
      <c r="V27" s="613">
        <f>IF(T27&gt;0,VLOOKUP(A27,'Lista Suspensa'!$A$1:$F$92,3,),0)</f>
        <v>0</v>
      </c>
      <c r="W27" s="613">
        <f>IF(OR(T27&gt;0,U27&gt;0),VLOOKUP(A27,'Lista Suspensa'!$A$1:$F$90,4,),0)</f>
        <v>0</v>
      </c>
      <c r="X27" s="613">
        <f>IF(OR(T27&gt;0,U27&gt;0),VLOOKUP(A27,'Lista Suspensa'!$A$1:$F$90,5,),0)</f>
        <v>0</v>
      </c>
      <c r="Y27" s="402">
        <f>IF(OR(T27&gt;0,U27&gt;0),VLOOKUP(A27,'Lista Suspensa'!$A$1:$F$90,6,),0)</f>
        <v>0</v>
      </c>
      <c r="Z27" s="617"/>
      <c r="AA27" s="613">
        <f t="shared" si="3"/>
        <v>0</v>
      </c>
      <c r="AB27" s="613">
        <f>IF(Z27&gt;0,VLOOKUP(A27,'Lista Suspensa'!$A$1:$F$92,3,),0)</f>
        <v>0</v>
      </c>
      <c r="AC27" s="613">
        <f>IF(OR(Z27&gt;0,AA27&gt;0),VLOOKUP(A27,'Lista Suspensa'!$A$1:$F$90,4,),0)</f>
        <v>0</v>
      </c>
      <c r="AD27" s="613">
        <f>IF(OR(Z27&gt;0,AA27&gt;0),VLOOKUP(A27,'Lista Suspensa'!$A$1:$F$90,5,),0)</f>
        <v>0</v>
      </c>
      <c r="AE27" s="402">
        <f>IF(OR(Z27&gt;0,AA27&gt;0),VLOOKUP(A27,'Lista Suspensa'!$A$1:$F$90,6,),0)</f>
        <v>0</v>
      </c>
      <c r="AF27" s="617"/>
      <c r="AG27" s="613">
        <f t="shared" si="13"/>
        <v>0</v>
      </c>
      <c r="AH27" s="613">
        <f>IF(AF27&gt;0,VLOOKUP(A27,'Lista Suspensa'!$A$1:$F$92,3,),0)</f>
        <v>0</v>
      </c>
      <c r="AI27" s="613">
        <f>IF(OR(AF27&gt;0,AG27&gt;0),VLOOKUP(A27,'Lista Suspensa'!$A$1:$F$90,4,),0)</f>
        <v>0</v>
      </c>
      <c r="AJ27" s="613">
        <f>IF(OR(AF27&gt;0,AG27&gt;0),VLOOKUP(A27,'Lista Suspensa'!$A$1:$F$90,5,),0)</f>
        <v>0</v>
      </c>
      <c r="AK27" s="402">
        <f>IF(OR(AF27&gt;0,AG27&gt;0),VLOOKUP(A27,'Lista Suspensa'!$A$1:$F$90,6,),0)</f>
        <v>0</v>
      </c>
      <c r="AL27" s="624"/>
      <c r="AM27" s="613">
        <f t="shared" si="4"/>
        <v>0</v>
      </c>
      <c r="AN27" s="613">
        <f>IF(AL27&gt;0,VLOOKUP(A27,'Lista Suspensa'!$A$1:$F$92,3,),0)</f>
        <v>0</v>
      </c>
      <c r="AO27" s="613">
        <f>IF(OR(AL27&gt;0,AM27&gt;0),VLOOKUP(A27,'Lista Suspensa'!$A$1:$F$90,4,),0)</f>
        <v>0</v>
      </c>
      <c r="AP27" s="613">
        <f>IF(OR(AL27&gt;0,AM27&gt;0),VLOOKUP(A27,'Lista Suspensa'!$A$1:$F$90,5,),0)</f>
        <v>0</v>
      </c>
      <c r="AQ27" s="402">
        <f>IF(OR(AL27&gt;0,AM27&gt;0),VLOOKUP(A27,'Lista Suspensa'!$A$1:$F$90,6,),0)</f>
        <v>0</v>
      </c>
      <c r="AR27" s="624"/>
      <c r="AS27" s="613">
        <f t="shared" si="14"/>
        <v>0</v>
      </c>
      <c r="AT27" s="613">
        <f>IF(AR27&gt;0,VLOOKUP(A27,'Lista Suspensa'!$A$1:$F$92,3,),0)</f>
        <v>0</v>
      </c>
      <c r="AU27" s="613">
        <f>IF(OR(AR27&gt;0,AS27&gt;0),VLOOKUP(A27,'Lista Suspensa'!$A$1:$F$90,4,),0)</f>
        <v>0</v>
      </c>
      <c r="AV27" s="613">
        <f>IF(OR(AR27&gt;0,AS27&gt;0),VLOOKUP(A27,'Lista Suspensa'!$A$1:$F$90,5,),0)</f>
        <v>0</v>
      </c>
      <c r="AW27" s="37">
        <f>IF(OR(AR27&gt;0,AS27&gt;0),VLOOKUP(A27,'Lista Suspensa'!$A$1:$F$90,6,),0)</f>
        <v>0</v>
      </c>
      <c r="AX27" s="624"/>
      <c r="AY27" s="613">
        <f t="shared" si="5"/>
        <v>0</v>
      </c>
      <c r="AZ27" s="613">
        <f>IF(AX27&gt;0,VLOOKUP(A27,'Lista Suspensa'!$A$1:$F$92,3,),0)</f>
        <v>0</v>
      </c>
      <c r="BA27" s="613">
        <f>IF(OR(AX27&gt;0,AY27&gt;0),VLOOKUP(A27,'Lista Suspensa'!$A$1:$F$90,4,),0)</f>
        <v>0</v>
      </c>
      <c r="BB27" s="613">
        <f>IF(OR(AX27&gt;0,AY27&gt;0),VLOOKUP(A27,'Lista Suspensa'!$A$1:$F$90,5,),0)</f>
        <v>0</v>
      </c>
      <c r="BC27" s="37">
        <f>IF(OR(AX27&gt;0,AY27&gt;0),VLOOKUP(A27,'Lista Suspensa'!$A$1:$F$90,6,),0)</f>
        <v>0</v>
      </c>
      <c r="BD27" s="624"/>
      <c r="BE27" s="613">
        <f t="shared" si="6"/>
        <v>0</v>
      </c>
      <c r="BF27" s="613">
        <f>IF(BD27&gt;0,VLOOKUP(A27,'Lista Suspensa'!$A$1:$F$92,3,),0)</f>
        <v>0</v>
      </c>
      <c r="BG27" s="613">
        <f>IF(OR(BD27&gt;0,BE27&gt;0),VLOOKUP(A27,'Lista Suspensa'!$A$1:$F$90,4,),0)</f>
        <v>0</v>
      </c>
      <c r="BH27" s="613">
        <f>IF(OR(BD27&gt;0,BE27&gt;0),VLOOKUP(A27,'Lista Suspensa'!$A$1:$F$90,5,),0)</f>
        <v>0</v>
      </c>
      <c r="BI27" s="37">
        <f>IF(OR(BD27&gt;0,BE27&gt;0),VLOOKUP(A27,'Lista Suspensa'!$A$1:$F$90,6,),0)</f>
        <v>0</v>
      </c>
      <c r="BJ27" s="624"/>
      <c r="BK27" s="613">
        <f t="shared" si="7"/>
        <v>0</v>
      </c>
      <c r="BL27" s="613">
        <f>IF(BJ27&gt;0,VLOOKUP(A27,'Lista Suspensa'!$A$1:$F$92,3,),0)</f>
        <v>0</v>
      </c>
      <c r="BM27" s="613">
        <f>IF(OR(BJ27&gt;0,BK27&gt;0),VLOOKUP(A27,'Lista Suspensa'!$A$1:$F$90,4,),0)</f>
        <v>0</v>
      </c>
      <c r="BN27" s="613">
        <f>IF(OR(BJ27&gt;0,BK27&gt;0),VLOOKUP(A27,'Lista Suspensa'!$A$1:$F$90,5,),0)</f>
        <v>0</v>
      </c>
      <c r="BO27" s="37">
        <f>IF(OR(BJ27&gt;0,BK27&gt;0),VLOOKUP(A27,'Lista Suspensa'!$A$1:$F$90,6,),0)</f>
        <v>0</v>
      </c>
      <c r="BP27" s="624"/>
      <c r="BQ27" s="613">
        <f t="shared" si="8"/>
        <v>0</v>
      </c>
      <c r="BR27" s="613">
        <f>IF(BP27&gt;0,VLOOKUP(A27,'Lista Suspensa'!$A$1:$F$92,3,),0)</f>
        <v>0</v>
      </c>
      <c r="BS27" s="613">
        <f>IF(OR(BP27&gt;0,BQ27&gt;0),VLOOKUP(A27,'Lista Suspensa'!$A$1:$F$90,4,),0)</f>
        <v>0</v>
      </c>
      <c r="BT27" s="613">
        <f>IF(OR(BP27&gt;0,BQ27&gt;0),VLOOKUP(A27,'Lista Suspensa'!$A$1:$F$90,5,),0)</f>
        <v>0</v>
      </c>
      <c r="BU27" s="37">
        <f>IF(OR(BP27&gt;0,BQ27&gt;0),VLOOKUP(A27,'Lista Suspensa'!$A$1:$F$90,6,),0)</f>
        <v>0</v>
      </c>
      <c r="BV27" s="624"/>
      <c r="BW27" s="613">
        <f t="shared" si="9"/>
        <v>0</v>
      </c>
      <c r="BX27" s="613">
        <f>IF(BV27&gt;0,VLOOKUP(A27,'Lista Suspensa'!$A$1:$F$92,3,),0)</f>
        <v>0</v>
      </c>
      <c r="BY27" s="613">
        <f>IF(OR(BV27&gt;0,BW27&gt;0),VLOOKUP(A27,'Lista Suspensa'!$A$1:$F$90,4,),0)</f>
        <v>0</v>
      </c>
      <c r="BZ27" s="613">
        <f>IF(OR(BV27&gt;0,BW27&gt;0),VLOOKUP(A27,'Lista Suspensa'!$A$1:$F$90,5,),0)</f>
        <v>0</v>
      </c>
      <c r="CA27" s="37">
        <f>IF(OR(BV27&gt;0,BW27&gt;0),VLOOKUP(A27,'Lista Suspensa'!$A$1:$F$90,6,),0)</f>
        <v>0</v>
      </c>
      <c r="CB27" s="624"/>
      <c r="CC27" s="613">
        <f t="shared" si="10"/>
        <v>0</v>
      </c>
      <c r="CD27" s="613">
        <f>IF(CB27&gt;0,VLOOKUP(A27,'Lista Suspensa'!$A$1:$F$92,3,),0)</f>
        <v>0</v>
      </c>
      <c r="CE27" s="613">
        <f>IF(OR(CB27&gt;0,CC27&gt;0),VLOOKUP(A27,'Lista Suspensa'!$A$1:$F$90,4,),0)</f>
        <v>0</v>
      </c>
      <c r="CF27" s="613">
        <f>IF(OR(CB27&gt;0,CC27&gt;0),VLOOKUP(A27,'Lista Suspensa'!$A$1:$F$90,5,),0)</f>
        <v>0</v>
      </c>
      <c r="CG27" s="37">
        <f>IF(OR(CB27&gt;0,CC27&gt;0),VLOOKUP(A27,'Lista Suspensa'!$A$1:$F$90,6,),0)</f>
        <v>0</v>
      </c>
      <c r="CH27" s="624"/>
      <c r="CI27" s="613">
        <f t="shared" si="11"/>
        <v>0</v>
      </c>
      <c r="CJ27" s="613">
        <f>IF(CH27&gt;0,VLOOKUP(A27,'Lista Suspensa'!$A$1:$F$92,3,),0)</f>
        <v>0</v>
      </c>
      <c r="CK27" s="613">
        <f>IF(OR(CH27&gt;0,CI27&gt;0),VLOOKUP(A27,'Lista Suspensa'!$A$1:$F$90,4,),0)</f>
        <v>0</v>
      </c>
      <c r="CL27" s="613">
        <f>IF(OR(CH27&gt;0,CI27&gt;0),VLOOKUP(A27,'Lista Suspensa'!$A$1:$F$90,5,),0)</f>
        <v>0</v>
      </c>
      <c r="CM27" s="636">
        <f>IF(OR(CH27&gt;0,CI27&gt;0),VLOOKUP(A27,'Lista Suspensa'!$A$1:$F$90,6,),0)</f>
        <v>0</v>
      </c>
      <c r="CN27" s="645"/>
      <c r="CO27" s="403">
        <f t="shared" si="15"/>
        <v>0</v>
      </c>
      <c r="CP27" s="756">
        <f>IF(CN27&gt;0,VLOOKUP(A27,'Lista Suspensa'!$A$1:$F$92,3,),0)</f>
        <v>0</v>
      </c>
      <c r="CQ27" s="641">
        <f>IF(OR(CN27&gt;0,CO27&gt;0),VLOOKUP(A27,'Lista Suspensa'!$A$1:$F$90,6,),0)</f>
        <v>0</v>
      </c>
      <c r="CR27" s="628"/>
      <c r="CS27" s="628"/>
      <c r="CT27" s="628"/>
      <c r="CU27" s="628"/>
      <c r="CV27" s="628"/>
      <c r="CW27" s="628"/>
      <c r="CX27" s="628"/>
      <c r="CY27" s="628"/>
      <c r="CZ27" s="628"/>
      <c r="DA27" s="628"/>
      <c r="DB27" s="628"/>
      <c r="DC27" s="628"/>
      <c r="DD27" s="628"/>
      <c r="DE27" s="628"/>
      <c r="DF27" s="628"/>
      <c r="DG27" s="628"/>
      <c r="DH27" s="628"/>
    </row>
    <row r="28" spans="1:2106" s="588" customFormat="1" ht="15.75" customHeight="1">
      <c r="A28" s="614"/>
      <c r="B28" s="618"/>
      <c r="C28" s="616">
        <f t="shared" si="0"/>
        <v>0</v>
      </c>
      <c r="D28" s="616">
        <f>IF(B28&gt;0,VLOOKUP(A28,'Lista Suspensa'!$A$1:$F$92,3,),0)</f>
        <v>0</v>
      </c>
      <c r="E28" s="616">
        <f>IF(OR(B28&gt;0,C28&gt;0),VLOOKUP(A28,'Lista Suspensa'!$A$1:$F$90,4,),0)</f>
        <v>0</v>
      </c>
      <c r="F28" s="616">
        <f>IF(OR(B28&gt;0,C28&gt;0),VLOOKUP(A28,'Lista Suspensa'!$A$1:$F$90,5,),0)</f>
        <v>0</v>
      </c>
      <c r="G28" s="587">
        <f>IF(OR(B28&gt;0,C28&gt;0),VLOOKUP(A28,'Lista Suspensa'!$A$1:$F$90,6,),0)</f>
        <v>0</v>
      </c>
      <c r="H28" s="618"/>
      <c r="I28" s="623">
        <f t="shared" si="12"/>
        <v>0</v>
      </c>
      <c r="J28" s="616">
        <f>IF(H28&gt;0,VLOOKUP(A28,'Lista Suspensa'!$A$1:$F$92,3,),0)</f>
        <v>0</v>
      </c>
      <c r="K28" s="616">
        <f>IF(OR(H28&gt;0,I28&gt;0),VLOOKUP(A28,'Lista Suspensa'!$A$1:$F$90,4,),0)</f>
        <v>0</v>
      </c>
      <c r="L28" s="616">
        <f>IF(OR(H28&gt;0,I28&gt;0),VLOOKUP(A28,'Lista Suspensa'!$A$1:$F$90,5,),0)</f>
        <v>0</v>
      </c>
      <c r="M28" s="587">
        <f>IF(OR(H28&gt;0,I28&gt;0),VLOOKUP(A28,'Lista Suspensa'!$A$1:$F$90,6,),0)</f>
        <v>0</v>
      </c>
      <c r="N28" s="618"/>
      <c r="O28" s="623">
        <f t="shared" si="1"/>
        <v>0</v>
      </c>
      <c r="P28" s="616">
        <f>IF(N28&gt;0,VLOOKUP(A28,'Lista Suspensa'!$A$1:$F$92,3,),0)</f>
        <v>0</v>
      </c>
      <c r="Q28" s="616">
        <f>IF(OR(N28&gt;0,O28&gt;0),VLOOKUP(A28,'Lista Suspensa'!$A$1:$F$90,4,),0)</f>
        <v>0</v>
      </c>
      <c r="R28" s="616">
        <f>IF(OR(N28&gt;0,O28&gt;0),VLOOKUP(A28,'Lista Suspensa'!$A$1:$F$90,5,),0)</f>
        <v>0</v>
      </c>
      <c r="S28" s="587">
        <f>IF(OR(N28&gt;0,O28&gt;0),VLOOKUP(A28,'Lista Suspensa'!$A$1:$F$90,6,),0)</f>
        <v>0</v>
      </c>
      <c r="T28" s="618"/>
      <c r="U28" s="623">
        <f t="shared" si="2"/>
        <v>0</v>
      </c>
      <c r="V28" s="616">
        <f>IF(T28&gt;0,VLOOKUP(A28,'Lista Suspensa'!$A$1:$F$92,3,),0)</f>
        <v>0</v>
      </c>
      <c r="W28" s="616">
        <f>IF(OR(T28&gt;0,U28&gt;0),VLOOKUP(A28,'Lista Suspensa'!$A$1:$F$90,4,),0)</f>
        <v>0</v>
      </c>
      <c r="X28" s="616">
        <f>IF(OR(T28&gt;0,U28&gt;0),VLOOKUP(A28,'Lista Suspensa'!$A$1:$F$90,5,),0)</f>
        <v>0</v>
      </c>
      <c r="Y28" s="587">
        <f>IF(OR(T28&gt;0,U28&gt;0),VLOOKUP(A28,'Lista Suspensa'!$A$1:$F$90,6,),0)</f>
        <v>0</v>
      </c>
      <c r="Z28" s="618"/>
      <c r="AA28" s="623">
        <f t="shared" si="3"/>
        <v>0</v>
      </c>
      <c r="AB28" s="616">
        <f>IF(Z28&gt;0,VLOOKUP(A28,'Lista Suspensa'!$A$1:$F$92,3,),0)</f>
        <v>0</v>
      </c>
      <c r="AC28" s="616">
        <f>IF(OR(Z28&gt;0,AA28&gt;0),VLOOKUP(A28,'Lista Suspensa'!$A$1:$F$90,4,),0)</f>
        <v>0</v>
      </c>
      <c r="AD28" s="616">
        <f>IF(OR(Z28&gt;0,AA28&gt;0),VLOOKUP(A28,'Lista Suspensa'!$A$1:$F$90,5,),0)</f>
        <v>0</v>
      </c>
      <c r="AE28" s="587">
        <f>IF(OR(Z28&gt;0,AA28&gt;0),VLOOKUP(A28,'Lista Suspensa'!$A$1:$F$90,6,),0)</f>
        <v>0</v>
      </c>
      <c r="AF28" s="618"/>
      <c r="AG28" s="623">
        <f t="shared" si="13"/>
        <v>0</v>
      </c>
      <c r="AH28" s="616">
        <f>IF(AF28&gt;0,VLOOKUP(A28,'Lista Suspensa'!$A$1:$F$92,3,),0)</f>
        <v>0</v>
      </c>
      <c r="AI28" s="616">
        <f>IF(OR(AF28&gt;0,AG28&gt;0),VLOOKUP(A28,'Lista Suspensa'!$A$1:$F$90,4,),0)</f>
        <v>0</v>
      </c>
      <c r="AJ28" s="616">
        <f>IF(OR(AF28&gt;0,AG28&gt;0),VLOOKUP(A28,'Lista Suspensa'!$A$1:$F$90,5,),0)</f>
        <v>0</v>
      </c>
      <c r="AK28" s="587">
        <f>IF(OR(AF28&gt;0,AG28&gt;0),VLOOKUP(A28,'Lista Suspensa'!$A$1:$F$90,6,),0)</f>
        <v>0</v>
      </c>
      <c r="AL28" s="618"/>
      <c r="AM28" s="623">
        <f t="shared" si="4"/>
        <v>0</v>
      </c>
      <c r="AN28" s="616">
        <f>IF(AL28&gt;0,VLOOKUP(A28,'Lista Suspensa'!$A$1:$F$92,3,),0)</f>
        <v>0</v>
      </c>
      <c r="AO28" s="616">
        <f>IF(OR(AL28&gt;0,AM28&gt;0),VLOOKUP(A28,'Lista Suspensa'!$A$1:$F$90,4,),0)</f>
        <v>0</v>
      </c>
      <c r="AP28" s="616">
        <f>IF(OR(AL28&gt;0,AM28&gt;0),VLOOKUP(A28,'Lista Suspensa'!$A$1:$F$90,5,),0)</f>
        <v>0</v>
      </c>
      <c r="AQ28" s="587">
        <f>IF(OR(AL28&gt;0,AM28&gt;0),VLOOKUP(A28,'Lista Suspensa'!$A$1:$F$90,6,),0)</f>
        <v>0</v>
      </c>
      <c r="AR28" s="618"/>
      <c r="AS28" s="623">
        <f t="shared" si="14"/>
        <v>0</v>
      </c>
      <c r="AT28" s="616">
        <f>IF(AR28&gt;0,VLOOKUP(A28,'Lista Suspensa'!$A$1:$F$92,3,),0)</f>
        <v>0</v>
      </c>
      <c r="AU28" s="616">
        <f>IF(OR(AR28&gt;0,AS28&gt;0),VLOOKUP(A28,'Lista Suspensa'!$A$1:$F$90,4,),0)</f>
        <v>0</v>
      </c>
      <c r="AV28" s="616">
        <f>IF(OR(AR28&gt;0,AS28&gt;0),VLOOKUP(A28,'Lista Suspensa'!$A$1:$F$90,5,),0)</f>
        <v>0</v>
      </c>
      <c r="AW28" s="586">
        <f>IF(OR(AR28&gt;0,AS28&gt;0),VLOOKUP(A28,'Lista Suspensa'!$A$1:$F$90,6,),0)</f>
        <v>0</v>
      </c>
      <c r="AX28" s="618"/>
      <c r="AY28" s="623">
        <f t="shared" si="5"/>
        <v>0</v>
      </c>
      <c r="AZ28" s="616">
        <f>IF(AX28&gt;0,VLOOKUP(A28,'Lista Suspensa'!$A$1:$F$92,3,),0)</f>
        <v>0</v>
      </c>
      <c r="BA28" s="616">
        <f>IF(OR(AX28&gt;0,AY28&gt;0),VLOOKUP(A28,'Lista Suspensa'!$A$1:$F$90,4,),0)</f>
        <v>0</v>
      </c>
      <c r="BB28" s="616">
        <f>IF(OR(AX28&gt;0,AY28&gt;0),VLOOKUP(A28,'Lista Suspensa'!$A$1:$F$90,5,),0)</f>
        <v>0</v>
      </c>
      <c r="BC28" s="586">
        <f>IF(OR(AX28&gt;0,AY28&gt;0),VLOOKUP(A28,'Lista Suspensa'!$A$1:$F$90,6,),0)</f>
        <v>0</v>
      </c>
      <c r="BD28" s="618"/>
      <c r="BE28" s="623">
        <f t="shared" si="6"/>
        <v>0</v>
      </c>
      <c r="BF28" s="616">
        <f>IF(BD28&gt;0,VLOOKUP(A28,'Lista Suspensa'!$A$1:$F$92,3,),0)</f>
        <v>0</v>
      </c>
      <c r="BG28" s="616">
        <f>IF(OR(BD28&gt;0,BE28&gt;0),VLOOKUP(A28,'Lista Suspensa'!$A$1:$F$90,4,),0)</f>
        <v>0</v>
      </c>
      <c r="BH28" s="616">
        <f>IF(OR(BD28&gt;0,BE28&gt;0),VLOOKUP(A28,'Lista Suspensa'!$A$1:$F$90,5,),0)</f>
        <v>0</v>
      </c>
      <c r="BI28" s="586">
        <f>IF(OR(BD28&gt;0,BE28&gt;0),VLOOKUP(A28,'Lista Suspensa'!$A$1:$F$90,6,),0)</f>
        <v>0</v>
      </c>
      <c r="BJ28" s="618"/>
      <c r="BK28" s="623">
        <f t="shared" si="7"/>
        <v>0</v>
      </c>
      <c r="BL28" s="616">
        <f>IF(BJ28&gt;0,VLOOKUP(A28,'Lista Suspensa'!$A$1:$F$92,3,),0)</f>
        <v>0</v>
      </c>
      <c r="BM28" s="616">
        <f>IF(OR(BJ28&gt;0,BK28&gt;0),VLOOKUP(A28,'Lista Suspensa'!$A$1:$F$90,4,),0)</f>
        <v>0</v>
      </c>
      <c r="BN28" s="616">
        <f>IF(OR(BJ28&gt;0,BK28&gt;0),VLOOKUP(A28,'Lista Suspensa'!$A$1:$F$90,5,),0)</f>
        <v>0</v>
      </c>
      <c r="BO28" s="586">
        <f>IF(OR(BJ28&gt;0,BK28&gt;0),VLOOKUP(A28,'Lista Suspensa'!$A$1:$F$90,6,),0)</f>
        <v>0</v>
      </c>
      <c r="BP28" s="618"/>
      <c r="BQ28" s="623">
        <f t="shared" si="8"/>
        <v>0</v>
      </c>
      <c r="BR28" s="616">
        <f>IF(BP28&gt;0,VLOOKUP(A28,'Lista Suspensa'!$A$1:$F$92,3,),0)</f>
        <v>0</v>
      </c>
      <c r="BS28" s="616">
        <f>IF(OR(BP28&gt;0,BQ28&gt;0),VLOOKUP(A28,'Lista Suspensa'!$A$1:$F$90,4,),0)</f>
        <v>0</v>
      </c>
      <c r="BT28" s="616">
        <f>IF(OR(BP28&gt;0,BQ28&gt;0),VLOOKUP(A28,'Lista Suspensa'!$A$1:$F$90,5,),0)</f>
        <v>0</v>
      </c>
      <c r="BU28" s="586">
        <f>IF(OR(BP28&gt;0,BQ28&gt;0),VLOOKUP(A28,'Lista Suspensa'!$A$1:$F$90,6,),0)</f>
        <v>0</v>
      </c>
      <c r="BV28" s="618"/>
      <c r="BW28" s="623">
        <f t="shared" si="9"/>
        <v>0</v>
      </c>
      <c r="BX28" s="616">
        <f>IF(BV28&gt;0,VLOOKUP(A28,'Lista Suspensa'!$A$1:$F$92,3,),0)</f>
        <v>0</v>
      </c>
      <c r="BY28" s="616">
        <f>IF(OR(BV28&gt;0,BW28&gt;0),VLOOKUP(A28,'Lista Suspensa'!$A$1:$F$90,4,),0)</f>
        <v>0</v>
      </c>
      <c r="BZ28" s="616">
        <f>IF(OR(BV28&gt;0,BW28&gt;0),VLOOKUP(A28,'Lista Suspensa'!$A$1:$F$90,5,),0)</f>
        <v>0</v>
      </c>
      <c r="CA28" s="586">
        <f>IF(OR(BV28&gt;0,BW28&gt;0),VLOOKUP(A28,'Lista Suspensa'!$A$1:$F$90,6,),0)</f>
        <v>0</v>
      </c>
      <c r="CB28" s="618"/>
      <c r="CC28" s="623">
        <f t="shared" si="10"/>
        <v>0</v>
      </c>
      <c r="CD28" s="616">
        <f>IF(CB28&gt;0,VLOOKUP(A28,'Lista Suspensa'!$A$1:$F$92,3,),0)</f>
        <v>0</v>
      </c>
      <c r="CE28" s="616">
        <f>IF(OR(CB28&gt;0,CC28&gt;0),VLOOKUP(A28,'Lista Suspensa'!$A$1:$F$90,4,),0)</f>
        <v>0</v>
      </c>
      <c r="CF28" s="616">
        <f>IF(OR(CB28&gt;0,CC28&gt;0),VLOOKUP(A28,'Lista Suspensa'!$A$1:$F$90,5,),0)</f>
        <v>0</v>
      </c>
      <c r="CG28" s="586">
        <f>IF(OR(CB28&gt;0,CC28&gt;0),VLOOKUP(A28,'Lista Suspensa'!$A$1:$F$90,6,),0)</f>
        <v>0</v>
      </c>
      <c r="CH28" s="618"/>
      <c r="CI28" s="623">
        <f t="shared" si="11"/>
        <v>0</v>
      </c>
      <c r="CJ28" s="616">
        <f>IF(CH28&gt;0,VLOOKUP(A28,'Lista Suspensa'!$A$1:$F$92,3,),0)</f>
        <v>0</v>
      </c>
      <c r="CK28" s="616">
        <f>IF(OR(CH28&gt;0,CI28&gt;0),VLOOKUP(A28,'Lista Suspensa'!$A$1:$F$90,4,),0)</f>
        <v>0</v>
      </c>
      <c r="CL28" s="616">
        <f>IF(OR(CH28&gt;0,CI28&gt;0),VLOOKUP(A28,'Lista Suspensa'!$A$1:$F$90,5,),0)</f>
        <v>0</v>
      </c>
      <c r="CM28" s="637">
        <f>IF(OR(CH28&gt;0,CI28&gt;0),VLOOKUP(A28,'Lista Suspensa'!$A$1:$F$90,6,),0)</f>
        <v>0</v>
      </c>
      <c r="CN28" s="646"/>
      <c r="CO28" s="403">
        <f t="shared" si="15"/>
        <v>0</v>
      </c>
      <c r="CP28" s="756">
        <f>IF(CN28&gt;0,VLOOKUP(A28,'Lista Suspensa'!$A$1:$F$92,3,),0)</f>
        <v>0</v>
      </c>
      <c r="CQ28" s="643">
        <f>IF(OR(CN28&gt;0,CO28&gt;0),VLOOKUP(A28,'Lista Suspensa'!$A$1:$F$90,6,),0)</f>
        <v>0</v>
      </c>
      <c r="CR28" s="628"/>
      <c r="CS28" s="628"/>
      <c r="CT28" s="628"/>
      <c r="CU28" s="628"/>
      <c r="CV28" s="628"/>
      <c r="CW28" s="628"/>
      <c r="CX28" s="628"/>
      <c r="CY28" s="628"/>
      <c r="CZ28" s="628"/>
      <c r="DA28" s="628"/>
      <c r="DB28" s="628"/>
      <c r="DC28" s="628"/>
      <c r="DD28" s="628"/>
      <c r="DE28" s="628"/>
      <c r="DF28" s="628"/>
      <c r="DG28" s="628"/>
      <c r="DH28" s="628"/>
      <c r="DI28" s="583"/>
      <c r="DJ28" s="583"/>
      <c r="DK28" s="583"/>
      <c r="DL28" s="583"/>
      <c r="DM28" s="583"/>
      <c r="DN28" s="583"/>
      <c r="DO28" s="583"/>
      <c r="DP28" s="583"/>
      <c r="DQ28" s="583"/>
      <c r="DR28" s="583"/>
      <c r="DS28" s="583"/>
      <c r="DT28" s="583"/>
      <c r="DU28" s="583"/>
      <c r="DV28" s="583"/>
      <c r="DW28" s="583"/>
      <c r="DX28" s="583"/>
      <c r="DY28" s="583"/>
      <c r="DZ28" s="583"/>
      <c r="EA28" s="583"/>
      <c r="EB28" s="583"/>
      <c r="EC28" s="583"/>
      <c r="ED28" s="583"/>
      <c r="EE28" s="583"/>
      <c r="EF28" s="583"/>
      <c r="EG28" s="583"/>
      <c r="EH28" s="583"/>
      <c r="EI28" s="583"/>
      <c r="EJ28" s="583"/>
      <c r="EK28" s="583"/>
      <c r="EL28" s="583"/>
      <c r="EM28" s="583"/>
      <c r="EN28" s="583"/>
      <c r="EO28" s="583"/>
      <c r="EP28" s="583"/>
      <c r="EQ28" s="583"/>
      <c r="ER28" s="583"/>
      <c r="ES28" s="583"/>
      <c r="ET28" s="583"/>
      <c r="EU28" s="583"/>
      <c r="EV28" s="583"/>
      <c r="EW28" s="583"/>
      <c r="EX28" s="583"/>
      <c r="EY28" s="583"/>
      <c r="EZ28" s="583"/>
      <c r="FA28" s="583"/>
      <c r="FB28" s="583"/>
      <c r="FC28" s="583"/>
      <c r="FD28" s="583"/>
      <c r="FE28" s="583"/>
      <c r="FF28" s="583"/>
      <c r="FG28" s="583"/>
      <c r="FH28" s="583"/>
      <c r="FI28" s="583"/>
      <c r="FJ28" s="583"/>
      <c r="FK28" s="583"/>
      <c r="FL28" s="583"/>
      <c r="FM28" s="583"/>
      <c r="FN28" s="583"/>
      <c r="FO28" s="583"/>
      <c r="FP28" s="583"/>
      <c r="FQ28" s="583"/>
      <c r="FR28" s="583"/>
      <c r="FS28" s="583"/>
      <c r="FT28" s="583"/>
      <c r="FU28" s="583"/>
      <c r="FV28" s="583"/>
      <c r="FW28" s="583"/>
      <c r="FX28" s="583"/>
      <c r="FY28" s="583"/>
      <c r="FZ28" s="583"/>
      <c r="GA28" s="583"/>
      <c r="GB28" s="583"/>
      <c r="GC28" s="583"/>
      <c r="GD28" s="583"/>
      <c r="GE28" s="583"/>
      <c r="GF28" s="583"/>
      <c r="GG28" s="583"/>
      <c r="GH28" s="583"/>
      <c r="GI28" s="583"/>
      <c r="GJ28" s="583"/>
      <c r="GK28" s="583"/>
      <c r="GL28" s="583"/>
      <c r="GM28" s="583"/>
      <c r="GN28" s="583"/>
      <c r="GO28" s="583"/>
      <c r="GP28" s="583"/>
      <c r="GQ28" s="583"/>
      <c r="GR28" s="583"/>
      <c r="GS28" s="583"/>
      <c r="GT28" s="583"/>
      <c r="GU28" s="583"/>
      <c r="GV28" s="583"/>
      <c r="GW28" s="583"/>
      <c r="GX28" s="583"/>
      <c r="GY28" s="583"/>
      <c r="GZ28" s="583"/>
      <c r="HA28" s="583"/>
      <c r="HB28" s="583"/>
      <c r="HC28" s="583"/>
      <c r="HD28" s="583"/>
      <c r="HE28" s="583"/>
      <c r="HF28" s="583"/>
      <c r="HG28" s="583"/>
      <c r="HH28" s="583"/>
      <c r="HI28" s="583"/>
      <c r="HJ28" s="583"/>
      <c r="HK28" s="583"/>
      <c r="HL28" s="583"/>
      <c r="HM28" s="583"/>
      <c r="HN28" s="583"/>
      <c r="HO28" s="583"/>
      <c r="HP28" s="583"/>
      <c r="HQ28" s="583"/>
      <c r="HR28" s="583"/>
      <c r="HS28" s="583"/>
      <c r="HT28" s="583"/>
      <c r="HU28" s="583"/>
      <c r="HV28" s="583"/>
      <c r="HW28" s="583"/>
      <c r="HX28" s="583"/>
      <c r="HY28" s="583"/>
      <c r="HZ28" s="583"/>
      <c r="IA28" s="583"/>
      <c r="IB28" s="583"/>
      <c r="IC28" s="583"/>
      <c r="ID28" s="583"/>
      <c r="IE28" s="583"/>
      <c r="IF28" s="583"/>
      <c r="IG28" s="583"/>
      <c r="IH28" s="583"/>
      <c r="II28" s="583"/>
      <c r="IJ28" s="583"/>
      <c r="IK28" s="583"/>
      <c r="IL28" s="583"/>
      <c r="IM28" s="583"/>
      <c r="IN28" s="583"/>
      <c r="IO28" s="583"/>
      <c r="IP28" s="583"/>
      <c r="IQ28" s="583"/>
      <c r="IR28" s="583"/>
      <c r="IS28" s="583"/>
      <c r="IT28" s="583"/>
      <c r="IU28" s="583"/>
      <c r="IV28" s="583"/>
      <c r="IW28" s="583"/>
      <c r="IX28" s="583"/>
      <c r="IY28" s="583"/>
      <c r="IZ28" s="583"/>
      <c r="JA28" s="583"/>
      <c r="JB28" s="583"/>
      <c r="JC28" s="583"/>
      <c r="JD28" s="583"/>
      <c r="JE28" s="583"/>
      <c r="JF28" s="583"/>
      <c r="JG28" s="583"/>
      <c r="JH28" s="583"/>
      <c r="JI28" s="583"/>
      <c r="JJ28" s="583"/>
      <c r="JK28" s="583"/>
      <c r="JL28" s="583"/>
      <c r="JM28" s="583"/>
      <c r="JN28" s="583"/>
      <c r="JO28" s="583"/>
      <c r="JP28" s="583"/>
      <c r="JQ28" s="583"/>
      <c r="JR28" s="583"/>
      <c r="JS28" s="583"/>
      <c r="JT28" s="583"/>
      <c r="JU28" s="583"/>
      <c r="JV28" s="583"/>
      <c r="JW28" s="583"/>
      <c r="JX28" s="583"/>
      <c r="JY28" s="583"/>
      <c r="JZ28" s="583"/>
      <c r="KA28" s="583"/>
      <c r="KB28" s="583"/>
      <c r="KC28" s="583"/>
      <c r="KD28" s="583"/>
      <c r="KE28" s="583"/>
      <c r="KF28" s="583"/>
      <c r="KG28" s="583"/>
      <c r="KH28" s="583"/>
      <c r="KI28" s="583"/>
      <c r="KJ28" s="583"/>
      <c r="KK28" s="583"/>
      <c r="KL28" s="583"/>
      <c r="KM28" s="583"/>
      <c r="KN28" s="583"/>
      <c r="KO28" s="583"/>
      <c r="KP28" s="583"/>
      <c r="KQ28" s="583"/>
      <c r="KR28" s="583"/>
      <c r="KS28" s="583"/>
      <c r="KT28" s="583"/>
      <c r="KU28" s="583"/>
      <c r="KV28" s="583"/>
      <c r="KW28" s="583"/>
      <c r="KX28" s="583"/>
      <c r="KY28" s="583"/>
      <c r="KZ28" s="583"/>
      <c r="LA28" s="583"/>
      <c r="LB28" s="583"/>
      <c r="LC28" s="583"/>
      <c r="LD28" s="583"/>
      <c r="LE28" s="583"/>
      <c r="LF28" s="583"/>
      <c r="LG28" s="583"/>
      <c r="LH28" s="583"/>
      <c r="LI28" s="583"/>
      <c r="LJ28" s="583"/>
      <c r="LK28" s="583"/>
      <c r="LL28" s="583"/>
      <c r="LM28" s="583"/>
      <c r="LN28" s="583"/>
      <c r="LO28" s="583"/>
      <c r="LP28" s="583"/>
      <c r="LQ28" s="583"/>
      <c r="LR28" s="583"/>
      <c r="LS28" s="583"/>
      <c r="LT28" s="583"/>
      <c r="LU28" s="583"/>
      <c r="LV28" s="583"/>
      <c r="LW28" s="583"/>
      <c r="LX28" s="583"/>
      <c r="LY28" s="583"/>
      <c r="LZ28" s="583"/>
      <c r="MA28" s="583"/>
      <c r="MB28" s="583"/>
      <c r="MC28" s="583"/>
      <c r="MD28" s="583"/>
      <c r="ME28" s="583"/>
      <c r="MF28" s="583"/>
      <c r="MG28" s="583"/>
      <c r="MH28" s="583"/>
      <c r="MI28" s="583"/>
      <c r="MJ28" s="583"/>
      <c r="MK28" s="583"/>
      <c r="ML28" s="583"/>
      <c r="MM28" s="583"/>
      <c r="MN28" s="583"/>
      <c r="MO28" s="583"/>
      <c r="MP28" s="583"/>
      <c r="MQ28" s="583"/>
      <c r="MR28" s="583"/>
      <c r="MS28" s="583"/>
      <c r="MT28" s="583"/>
      <c r="MU28" s="583"/>
      <c r="MV28" s="583"/>
      <c r="MW28" s="583"/>
      <c r="MX28" s="583"/>
      <c r="MY28" s="583"/>
      <c r="MZ28" s="583"/>
      <c r="NA28" s="583"/>
      <c r="NB28" s="583"/>
      <c r="NC28" s="583"/>
      <c r="ND28" s="583"/>
      <c r="NE28" s="583"/>
      <c r="NF28" s="583"/>
      <c r="NG28" s="583"/>
      <c r="NH28" s="583"/>
      <c r="NI28" s="583"/>
      <c r="NJ28" s="583"/>
      <c r="NK28" s="583"/>
      <c r="NL28" s="583"/>
      <c r="NM28" s="583"/>
      <c r="NN28" s="583"/>
      <c r="NO28" s="583"/>
      <c r="NP28" s="583"/>
      <c r="NQ28" s="583"/>
      <c r="NR28" s="583"/>
      <c r="NS28" s="583"/>
      <c r="NT28" s="583"/>
      <c r="NU28" s="583"/>
      <c r="NV28" s="583"/>
      <c r="NW28" s="583"/>
      <c r="NX28" s="583"/>
      <c r="NY28" s="583"/>
      <c r="NZ28" s="583"/>
      <c r="OA28" s="583"/>
      <c r="OB28" s="583"/>
      <c r="OC28" s="583"/>
      <c r="OD28" s="583"/>
      <c r="OE28" s="583"/>
      <c r="OF28" s="583"/>
      <c r="OG28" s="583"/>
      <c r="OH28" s="583"/>
      <c r="OI28" s="583"/>
      <c r="OJ28" s="583"/>
      <c r="OK28" s="583"/>
      <c r="OL28" s="583"/>
      <c r="OM28" s="583"/>
      <c r="ON28" s="583"/>
      <c r="OO28" s="583"/>
      <c r="OP28" s="583"/>
      <c r="OQ28" s="583"/>
      <c r="OR28" s="583"/>
      <c r="OS28" s="583"/>
      <c r="OT28" s="583"/>
      <c r="OU28" s="583"/>
      <c r="OV28" s="583"/>
      <c r="OW28" s="583"/>
      <c r="OX28" s="583"/>
      <c r="OY28" s="583"/>
      <c r="OZ28" s="583"/>
      <c r="PA28" s="583"/>
      <c r="PB28" s="583"/>
      <c r="PC28" s="583"/>
      <c r="PD28" s="583"/>
      <c r="PE28" s="583"/>
      <c r="PF28" s="583"/>
      <c r="PG28" s="583"/>
      <c r="PH28" s="583"/>
      <c r="PI28" s="583"/>
      <c r="PJ28" s="583"/>
      <c r="PK28" s="583"/>
      <c r="PL28" s="583"/>
      <c r="PM28" s="583"/>
      <c r="PN28" s="583"/>
      <c r="PO28" s="583"/>
      <c r="PP28" s="583"/>
      <c r="PQ28" s="583"/>
      <c r="PR28" s="583"/>
      <c r="PS28" s="583"/>
      <c r="PT28" s="583"/>
      <c r="PU28" s="583"/>
      <c r="PV28" s="583"/>
      <c r="PW28" s="583"/>
      <c r="PX28" s="583"/>
      <c r="PY28" s="583"/>
      <c r="PZ28" s="583"/>
      <c r="QA28" s="583"/>
      <c r="QB28" s="583"/>
      <c r="QC28" s="583"/>
      <c r="QD28" s="583"/>
      <c r="QE28" s="583"/>
      <c r="QF28" s="583"/>
      <c r="QG28" s="583"/>
      <c r="QH28" s="583"/>
      <c r="QI28" s="583"/>
      <c r="QJ28" s="583"/>
      <c r="QK28" s="583"/>
      <c r="QL28" s="583"/>
      <c r="QM28" s="583"/>
      <c r="QN28" s="583"/>
      <c r="QO28" s="583"/>
      <c r="QP28" s="583"/>
      <c r="QQ28" s="583"/>
      <c r="QR28" s="583"/>
      <c r="QS28" s="583"/>
      <c r="QT28" s="583"/>
      <c r="QU28" s="583"/>
      <c r="QV28" s="583"/>
      <c r="QW28" s="583"/>
      <c r="QX28" s="583"/>
      <c r="QY28" s="583"/>
      <c r="QZ28" s="583"/>
      <c r="RA28" s="583"/>
      <c r="RB28" s="583"/>
      <c r="RC28" s="583"/>
      <c r="RD28" s="583"/>
      <c r="RE28" s="583"/>
      <c r="RF28" s="583"/>
      <c r="RG28" s="583"/>
      <c r="RH28" s="583"/>
      <c r="RI28" s="583"/>
      <c r="RJ28" s="583"/>
      <c r="RK28" s="583"/>
      <c r="RL28" s="583"/>
      <c r="RM28" s="583"/>
      <c r="RN28" s="583"/>
      <c r="RO28" s="583"/>
      <c r="RP28" s="583"/>
      <c r="RQ28" s="583"/>
      <c r="RR28" s="583"/>
      <c r="RS28" s="583"/>
      <c r="RT28" s="583"/>
      <c r="RU28" s="583"/>
      <c r="RV28" s="583"/>
      <c r="RW28" s="583"/>
      <c r="RX28" s="583"/>
      <c r="RY28" s="583"/>
      <c r="RZ28" s="583"/>
      <c r="SA28" s="583"/>
      <c r="SB28" s="583"/>
      <c r="SC28" s="583"/>
      <c r="SD28" s="583"/>
      <c r="SE28" s="583"/>
      <c r="SF28" s="583"/>
      <c r="SG28" s="583"/>
      <c r="SH28" s="583"/>
      <c r="SI28" s="583"/>
      <c r="SJ28" s="583"/>
      <c r="SK28" s="583"/>
      <c r="SL28" s="583"/>
      <c r="SM28" s="583"/>
      <c r="SN28" s="583"/>
      <c r="SO28" s="583"/>
      <c r="SP28" s="583"/>
      <c r="SQ28" s="583"/>
      <c r="SR28" s="583"/>
      <c r="SS28" s="583"/>
      <c r="ST28" s="583"/>
      <c r="SU28" s="583"/>
      <c r="SV28" s="583"/>
      <c r="SW28" s="583"/>
      <c r="SX28" s="583"/>
      <c r="SY28" s="583"/>
      <c r="SZ28" s="583"/>
      <c r="TA28" s="583"/>
      <c r="TB28" s="583"/>
      <c r="TC28" s="583"/>
      <c r="TD28" s="583"/>
      <c r="TE28" s="583"/>
      <c r="TF28" s="583"/>
      <c r="TG28" s="583"/>
      <c r="TH28" s="583"/>
      <c r="TI28" s="583"/>
      <c r="TJ28" s="583"/>
      <c r="TK28" s="583"/>
      <c r="TL28" s="583"/>
      <c r="TM28" s="583"/>
      <c r="TN28" s="583"/>
      <c r="TO28" s="583"/>
      <c r="TP28" s="583"/>
      <c r="TQ28" s="583"/>
      <c r="TR28" s="583"/>
      <c r="TS28" s="583"/>
      <c r="TT28" s="583"/>
      <c r="TU28" s="583"/>
      <c r="TV28" s="583"/>
      <c r="TW28" s="583"/>
      <c r="TX28" s="583"/>
      <c r="TY28" s="583"/>
      <c r="TZ28" s="583"/>
      <c r="UA28" s="583"/>
      <c r="UB28" s="583"/>
      <c r="UC28" s="583"/>
      <c r="UD28" s="583"/>
      <c r="UE28" s="583"/>
      <c r="UF28" s="583"/>
      <c r="UG28" s="583"/>
      <c r="UH28" s="583"/>
      <c r="UI28" s="583"/>
      <c r="UJ28" s="583"/>
      <c r="UK28" s="583"/>
      <c r="UL28" s="583"/>
      <c r="UM28" s="583"/>
      <c r="UN28" s="583"/>
      <c r="UO28" s="583"/>
      <c r="UP28" s="583"/>
      <c r="UQ28" s="583"/>
      <c r="UR28" s="583"/>
      <c r="US28" s="583"/>
      <c r="UT28" s="583"/>
      <c r="UU28" s="583"/>
      <c r="UV28" s="583"/>
      <c r="UW28" s="583"/>
      <c r="UX28" s="583"/>
      <c r="UY28" s="583"/>
      <c r="UZ28" s="583"/>
      <c r="VA28" s="583"/>
      <c r="VB28" s="583"/>
      <c r="VC28" s="583"/>
      <c r="VD28" s="583"/>
      <c r="VE28" s="583"/>
      <c r="VF28" s="583"/>
      <c r="VG28" s="583"/>
      <c r="VH28" s="583"/>
      <c r="VI28" s="583"/>
      <c r="VJ28" s="583"/>
      <c r="VK28" s="583"/>
      <c r="VL28" s="583"/>
      <c r="VM28" s="583"/>
      <c r="VN28" s="583"/>
      <c r="VO28" s="583"/>
      <c r="VP28" s="583"/>
      <c r="VQ28" s="583"/>
      <c r="VR28" s="583"/>
      <c r="VS28" s="583"/>
      <c r="VT28" s="583"/>
      <c r="VU28" s="583"/>
      <c r="VV28" s="583"/>
      <c r="VW28" s="583"/>
      <c r="VX28" s="583"/>
      <c r="VY28" s="583"/>
      <c r="VZ28" s="583"/>
      <c r="WA28" s="583"/>
      <c r="WB28" s="583"/>
      <c r="WC28" s="583"/>
      <c r="WD28" s="583"/>
      <c r="WE28" s="583"/>
      <c r="WF28" s="583"/>
      <c r="WG28" s="583"/>
      <c r="WH28" s="583"/>
      <c r="WI28" s="583"/>
      <c r="WJ28" s="583"/>
      <c r="WK28" s="583"/>
      <c r="WL28" s="583"/>
      <c r="WM28" s="583"/>
      <c r="WN28" s="583"/>
      <c r="WO28" s="583"/>
      <c r="WP28" s="583"/>
      <c r="WQ28" s="583"/>
      <c r="WR28" s="583"/>
      <c r="WS28" s="583"/>
      <c r="WT28" s="583"/>
      <c r="WU28" s="583"/>
      <c r="WV28" s="583"/>
      <c r="WW28" s="583"/>
      <c r="WX28" s="583"/>
      <c r="WY28" s="583"/>
      <c r="WZ28" s="583"/>
      <c r="XA28" s="583"/>
      <c r="XB28" s="583"/>
      <c r="XC28" s="583"/>
      <c r="XD28" s="583"/>
      <c r="XE28" s="583"/>
      <c r="XF28" s="583"/>
      <c r="XG28" s="583"/>
      <c r="XH28" s="583"/>
      <c r="XI28" s="583"/>
      <c r="XJ28" s="583"/>
      <c r="XK28" s="583"/>
      <c r="XL28" s="583"/>
      <c r="XM28" s="583"/>
      <c r="XN28" s="583"/>
      <c r="XO28" s="583"/>
      <c r="XP28" s="583"/>
      <c r="XQ28" s="583"/>
      <c r="XR28" s="583"/>
      <c r="XS28" s="583"/>
      <c r="XT28" s="583"/>
      <c r="XU28" s="583"/>
      <c r="XV28" s="583"/>
      <c r="XW28" s="583"/>
      <c r="XX28" s="583"/>
      <c r="XY28" s="583"/>
      <c r="XZ28" s="583"/>
      <c r="YA28" s="583"/>
      <c r="YB28" s="583"/>
      <c r="YC28" s="583"/>
      <c r="YD28" s="583"/>
      <c r="YE28" s="583"/>
      <c r="YF28" s="583"/>
      <c r="YG28" s="583"/>
      <c r="YH28" s="583"/>
      <c r="YI28" s="583"/>
      <c r="YJ28" s="583"/>
      <c r="YK28" s="583"/>
      <c r="YL28" s="583"/>
      <c r="YM28" s="583"/>
      <c r="YN28" s="583"/>
      <c r="YO28" s="583"/>
      <c r="YP28" s="583"/>
      <c r="YQ28" s="583"/>
      <c r="YR28" s="583"/>
      <c r="YS28" s="583"/>
      <c r="YT28" s="583"/>
      <c r="YU28" s="583"/>
      <c r="YV28" s="583"/>
      <c r="YW28" s="583"/>
      <c r="YX28" s="583"/>
      <c r="YY28" s="583"/>
      <c r="YZ28" s="583"/>
      <c r="ZA28" s="583"/>
      <c r="ZB28" s="583"/>
      <c r="ZC28" s="583"/>
      <c r="ZD28" s="583"/>
      <c r="ZE28" s="583"/>
      <c r="ZF28" s="583"/>
      <c r="ZG28" s="583"/>
      <c r="ZH28" s="583"/>
      <c r="ZI28" s="583"/>
      <c r="ZJ28" s="583"/>
      <c r="ZK28" s="583"/>
      <c r="ZL28" s="583"/>
      <c r="ZM28" s="583"/>
      <c r="ZN28" s="583"/>
      <c r="ZO28" s="583"/>
      <c r="ZP28" s="583"/>
      <c r="ZQ28" s="583"/>
      <c r="ZR28" s="583"/>
      <c r="ZS28" s="583"/>
      <c r="ZT28" s="583"/>
      <c r="ZU28" s="583"/>
      <c r="ZV28" s="583"/>
      <c r="ZW28" s="583"/>
      <c r="ZX28" s="583"/>
      <c r="ZY28" s="583"/>
      <c r="ZZ28" s="583"/>
      <c r="AAA28" s="583"/>
      <c r="AAB28" s="583"/>
      <c r="AAC28" s="583"/>
      <c r="AAD28" s="583"/>
      <c r="AAE28" s="583"/>
      <c r="AAF28" s="583"/>
      <c r="AAG28" s="583"/>
      <c r="AAH28" s="583"/>
      <c r="AAI28" s="583"/>
      <c r="AAJ28" s="583"/>
      <c r="AAK28" s="583"/>
      <c r="AAL28" s="583"/>
      <c r="AAM28" s="583"/>
      <c r="AAN28" s="583"/>
      <c r="AAO28" s="583"/>
      <c r="AAP28" s="583"/>
      <c r="AAQ28" s="583"/>
      <c r="AAR28" s="583"/>
      <c r="AAS28" s="583"/>
      <c r="AAT28" s="583"/>
      <c r="AAU28" s="583"/>
      <c r="AAV28" s="583"/>
      <c r="AAW28" s="583"/>
      <c r="AAX28" s="583"/>
      <c r="AAY28" s="583"/>
      <c r="AAZ28" s="583"/>
      <c r="ABA28" s="583"/>
      <c r="ABB28" s="583"/>
      <c r="ABC28" s="583"/>
      <c r="ABD28" s="583"/>
      <c r="ABE28" s="583"/>
      <c r="ABF28" s="583"/>
      <c r="ABG28" s="583"/>
      <c r="ABH28" s="583"/>
      <c r="ABI28" s="583"/>
      <c r="ABJ28" s="583"/>
      <c r="ABK28" s="583"/>
      <c r="ABL28" s="583"/>
      <c r="ABM28" s="583"/>
      <c r="ABN28" s="583"/>
      <c r="ABO28" s="583"/>
      <c r="ABP28" s="583"/>
      <c r="ABQ28" s="583"/>
      <c r="ABR28" s="583"/>
      <c r="ABS28" s="583"/>
      <c r="ABT28" s="583"/>
      <c r="ABU28" s="583"/>
      <c r="ABV28" s="583"/>
      <c r="ABW28" s="583"/>
      <c r="ABX28" s="583"/>
      <c r="ABY28" s="583"/>
      <c r="ABZ28" s="583"/>
      <c r="ACA28" s="583"/>
      <c r="ACB28" s="583"/>
      <c r="ACC28" s="583"/>
      <c r="ACD28" s="583"/>
      <c r="ACE28" s="583"/>
      <c r="ACF28" s="583"/>
      <c r="ACG28" s="583"/>
      <c r="ACH28" s="583"/>
      <c r="ACI28" s="583"/>
      <c r="ACJ28" s="583"/>
      <c r="ACK28" s="583"/>
      <c r="ACL28" s="583"/>
      <c r="ACM28" s="583"/>
      <c r="ACN28" s="583"/>
      <c r="ACO28" s="583"/>
      <c r="ACP28" s="583"/>
      <c r="ACQ28" s="583"/>
      <c r="ACR28" s="583"/>
      <c r="ACS28" s="583"/>
      <c r="ACT28" s="583"/>
      <c r="ACU28" s="583"/>
      <c r="ACV28" s="583"/>
      <c r="ACW28" s="583"/>
      <c r="ACX28" s="583"/>
      <c r="ACY28" s="583"/>
      <c r="ACZ28" s="583"/>
      <c r="ADA28" s="583"/>
      <c r="ADB28" s="583"/>
      <c r="ADC28" s="583"/>
      <c r="ADD28" s="583"/>
      <c r="ADE28" s="583"/>
      <c r="ADF28" s="583"/>
      <c r="ADG28" s="583"/>
      <c r="ADH28" s="583"/>
      <c r="ADI28" s="583"/>
      <c r="ADJ28" s="583"/>
      <c r="ADK28" s="583"/>
      <c r="ADL28" s="583"/>
      <c r="ADM28" s="583"/>
      <c r="ADN28" s="583"/>
      <c r="ADO28" s="583"/>
      <c r="ADP28" s="583"/>
      <c r="ADQ28" s="583"/>
      <c r="ADR28" s="583"/>
      <c r="ADS28" s="583"/>
      <c r="ADT28" s="583"/>
      <c r="ADU28" s="583"/>
      <c r="ADV28" s="583"/>
      <c r="ADW28" s="583"/>
      <c r="ADX28" s="583"/>
      <c r="ADY28" s="583"/>
      <c r="ADZ28" s="583"/>
      <c r="AEA28" s="583"/>
      <c r="AEB28" s="583"/>
      <c r="AEC28" s="583"/>
      <c r="AED28" s="583"/>
      <c r="AEE28" s="583"/>
      <c r="AEF28" s="583"/>
      <c r="AEG28" s="583"/>
      <c r="AEH28" s="583"/>
      <c r="AEI28" s="583"/>
      <c r="AEJ28" s="583"/>
      <c r="AEK28" s="583"/>
      <c r="AEL28" s="583"/>
      <c r="AEM28" s="583"/>
      <c r="AEN28" s="583"/>
      <c r="AEO28" s="583"/>
      <c r="AEP28" s="583"/>
      <c r="AEQ28" s="583"/>
      <c r="AER28" s="583"/>
      <c r="AES28" s="583"/>
      <c r="AET28" s="583"/>
      <c r="AEU28" s="583"/>
      <c r="AEV28" s="583"/>
      <c r="AEW28" s="583"/>
      <c r="AEX28" s="583"/>
      <c r="AEY28" s="583"/>
      <c r="AEZ28" s="583"/>
      <c r="AFA28" s="583"/>
      <c r="AFB28" s="583"/>
      <c r="AFC28" s="583"/>
      <c r="AFD28" s="583"/>
      <c r="AFE28" s="583"/>
      <c r="AFF28" s="583"/>
      <c r="AFG28" s="583"/>
      <c r="AFH28" s="583"/>
      <c r="AFI28" s="583"/>
      <c r="AFJ28" s="583"/>
      <c r="AFK28" s="583"/>
      <c r="AFL28" s="583"/>
      <c r="AFM28" s="583"/>
      <c r="AFN28" s="583"/>
      <c r="AFO28" s="583"/>
      <c r="AFP28" s="583"/>
      <c r="AFQ28" s="583"/>
      <c r="AFR28" s="583"/>
      <c r="AFS28" s="583"/>
      <c r="AFT28" s="583"/>
      <c r="AFU28" s="583"/>
      <c r="AFV28" s="583"/>
      <c r="AFW28" s="583"/>
      <c r="AFX28" s="583"/>
      <c r="AFY28" s="583"/>
      <c r="AFZ28" s="583"/>
      <c r="AGA28" s="583"/>
      <c r="AGB28" s="583"/>
      <c r="AGC28" s="583"/>
      <c r="AGD28" s="583"/>
      <c r="AGE28" s="583"/>
      <c r="AGF28" s="583"/>
      <c r="AGG28" s="583"/>
      <c r="AGH28" s="583"/>
      <c r="AGI28" s="583"/>
      <c r="AGJ28" s="583"/>
      <c r="AGK28" s="583"/>
      <c r="AGL28" s="583"/>
      <c r="AGM28" s="583"/>
      <c r="AGN28" s="583"/>
      <c r="AGO28" s="583"/>
      <c r="AGP28" s="583"/>
      <c r="AGQ28" s="583"/>
      <c r="AGR28" s="583"/>
      <c r="AGS28" s="583"/>
      <c r="AGT28" s="583"/>
      <c r="AGU28" s="583"/>
      <c r="AGV28" s="583"/>
      <c r="AGW28" s="583"/>
      <c r="AGX28" s="583"/>
      <c r="AGY28" s="583"/>
      <c r="AGZ28" s="583"/>
      <c r="AHA28" s="583"/>
      <c r="AHB28" s="583"/>
      <c r="AHC28" s="583"/>
      <c r="AHD28" s="583"/>
      <c r="AHE28" s="583"/>
      <c r="AHF28" s="583"/>
      <c r="AHG28" s="583"/>
      <c r="AHH28" s="583"/>
      <c r="AHI28" s="583"/>
      <c r="AHJ28" s="583"/>
      <c r="AHK28" s="583"/>
      <c r="AHL28" s="583"/>
      <c r="AHM28" s="583"/>
      <c r="AHN28" s="583"/>
      <c r="AHO28" s="583"/>
      <c r="AHP28" s="583"/>
      <c r="AHQ28" s="583"/>
      <c r="AHR28" s="583"/>
      <c r="AHS28" s="583"/>
      <c r="AHT28" s="583"/>
      <c r="AHU28" s="583"/>
      <c r="AHV28" s="583"/>
      <c r="AHW28" s="583"/>
      <c r="AHX28" s="583"/>
      <c r="AHY28" s="583"/>
      <c r="AHZ28" s="583"/>
      <c r="AIA28" s="583"/>
      <c r="AIB28" s="583"/>
      <c r="AIC28" s="583"/>
      <c r="AID28" s="583"/>
      <c r="AIE28" s="583"/>
      <c r="AIF28" s="583"/>
      <c r="AIG28" s="583"/>
      <c r="AIH28" s="583"/>
      <c r="AII28" s="583"/>
      <c r="AIJ28" s="583"/>
      <c r="AIK28" s="583"/>
      <c r="AIL28" s="583"/>
      <c r="AIM28" s="583"/>
      <c r="AIN28" s="583"/>
      <c r="AIO28" s="583"/>
      <c r="AIP28" s="583"/>
      <c r="AIQ28" s="583"/>
      <c r="AIR28" s="583"/>
      <c r="AIS28" s="583"/>
      <c r="AIT28" s="583"/>
      <c r="AIU28" s="583"/>
      <c r="AIV28" s="583"/>
      <c r="AIW28" s="583"/>
      <c r="AIX28" s="583"/>
      <c r="AIY28" s="583"/>
      <c r="AIZ28" s="583"/>
      <c r="AJA28" s="583"/>
      <c r="AJB28" s="583"/>
      <c r="AJC28" s="583"/>
      <c r="AJD28" s="583"/>
      <c r="AJE28" s="583"/>
      <c r="AJF28" s="583"/>
      <c r="AJG28" s="583"/>
      <c r="AJH28" s="583"/>
      <c r="AJI28" s="583"/>
      <c r="AJJ28" s="583"/>
      <c r="AJK28" s="583"/>
      <c r="AJL28" s="583"/>
      <c r="AJM28" s="583"/>
      <c r="AJN28" s="583"/>
      <c r="AJO28" s="583"/>
      <c r="AJP28" s="583"/>
      <c r="AJQ28" s="583"/>
      <c r="AJR28" s="583"/>
      <c r="AJS28" s="583"/>
      <c r="AJT28" s="583"/>
      <c r="AJU28" s="583"/>
      <c r="AJV28" s="583"/>
      <c r="AJW28" s="583"/>
      <c r="AJX28" s="583"/>
      <c r="AJY28" s="583"/>
      <c r="AJZ28" s="583"/>
      <c r="AKA28" s="583"/>
      <c r="AKB28" s="583"/>
      <c r="AKC28" s="583"/>
      <c r="AKD28" s="583"/>
      <c r="AKE28" s="583"/>
      <c r="AKF28" s="583"/>
      <c r="AKG28" s="583"/>
      <c r="AKH28" s="583"/>
      <c r="AKI28" s="583"/>
      <c r="AKJ28" s="583"/>
      <c r="AKK28" s="583"/>
      <c r="AKL28" s="583"/>
      <c r="AKM28" s="583"/>
      <c r="AKN28" s="583"/>
      <c r="AKO28" s="583"/>
      <c r="AKP28" s="583"/>
      <c r="AKQ28" s="583"/>
      <c r="AKR28" s="583"/>
      <c r="AKS28" s="583"/>
      <c r="AKT28" s="583"/>
      <c r="AKU28" s="583"/>
      <c r="AKV28" s="583"/>
      <c r="AKW28" s="583"/>
      <c r="AKX28" s="583"/>
      <c r="AKY28" s="583"/>
      <c r="AKZ28" s="583"/>
      <c r="ALA28" s="583"/>
      <c r="ALB28" s="583"/>
      <c r="ALC28" s="583"/>
      <c r="ALD28" s="583"/>
      <c r="ALE28" s="583"/>
      <c r="ALF28" s="583"/>
      <c r="ALG28" s="583"/>
      <c r="ALH28" s="583"/>
      <c r="ALI28" s="583"/>
      <c r="ALJ28" s="583"/>
      <c r="ALK28" s="583"/>
      <c r="ALL28" s="583"/>
      <c r="ALM28" s="583"/>
      <c r="ALN28" s="583"/>
      <c r="ALO28" s="583"/>
      <c r="ALP28" s="583"/>
      <c r="ALQ28" s="583"/>
      <c r="ALR28" s="583"/>
      <c r="ALS28" s="583"/>
      <c r="ALT28" s="583"/>
      <c r="ALU28" s="583"/>
      <c r="ALV28" s="583"/>
      <c r="ALW28" s="583"/>
      <c r="ALX28" s="583"/>
      <c r="ALY28" s="583"/>
      <c r="ALZ28" s="583"/>
      <c r="AMA28" s="583"/>
      <c r="AMB28" s="583"/>
      <c r="AMC28" s="583"/>
      <c r="AMD28" s="583"/>
      <c r="AME28" s="583"/>
      <c r="AMF28" s="583"/>
      <c r="AMG28" s="583"/>
      <c r="AMH28" s="583"/>
      <c r="AMI28" s="583"/>
      <c r="AMJ28" s="583"/>
      <c r="AMK28" s="583"/>
      <c r="AML28" s="583"/>
      <c r="AMM28" s="583"/>
      <c r="AMN28" s="583"/>
      <c r="AMO28" s="583"/>
      <c r="AMP28" s="583"/>
      <c r="AMQ28" s="583"/>
      <c r="AMR28" s="583"/>
      <c r="AMS28" s="583"/>
      <c r="AMT28" s="583"/>
      <c r="AMU28" s="583"/>
      <c r="AMV28" s="583"/>
      <c r="AMW28" s="583"/>
      <c r="AMX28" s="583"/>
      <c r="AMY28" s="583"/>
      <c r="AMZ28" s="583"/>
      <c r="ANA28" s="583"/>
      <c r="ANB28" s="583"/>
      <c r="ANC28" s="583"/>
      <c r="AND28" s="583"/>
      <c r="ANE28" s="583"/>
      <c r="ANF28" s="583"/>
      <c r="ANG28" s="583"/>
      <c r="ANH28" s="583"/>
      <c r="ANI28" s="583"/>
      <c r="ANJ28" s="583"/>
      <c r="ANK28" s="583"/>
      <c r="ANL28" s="583"/>
      <c r="ANM28" s="583"/>
      <c r="ANN28" s="583"/>
      <c r="ANO28" s="583"/>
      <c r="ANP28" s="583"/>
      <c r="ANQ28" s="583"/>
      <c r="ANR28" s="583"/>
      <c r="ANS28" s="583"/>
      <c r="ANT28" s="583"/>
      <c r="ANU28" s="583"/>
      <c r="ANV28" s="583"/>
      <c r="ANW28" s="583"/>
      <c r="ANX28" s="583"/>
      <c r="ANY28" s="583"/>
      <c r="ANZ28" s="583"/>
      <c r="AOA28" s="583"/>
      <c r="AOB28" s="583"/>
      <c r="AOC28" s="583"/>
      <c r="AOD28" s="583"/>
      <c r="AOE28" s="583"/>
      <c r="AOF28" s="583"/>
      <c r="AOG28" s="583"/>
      <c r="AOH28" s="583"/>
      <c r="AOI28" s="583"/>
      <c r="AOJ28" s="583"/>
      <c r="AOK28" s="583"/>
      <c r="AOL28" s="583"/>
      <c r="AOM28" s="583"/>
      <c r="AON28" s="583"/>
      <c r="AOO28" s="583"/>
      <c r="AOP28" s="583"/>
      <c r="AOQ28" s="583"/>
      <c r="AOR28" s="583"/>
      <c r="AOS28" s="583"/>
      <c r="AOT28" s="583"/>
      <c r="AOU28" s="583"/>
      <c r="AOV28" s="583"/>
      <c r="AOW28" s="583"/>
      <c r="AOX28" s="583"/>
      <c r="AOY28" s="583"/>
      <c r="AOZ28" s="583"/>
      <c r="APA28" s="583"/>
      <c r="APB28" s="583"/>
      <c r="APC28" s="583"/>
      <c r="APD28" s="583"/>
      <c r="APE28" s="583"/>
      <c r="APF28" s="583"/>
      <c r="APG28" s="583"/>
      <c r="APH28" s="583"/>
      <c r="API28" s="583"/>
      <c r="APJ28" s="583"/>
      <c r="APK28" s="583"/>
      <c r="APL28" s="583"/>
      <c r="APM28" s="583"/>
      <c r="APN28" s="583"/>
      <c r="APO28" s="583"/>
      <c r="APP28" s="583"/>
      <c r="APQ28" s="583"/>
      <c r="APR28" s="583"/>
      <c r="APS28" s="583"/>
      <c r="APT28" s="583"/>
      <c r="APU28" s="583"/>
      <c r="APV28" s="583"/>
      <c r="APW28" s="583"/>
      <c r="APX28" s="583"/>
      <c r="APY28" s="583"/>
      <c r="APZ28" s="583"/>
      <c r="AQA28" s="583"/>
      <c r="AQB28" s="583"/>
      <c r="AQC28" s="583"/>
      <c r="AQD28" s="583"/>
      <c r="AQE28" s="583"/>
      <c r="AQF28" s="583"/>
      <c r="AQG28" s="583"/>
      <c r="AQH28" s="583"/>
      <c r="AQI28" s="583"/>
      <c r="AQJ28" s="583"/>
      <c r="AQK28" s="583"/>
      <c r="AQL28" s="583"/>
      <c r="AQM28" s="583"/>
      <c r="AQN28" s="583"/>
      <c r="AQO28" s="583"/>
      <c r="AQP28" s="583"/>
      <c r="AQQ28" s="583"/>
      <c r="AQR28" s="583"/>
      <c r="AQS28" s="583"/>
      <c r="AQT28" s="583"/>
      <c r="AQU28" s="583"/>
      <c r="AQV28" s="583"/>
      <c r="AQW28" s="583"/>
      <c r="AQX28" s="583"/>
      <c r="AQY28" s="583"/>
      <c r="AQZ28" s="583"/>
      <c r="ARA28" s="583"/>
      <c r="ARB28" s="583"/>
      <c r="ARC28" s="583"/>
      <c r="ARD28" s="583"/>
      <c r="ARE28" s="583"/>
      <c r="ARF28" s="583"/>
      <c r="ARG28" s="583"/>
      <c r="ARH28" s="583"/>
      <c r="ARI28" s="583"/>
      <c r="ARJ28" s="583"/>
      <c r="ARK28" s="583"/>
      <c r="ARL28" s="583"/>
      <c r="ARM28" s="583"/>
      <c r="ARN28" s="583"/>
      <c r="ARO28" s="583"/>
      <c r="ARP28" s="583"/>
      <c r="ARQ28" s="583"/>
      <c r="ARR28" s="583"/>
      <c r="ARS28" s="583"/>
      <c r="ART28" s="583"/>
      <c r="ARU28" s="583"/>
      <c r="ARV28" s="583"/>
      <c r="ARW28" s="583"/>
      <c r="ARX28" s="583"/>
      <c r="ARY28" s="583"/>
      <c r="ARZ28" s="583"/>
      <c r="ASA28" s="583"/>
      <c r="ASB28" s="583"/>
      <c r="ASC28" s="583"/>
      <c r="ASD28" s="583"/>
      <c r="ASE28" s="583"/>
      <c r="ASF28" s="583"/>
      <c r="ASG28" s="583"/>
      <c r="ASH28" s="583"/>
      <c r="ASI28" s="583"/>
      <c r="ASJ28" s="583"/>
      <c r="ASK28" s="583"/>
      <c r="ASL28" s="583"/>
      <c r="ASM28" s="583"/>
      <c r="ASN28" s="583"/>
      <c r="ASO28" s="583"/>
      <c r="ASP28" s="583"/>
      <c r="ASQ28" s="583"/>
      <c r="ASR28" s="583"/>
      <c r="ASS28" s="583"/>
      <c r="AST28" s="583"/>
      <c r="ASU28" s="583"/>
      <c r="ASV28" s="583"/>
      <c r="ASW28" s="583"/>
      <c r="ASX28" s="583"/>
      <c r="ASY28" s="583"/>
      <c r="ASZ28" s="583"/>
      <c r="ATA28" s="583"/>
      <c r="ATB28" s="583"/>
      <c r="ATC28" s="583"/>
      <c r="ATD28" s="583"/>
      <c r="ATE28" s="583"/>
      <c r="ATF28" s="583"/>
      <c r="ATG28" s="583"/>
      <c r="ATH28" s="583"/>
      <c r="ATI28" s="583"/>
      <c r="ATJ28" s="583"/>
      <c r="ATK28" s="583"/>
      <c r="ATL28" s="583"/>
      <c r="ATM28" s="583"/>
      <c r="ATN28" s="583"/>
      <c r="ATO28" s="583"/>
      <c r="ATP28" s="583"/>
      <c r="ATQ28" s="583"/>
      <c r="ATR28" s="583"/>
      <c r="ATS28" s="583"/>
      <c r="ATT28" s="583"/>
      <c r="ATU28" s="583"/>
      <c r="ATV28" s="583"/>
      <c r="ATW28" s="583"/>
      <c r="ATX28" s="583"/>
      <c r="ATY28" s="583"/>
      <c r="ATZ28" s="583"/>
      <c r="AUA28" s="583"/>
      <c r="AUB28" s="583"/>
      <c r="AUC28" s="583"/>
      <c r="AUD28" s="583"/>
      <c r="AUE28" s="583"/>
      <c r="AUF28" s="583"/>
      <c r="AUG28" s="583"/>
      <c r="AUH28" s="583"/>
      <c r="AUI28" s="583"/>
      <c r="AUJ28" s="583"/>
      <c r="AUK28" s="583"/>
      <c r="AUL28" s="583"/>
      <c r="AUM28" s="583"/>
      <c r="AUN28" s="583"/>
      <c r="AUO28" s="583"/>
      <c r="AUP28" s="583"/>
      <c r="AUQ28" s="583"/>
      <c r="AUR28" s="583"/>
      <c r="AUS28" s="583"/>
      <c r="AUT28" s="583"/>
      <c r="AUU28" s="583"/>
      <c r="AUV28" s="583"/>
      <c r="AUW28" s="583"/>
      <c r="AUX28" s="583"/>
      <c r="AUY28" s="583"/>
      <c r="AUZ28" s="583"/>
      <c r="AVA28" s="583"/>
      <c r="AVB28" s="583"/>
      <c r="AVC28" s="583"/>
      <c r="AVD28" s="583"/>
      <c r="AVE28" s="583"/>
      <c r="AVF28" s="583"/>
      <c r="AVG28" s="583"/>
      <c r="AVH28" s="583"/>
      <c r="AVI28" s="583"/>
      <c r="AVJ28" s="583"/>
      <c r="AVK28" s="583"/>
      <c r="AVL28" s="583"/>
      <c r="AVM28" s="583"/>
      <c r="AVN28" s="583"/>
      <c r="AVO28" s="583"/>
      <c r="AVP28" s="583"/>
      <c r="AVQ28" s="583"/>
      <c r="AVR28" s="583"/>
      <c r="AVS28" s="583"/>
      <c r="AVT28" s="583"/>
      <c r="AVU28" s="583"/>
      <c r="AVV28" s="583"/>
      <c r="AVW28" s="583"/>
      <c r="AVX28" s="583"/>
      <c r="AVY28" s="583"/>
      <c r="AVZ28" s="583"/>
      <c r="AWA28" s="583"/>
      <c r="AWB28" s="583"/>
      <c r="AWC28" s="583"/>
      <c r="AWD28" s="583"/>
      <c r="AWE28" s="583"/>
      <c r="AWF28" s="583"/>
      <c r="AWG28" s="583"/>
      <c r="AWH28" s="583"/>
      <c r="AWI28" s="583"/>
      <c r="AWJ28" s="583"/>
      <c r="AWK28" s="583"/>
      <c r="AWL28" s="583"/>
      <c r="AWM28" s="583"/>
      <c r="AWN28" s="583"/>
      <c r="AWO28" s="583"/>
      <c r="AWP28" s="583"/>
      <c r="AWQ28" s="583"/>
      <c r="AWR28" s="583"/>
      <c r="AWS28" s="583"/>
      <c r="AWT28" s="583"/>
      <c r="AWU28" s="583"/>
      <c r="AWV28" s="583"/>
      <c r="AWW28" s="583"/>
      <c r="AWX28" s="583"/>
      <c r="AWY28" s="583"/>
      <c r="AWZ28" s="583"/>
      <c r="AXA28" s="583"/>
      <c r="AXB28" s="583"/>
      <c r="AXC28" s="583"/>
      <c r="AXD28" s="583"/>
      <c r="AXE28" s="583"/>
      <c r="AXF28" s="583"/>
      <c r="AXG28" s="583"/>
      <c r="AXH28" s="583"/>
      <c r="AXI28" s="583"/>
      <c r="AXJ28" s="583"/>
      <c r="AXK28" s="583"/>
      <c r="AXL28" s="583"/>
      <c r="AXM28" s="583"/>
      <c r="AXN28" s="583"/>
      <c r="AXO28" s="583"/>
      <c r="AXP28" s="583"/>
      <c r="AXQ28" s="583"/>
      <c r="AXR28" s="583"/>
      <c r="AXS28" s="583"/>
      <c r="AXT28" s="583"/>
      <c r="AXU28" s="583"/>
      <c r="AXV28" s="583"/>
      <c r="AXW28" s="583"/>
      <c r="AXX28" s="583"/>
      <c r="AXY28" s="583"/>
      <c r="AXZ28" s="583"/>
      <c r="AYA28" s="583"/>
      <c r="AYB28" s="583"/>
      <c r="AYC28" s="583"/>
      <c r="AYD28" s="583"/>
      <c r="AYE28" s="583"/>
      <c r="AYF28" s="583"/>
      <c r="AYG28" s="583"/>
      <c r="AYH28" s="583"/>
      <c r="AYI28" s="583"/>
      <c r="AYJ28" s="583"/>
      <c r="AYK28" s="583"/>
      <c r="AYL28" s="583"/>
      <c r="AYM28" s="583"/>
      <c r="AYN28" s="583"/>
      <c r="AYO28" s="583"/>
      <c r="AYP28" s="583"/>
      <c r="AYQ28" s="583"/>
      <c r="AYR28" s="583"/>
      <c r="AYS28" s="583"/>
      <c r="AYT28" s="583"/>
      <c r="AYU28" s="583"/>
      <c r="AYV28" s="583"/>
      <c r="AYW28" s="583"/>
      <c r="AYX28" s="583"/>
      <c r="AYY28" s="583"/>
      <c r="AYZ28" s="583"/>
      <c r="AZA28" s="583"/>
      <c r="AZB28" s="583"/>
      <c r="AZC28" s="583"/>
      <c r="AZD28" s="583"/>
      <c r="AZE28" s="583"/>
      <c r="AZF28" s="583"/>
      <c r="AZG28" s="583"/>
      <c r="AZH28" s="583"/>
      <c r="AZI28" s="583"/>
      <c r="AZJ28" s="583"/>
      <c r="AZK28" s="583"/>
      <c r="AZL28" s="583"/>
      <c r="AZM28" s="583"/>
      <c r="AZN28" s="583"/>
      <c r="AZO28" s="583"/>
      <c r="AZP28" s="583"/>
      <c r="AZQ28" s="583"/>
      <c r="AZR28" s="583"/>
      <c r="AZS28" s="583"/>
      <c r="AZT28" s="583"/>
      <c r="AZU28" s="583"/>
      <c r="AZV28" s="583"/>
      <c r="AZW28" s="583"/>
      <c r="AZX28" s="583"/>
      <c r="AZY28" s="583"/>
      <c r="AZZ28" s="583"/>
      <c r="BAA28" s="583"/>
      <c r="BAB28" s="583"/>
      <c r="BAC28" s="583"/>
      <c r="BAD28" s="583"/>
      <c r="BAE28" s="583"/>
      <c r="BAF28" s="583"/>
      <c r="BAG28" s="583"/>
      <c r="BAH28" s="583"/>
      <c r="BAI28" s="583"/>
      <c r="BAJ28" s="583"/>
      <c r="BAK28" s="583"/>
      <c r="BAL28" s="583"/>
      <c r="BAM28" s="583"/>
      <c r="BAN28" s="583"/>
      <c r="BAO28" s="583"/>
      <c r="BAP28" s="583"/>
      <c r="BAQ28" s="583"/>
      <c r="BAR28" s="583"/>
      <c r="BAS28" s="583"/>
      <c r="BAT28" s="583"/>
      <c r="BAU28" s="583"/>
      <c r="BAV28" s="583"/>
      <c r="BAW28" s="583"/>
      <c r="BAX28" s="583"/>
      <c r="BAY28" s="583"/>
      <c r="BAZ28" s="583"/>
      <c r="BBA28" s="583"/>
      <c r="BBB28" s="583"/>
      <c r="BBC28" s="583"/>
      <c r="BBD28" s="583"/>
      <c r="BBE28" s="583"/>
      <c r="BBF28" s="583"/>
      <c r="BBG28" s="583"/>
      <c r="BBH28" s="583"/>
      <c r="BBI28" s="583"/>
      <c r="BBJ28" s="583"/>
      <c r="BBK28" s="583"/>
      <c r="BBL28" s="583"/>
      <c r="BBM28" s="583"/>
      <c r="BBN28" s="583"/>
      <c r="BBO28" s="583"/>
      <c r="BBP28" s="583"/>
      <c r="BBQ28" s="583"/>
      <c r="BBR28" s="583"/>
      <c r="BBS28" s="583"/>
      <c r="BBT28" s="583"/>
      <c r="BBU28" s="583"/>
      <c r="BBV28" s="583"/>
      <c r="BBW28" s="583"/>
      <c r="BBX28" s="583"/>
      <c r="BBY28" s="583"/>
      <c r="BBZ28" s="583"/>
      <c r="BCA28" s="583"/>
      <c r="BCB28" s="583"/>
      <c r="BCC28" s="583"/>
      <c r="BCD28" s="583"/>
      <c r="BCE28" s="583"/>
      <c r="BCF28" s="583"/>
      <c r="BCG28" s="583"/>
      <c r="BCH28" s="583"/>
      <c r="BCI28" s="583"/>
      <c r="BCJ28" s="583"/>
      <c r="BCK28" s="583"/>
      <c r="BCL28" s="583"/>
      <c r="BCM28" s="583"/>
      <c r="BCN28" s="583"/>
      <c r="BCO28" s="583"/>
      <c r="BCP28" s="583"/>
      <c r="BCQ28" s="583"/>
      <c r="BCR28" s="583"/>
      <c r="BCS28" s="583"/>
      <c r="BCT28" s="583"/>
      <c r="BCU28" s="583"/>
      <c r="BCV28" s="583"/>
      <c r="BCW28" s="583"/>
      <c r="BCX28" s="583"/>
      <c r="BCY28" s="583"/>
      <c r="BCZ28" s="583"/>
      <c r="BDA28" s="583"/>
      <c r="BDB28" s="583"/>
      <c r="BDC28" s="583"/>
      <c r="BDD28" s="583"/>
      <c r="BDE28" s="583"/>
      <c r="BDF28" s="583"/>
      <c r="BDG28" s="583"/>
      <c r="BDH28" s="583"/>
      <c r="BDI28" s="583"/>
      <c r="BDJ28" s="583"/>
      <c r="BDK28" s="583"/>
      <c r="BDL28" s="583"/>
      <c r="BDM28" s="583"/>
      <c r="BDN28" s="583"/>
      <c r="BDO28" s="583"/>
      <c r="BDP28" s="583"/>
      <c r="BDQ28" s="583"/>
      <c r="BDR28" s="583"/>
      <c r="BDS28" s="583"/>
      <c r="BDT28" s="583"/>
      <c r="BDU28" s="583"/>
      <c r="BDV28" s="583"/>
      <c r="BDW28" s="583"/>
      <c r="BDX28" s="583"/>
      <c r="BDY28" s="583"/>
      <c r="BDZ28" s="583"/>
      <c r="BEA28" s="583"/>
      <c r="BEB28" s="583"/>
      <c r="BEC28" s="583"/>
      <c r="BED28" s="583"/>
      <c r="BEE28" s="583"/>
      <c r="BEF28" s="583"/>
      <c r="BEG28" s="583"/>
      <c r="BEH28" s="583"/>
      <c r="BEI28" s="583"/>
      <c r="BEJ28" s="583"/>
      <c r="BEK28" s="583"/>
      <c r="BEL28" s="583"/>
      <c r="BEM28" s="583"/>
      <c r="BEN28" s="583"/>
      <c r="BEO28" s="583"/>
      <c r="BEP28" s="583"/>
      <c r="BEQ28" s="583"/>
      <c r="BER28" s="583"/>
      <c r="BES28" s="583"/>
      <c r="BET28" s="583"/>
      <c r="BEU28" s="583"/>
      <c r="BEV28" s="583"/>
      <c r="BEW28" s="583"/>
      <c r="BEX28" s="583"/>
      <c r="BEY28" s="583"/>
      <c r="BEZ28" s="583"/>
      <c r="BFA28" s="583"/>
      <c r="BFB28" s="583"/>
      <c r="BFC28" s="583"/>
      <c r="BFD28" s="583"/>
      <c r="BFE28" s="583"/>
      <c r="BFF28" s="583"/>
      <c r="BFG28" s="583"/>
      <c r="BFH28" s="583"/>
      <c r="BFI28" s="583"/>
      <c r="BFJ28" s="583"/>
      <c r="BFK28" s="583"/>
      <c r="BFL28" s="583"/>
      <c r="BFM28" s="583"/>
      <c r="BFN28" s="583"/>
      <c r="BFO28" s="583"/>
      <c r="BFP28" s="583"/>
      <c r="BFQ28" s="583"/>
      <c r="BFR28" s="583"/>
      <c r="BFS28" s="583"/>
      <c r="BFT28" s="583"/>
      <c r="BFU28" s="583"/>
      <c r="BFV28" s="583"/>
      <c r="BFW28" s="583"/>
      <c r="BFX28" s="583"/>
      <c r="BFY28" s="583"/>
      <c r="BFZ28" s="583"/>
      <c r="BGA28" s="583"/>
      <c r="BGB28" s="583"/>
      <c r="BGC28" s="583"/>
      <c r="BGD28" s="583"/>
      <c r="BGE28" s="583"/>
      <c r="BGF28" s="583"/>
      <c r="BGG28" s="583"/>
      <c r="BGH28" s="583"/>
      <c r="BGI28" s="583"/>
      <c r="BGJ28" s="583"/>
      <c r="BGK28" s="583"/>
      <c r="BGL28" s="583"/>
      <c r="BGM28" s="583"/>
      <c r="BGN28" s="583"/>
      <c r="BGO28" s="583"/>
      <c r="BGP28" s="583"/>
      <c r="BGQ28" s="583"/>
      <c r="BGR28" s="583"/>
      <c r="BGS28" s="583"/>
      <c r="BGT28" s="583"/>
      <c r="BGU28" s="583"/>
      <c r="BGV28" s="583"/>
      <c r="BGW28" s="583"/>
      <c r="BGX28" s="583"/>
      <c r="BGY28" s="583"/>
      <c r="BGZ28" s="583"/>
      <c r="BHA28" s="583"/>
      <c r="BHB28" s="583"/>
      <c r="BHC28" s="583"/>
      <c r="BHD28" s="583"/>
      <c r="BHE28" s="583"/>
      <c r="BHF28" s="583"/>
      <c r="BHG28" s="583"/>
      <c r="BHH28" s="583"/>
      <c r="BHI28" s="583"/>
      <c r="BHJ28" s="583"/>
      <c r="BHK28" s="583"/>
      <c r="BHL28" s="583"/>
      <c r="BHM28" s="583"/>
      <c r="BHN28" s="583"/>
      <c r="BHO28" s="583"/>
      <c r="BHP28" s="583"/>
      <c r="BHQ28" s="583"/>
      <c r="BHR28" s="583"/>
      <c r="BHS28" s="583"/>
      <c r="BHT28" s="583"/>
      <c r="BHU28" s="583"/>
      <c r="BHV28" s="583"/>
      <c r="BHW28" s="583"/>
      <c r="BHX28" s="583"/>
      <c r="BHY28" s="583"/>
      <c r="BHZ28" s="583"/>
      <c r="BIA28" s="583"/>
      <c r="BIB28" s="583"/>
      <c r="BIC28" s="583"/>
      <c r="BID28" s="583"/>
      <c r="BIE28" s="583"/>
      <c r="BIF28" s="583"/>
      <c r="BIG28" s="583"/>
      <c r="BIH28" s="583"/>
      <c r="BII28" s="583"/>
      <c r="BIJ28" s="583"/>
      <c r="BIK28" s="583"/>
      <c r="BIL28" s="583"/>
      <c r="BIM28" s="583"/>
      <c r="BIN28" s="583"/>
      <c r="BIO28" s="583"/>
      <c r="BIP28" s="583"/>
      <c r="BIQ28" s="583"/>
      <c r="BIR28" s="583"/>
      <c r="BIS28" s="583"/>
      <c r="BIT28" s="583"/>
      <c r="BIU28" s="583"/>
      <c r="BIV28" s="583"/>
      <c r="BIW28" s="583"/>
      <c r="BIX28" s="583"/>
      <c r="BIY28" s="583"/>
      <c r="BIZ28" s="583"/>
      <c r="BJA28" s="583"/>
      <c r="BJB28" s="583"/>
      <c r="BJC28" s="583"/>
      <c r="BJD28" s="583"/>
      <c r="BJE28" s="583"/>
      <c r="BJF28" s="583"/>
      <c r="BJG28" s="583"/>
      <c r="BJH28" s="583"/>
      <c r="BJI28" s="583"/>
      <c r="BJJ28" s="583"/>
      <c r="BJK28" s="583"/>
      <c r="BJL28" s="583"/>
      <c r="BJM28" s="583"/>
      <c r="BJN28" s="583"/>
      <c r="BJO28" s="583"/>
      <c r="BJP28" s="583"/>
      <c r="BJQ28" s="583"/>
      <c r="BJR28" s="583"/>
      <c r="BJS28" s="583"/>
      <c r="BJT28" s="583"/>
      <c r="BJU28" s="583"/>
      <c r="BJV28" s="583"/>
      <c r="BJW28" s="583"/>
      <c r="BJX28" s="583"/>
      <c r="BJY28" s="583"/>
      <c r="BJZ28" s="583"/>
      <c r="BKA28" s="583"/>
      <c r="BKB28" s="583"/>
      <c r="BKC28" s="583"/>
      <c r="BKD28" s="583"/>
      <c r="BKE28" s="583"/>
      <c r="BKF28" s="583"/>
      <c r="BKG28" s="583"/>
      <c r="BKH28" s="583"/>
      <c r="BKI28" s="583"/>
      <c r="BKJ28" s="583"/>
      <c r="BKK28" s="583"/>
      <c r="BKL28" s="583"/>
      <c r="BKM28" s="583"/>
      <c r="BKN28" s="583"/>
      <c r="BKO28" s="583"/>
      <c r="BKP28" s="583"/>
      <c r="BKQ28" s="583"/>
      <c r="BKR28" s="583"/>
      <c r="BKS28" s="583"/>
      <c r="BKT28" s="583"/>
      <c r="BKU28" s="583"/>
      <c r="BKV28" s="583"/>
      <c r="BKW28" s="583"/>
      <c r="BKX28" s="583"/>
      <c r="BKY28" s="583"/>
      <c r="BKZ28" s="583"/>
      <c r="BLA28" s="583"/>
      <c r="BLB28" s="583"/>
      <c r="BLC28" s="583"/>
      <c r="BLD28" s="583"/>
      <c r="BLE28" s="583"/>
      <c r="BLF28" s="583"/>
      <c r="BLG28" s="583"/>
      <c r="BLH28" s="583"/>
      <c r="BLI28" s="583"/>
      <c r="BLJ28" s="583"/>
      <c r="BLK28" s="583"/>
      <c r="BLL28" s="583"/>
      <c r="BLM28" s="583"/>
      <c r="BLN28" s="583"/>
      <c r="BLO28" s="583"/>
      <c r="BLP28" s="583"/>
      <c r="BLQ28" s="583"/>
      <c r="BLR28" s="583"/>
      <c r="BLS28" s="583"/>
      <c r="BLT28" s="583"/>
      <c r="BLU28" s="583"/>
      <c r="BLV28" s="583"/>
      <c r="BLW28" s="583"/>
      <c r="BLX28" s="583"/>
      <c r="BLY28" s="583"/>
      <c r="BLZ28" s="583"/>
      <c r="BMA28" s="583"/>
      <c r="BMB28" s="583"/>
      <c r="BMC28" s="583"/>
      <c r="BMD28" s="583"/>
      <c r="BME28" s="583"/>
      <c r="BMF28" s="583"/>
      <c r="BMG28" s="583"/>
      <c r="BMH28" s="583"/>
      <c r="BMI28" s="583"/>
      <c r="BMJ28" s="583"/>
      <c r="BMK28" s="583"/>
      <c r="BML28" s="583"/>
      <c r="BMM28" s="583"/>
      <c r="BMN28" s="583"/>
      <c r="BMO28" s="583"/>
      <c r="BMP28" s="583"/>
      <c r="BMQ28" s="583"/>
      <c r="BMR28" s="583"/>
      <c r="BMS28" s="583"/>
      <c r="BMT28" s="583"/>
      <c r="BMU28" s="583"/>
      <c r="BMV28" s="583"/>
      <c r="BMW28" s="583"/>
      <c r="BMX28" s="583"/>
      <c r="BMY28" s="583"/>
      <c r="BMZ28" s="583"/>
      <c r="BNA28" s="583"/>
      <c r="BNB28" s="583"/>
      <c r="BNC28" s="583"/>
      <c r="BND28" s="583"/>
      <c r="BNE28" s="583"/>
      <c r="BNF28" s="583"/>
      <c r="BNG28" s="583"/>
      <c r="BNH28" s="583"/>
      <c r="BNI28" s="583"/>
      <c r="BNJ28" s="583"/>
      <c r="BNK28" s="583"/>
      <c r="BNL28" s="583"/>
      <c r="BNM28" s="583"/>
      <c r="BNN28" s="583"/>
      <c r="BNO28" s="583"/>
      <c r="BNP28" s="583"/>
      <c r="BNQ28" s="583"/>
      <c r="BNR28" s="583"/>
      <c r="BNS28" s="583"/>
      <c r="BNT28" s="583"/>
      <c r="BNU28" s="583"/>
      <c r="BNV28" s="583"/>
      <c r="BNW28" s="583"/>
      <c r="BNX28" s="583"/>
      <c r="BNY28" s="583"/>
      <c r="BNZ28" s="583"/>
      <c r="BOA28" s="583"/>
      <c r="BOB28" s="583"/>
      <c r="BOC28" s="583"/>
      <c r="BOD28" s="583"/>
      <c r="BOE28" s="583"/>
      <c r="BOF28" s="583"/>
      <c r="BOG28" s="583"/>
      <c r="BOH28" s="583"/>
      <c r="BOI28" s="583"/>
      <c r="BOJ28" s="583"/>
      <c r="BOK28" s="583"/>
      <c r="BOL28" s="583"/>
      <c r="BOM28" s="583"/>
      <c r="BON28" s="583"/>
      <c r="BOO28" s="583"/>
      <c r="BOP28" s="583"/>
      <c r="BOQ28" s="583"/>
      <c r="BOR28" s="583"/>
      <c r="BOS28" s="583"/>
      <c r="BOT28" s="583"/>
      <c r="BOU28" s="583"/>
      <c r="BOV28" s="583"/>
      <c r="BOW28" s="583"/>
      <c r="BOX28" s="583"/>
      <c r="BOY28" s="583"/>
      <c r="BOZ28" s="583"/>
      <c r="BPA28" s="583"/>
      <c r="BPB28" s="583"/>
      <c r="BPC28" s="583"/>
      <c r="BPD28" s="583"/>
      <c r="BPE28" s="583"/>
      <c r="BPF28" s="583"/>
      <c r="BPG28" s="583"/>
      <c r="BPH28" s="583"/>
      <c r="BPI28" s="583"/>
      <c r="BPJ28" s="583"/>
      <c r="BPK28" s="583"/>
      <c r="BPL28" s="583"/>
      <c r="BPM28" s="583"/>
      <c r="BPN28" s="583"/>
      <c r="BPO28" s="583"/>
      <c r="BPP28" s="583"/>
      <c r="BPQ28" s="583"/>
      <c r="BPR28" s="583"/>
      <c r="BPS28" s="583"/>
      <c r="BPT28" s="583"/>
      <c r="BPU28" s="583"/>
      <c r="BPV28" s="583"/>
      <c r="BPW28" s="583"/>
      <c r="BPX28" s="583"/>
      <c r="BPY28" s="583"/>
      <c r="BPZ28" s="583"/>
      <c r="BQA28" s="583"/>
      <c r="BQB28" s="583"/>
      <c r="BQC28" s="583"/>
      <c r="BQD28" s="583"/>
      <c r="BQE28" s="583"/>
      <c r="BQF28" s="583"/>
      <c r="BQG28" s="583"/>
      <c r="BQH28" s="583"/>
      <c r="BQI28" s="583"/>
      <c r="BQJ28" s="583"/>
      <c r="BQK28" s="583"/>
      <c r="BQL28" s="583"/>
      <c r="BQM28" s="583"/>
      <c r="BQN28" s="583"/>
      <c r="BQO28" s="583"/>
      <c r="BQP28" s="583"/>
      <c r="BQQ28" s="583"/>
      <c r="BQR28" s="583"/>
      <c r="BQS28" s="583"/>
      <c r="BQT28" s="583"/>
      <c r="BQU28" s="583"/>
      <c r="BQV28" s="583"/>
      <c r="BQW28" s="583"/>
      <c r="BQX28" s="583"/>
      <c r="BQY28" s="583"/>
      <c r="BQZ28" s="583"/>
      <c r="BRA28" s="583"/>
      <c r="BRB28" s="583"/>
      <c r="BRC28" s="583"/>
      <c r="BRD28" s="583"/>
      <c r="BRE28" s="583"/>
      <c r="BRF28" s="583"/>
      <c r="BRG28" s="583"/>
      <c r="BRH28" s="583"/>
      <c r="BRI28" s="583"/>
      <c r="BRJ28" s="583"/>
      <c r="BRK28" s="583"/>
      <c r="BRL28" s="583"/>
      <c r="BRM28" s="583"/>
      <c r="BRN28" s="583"/>
      <c r="BRO28" s="583"/>
      <c r="BRP28" s="583"/>
      <c r="BRQ28" s="583"/>
      <c r="BRR28" s="583"/>
      <c r="BRS28" s="583"/>
      <c r="BRT28" s="583"/>
      <c r="BRU28" s="583"/>
      <c r="BRV28" s="583"/>
      <c r="BRW28" s="583"/>
      <c r="BRX28" s="583"/>
      <c r="BRY28" s="583"/>
      <c r="BRZ28" s="583"/>
      <c r="BSA28" s="583"/>
      <c r="BSB28" s="583"/>
      <c r="BSC28" s="583"/>
      <c r="BSD28" s="583"/>
      <c r="BSE28" s="583"/>
      <c r="BSF28" s="583"/>
      <c r="BSG28" s="583"/>
      <c r="BSH28" s="583"/>
      <c r="BSI28" s="583"/>
      <c r="BSJ28" s="583"/>
      <c r="BSK28" s="583"/>
      <c r="BSL28" s="583"/>
      <c r="BSM28" s="583"/>
      <c r="BSN28" s="583"/>
      <c r="BSO28" s="583"/>
      <c r="BSP28" s="583"/>
      <c r="BSQ28" s="583"/>
      <c r="BSR28" s="583"/>
      <c r="BSS28" s="583"/>
      <c r="BST28" s="583"/>
      <c r="BSU28" s="583"/>
      <c r="BSV28" s="583"/>
      <c r="BSW28" s="583"/>
      <c r="BSX28" s="583"/>
      <c r="BSY28" s="583"/>
      <c r="BSZ28" s="583"/>
      <c r="BTA28" s="583"/>
      <c r="BTB28" s="583"/>
      <c r="BTC28" s="583"/>
      <c r="BTD28" s="583"/>
      <c r="BTE28" s="583"/>
      <c r="BTF28" s="583"/>
      <c r="BTG28" s="583"/>
      <c r="BTH28" s="583"/>
      <c r="BTI28" s="583"/>
      <c r="BTJ28" s="583"/>
      <c r="BTK28" s="583"/>
      <c r="BTL28" s="583"/>
      <c r="BTM28" s="583"/>
      <c r="BTN28" s="583"/>
      <c r="BTO28" s="583"/>
      <c r="BTP28" s="583"/>
      <c r="BTQ28" s="583"/>
      <c r="BTR28" s="583"/>
      <c r="BTS28" s="583"/>
      <c r="BTT28" s="583"/>
      <c r="BTU28" s="583"/>
      <c r="BTV28" s="583"/>
      <c r="BTW28" s="583"/>
      <c r="BTX28" s="583"/>
      <c r="BTY28" s="583"/>
      <c r="BTZ28" s="583"/>
      <c r="BUA28" s="583"/>
      <c r="BUB28" s="583"/>
      <c r="BUC28" s="583"/>
      <c r="BUD28" s="583"/>
      <c r="BUE28" s="583"/>
      <c r="BUF28" s="583"/>
      <c r="BUG28" s="583"/>
      <c r="BUH28" s="583"/>
      <c r="BUI28" s="583"/>
      <c r="BUJ28" s="583"/>
      <c r="BUK28" s="583"/>
      <c r="BUL28" s="583"/>
      <c r="BUM28" s="583"/>
      <c r="BUN28" s="583"/>
      <c r="BUO28" s="583"/>
      <c r="BUP28" s="583"/>
      <c r="BUQ28" s="583"/>
      <c r="BUR28" s="583"/>
      <c r="BUS28" s="583"/>
      <c r="BUT28" s="583"/>
      <c r="BUU28" s="583"/>
      <c r="BUV28" s="583"/>
      <c r="BUW28" s="583"/>
      <c r="BUX28" s="583"/>
      <c r="BUY28" s="583"/>
      <c r="BUZ28" s="583"/>
      <c r="BVA28" s="583"/>
      <c r="BVB28" s="583"/>
      <c r="BVC28" s="583"/>
      <c r="BVD28" s="583"/>
      <c r="BVE28" s="583"/>
      <c r="BVF28" s="583"/>
      <c r="BVG28" s="583"/>
      <c r="BVH28" s="583"/>
      <c r="BVI28" s="583"/>
      <c r="BVJ28" s="583"/>
      <c r="BVK28" s="583"/>
      <c r="BVL28" s="583"/>
      <c r="BVM28" s="583"/>
      <c r="BVN28" s="583"/>
      <c r="BVO28" s="583"/>
      <c r="BVP28" s="583"/>
      <c r="BVQ28" s="583"/>
      <c r="BVR28" s="583"/>
      <c r="BVS28" s="583"/>
      <c r="BVT28" s="583"/>
      <c r="BVU28" s="583"/>
      <c r="BVV28" s="583"/>
      <c r="BVW28" s="583"/>
      <c r="BVX28" s="583"/>
      <c r="BVY28" s="583"/>
      <c r="BVZ28" s="583"/>
      <c r="BWA28" s="583"/>
      <c r="BWB28" s="583"/>
      <c r="BWC28" s="583"/>
      <c r="BWD28" s="583"/>
      <c r="BWE28" s="583"/>
      <c r="BWF28" s="583"/>
      <c r="BWG28" s="583"/>
      <c r="BWH28" s="583"/>
      <c r="BWI28" s="583"/>
      <c r="BWJ28" s="583"/>
      <c r="BWK28" s="583"/>
      <c r="BWL28" s="583"/>
      <c r="BWM28" s="583"/>
      <c r="BWN28" s="583"/>
      <c r="BWO28" s="583"/>
      <c r="BWP28" s="583"/>
      <c r="BWQ28" s="583"/>
      <c r="BWR28" s="583"/>
      <c r="BWS28" s="583"/>
      <c r="BWT28" s="583"/>
      <c r="BWU28" s="583"/>
      <c r="BWV28" s="583"/>
      <c r="BWW28" s="583"/>
      <c r="BWX28" s="583"/>
      <c r="BWY28" s="583"/>
      <c r="BWZ28" s="583"/>
      <c r="BXA28" s="583"/>
      <c r="BXB28" s="583"/>
      <c r="BXC28" s="583"/>
      <c r="BXD28" s="583"/>
      <c r="BXE28" s="583"/>
      <c r="BXF28" s="583"/>
      <c r="BXG28" s="583"/>
      <c r="BXH28" s="583"/>
      <c r="BXI28" s="583"/>
      <c r="BXJ28" s="583"/>
      <c r="BXK28" s="583"/>
      <c r="BXL28" s="583"/>
      <c r="BXM28" s="583"/>
      <c r="BXN28" s="583"/>
      <c r="BXO28" s="583"/>
      <c r="BXP28" s="583"/>
      <c r="BXQ28" s="583"/>
      <c r="BXR28" s="583"/>
      <c r="BXS28" s="583"/>
      <c r="BXT28" s="583"/>
      <c r="BXU28" s="583"/>
      <c r="BXV28" s="583"/>
      <c r="BXW28" s="583"/>
      <c r="BXX28" s="583"/>
      <c r="BXY28" s="583"/>
      <c r="BXZ28" s="583"/>
      <c r="BYA28" s="583"/>
      <c r="BYB28" s="583"/>
      <c r="BYC28" s="583"/>
      <c r="BYD28" s="583"/>
      <c r="BYE28" s="583"/>
      <c r="BYF28" s="583"/>
      <c r="BYG28" s="583"/>
      <c r="BYH28" s="583"/>
      <c r="BYI28" s="583"/>
      <c r="BYJ28" s="583"/>
      <c r="BYK28" s="583"/>
      <c r="BYL28" s="583"/>
      <c r="BYM28" s="583"/>
      <c r="BYN28" s="583"/>
      <c r="BYO28" s="583"/>
      <c r="BYP28" s="583"/>
      <c r="BYQ28" s="583"/>
      <c r="BYR28" s="583"/>
      <c r="BYS28" s="583"/>
      <c r="BYT28" s="583"/>
      <c r="BYU28" s="583"/>
      <c r="BYV28" s="583"/>
      <c r="BYW28" s="583"/>
      <c r="BYX28" s="583"/>
      <c r="BYY28" s="583"/>
      <c r="BYZ28" s="583"/>
      <c r="BZA28" s="583"/>
      <c r="BZB28" s="583"/>
      <c r="BZC28" s="583"/>
      <c r="BZD28" s="583"/>
      <c r="BZE28" s="583"/>
      <c r="BZF28" s="583"/>
      <c r="BZG28" s="583"/>
      <c r="BZH28" s="583"/>
      <c r="BZI28" s="583"/>
      <c r="BZJ28" s="583"/>
      <c r="BZK28" s="583"/>
      <c r="BZL28" s="583"/>
      <c r="BZM28" s="583"/>
      <c r="BZN28" s="583"/>
      <c r="BZO28" s="583"/>
      <c r="BZP28" s="583"/>
      <c r="BZQ28" s="583"/>
      <c r="BZR28" s="583"/>
      <c r="BZS28" s="583"/>
      <c r="BZT28" s="583"/>
      <c r="BZU28" s="583"/>
      <c r="BZV28" s="583"/>
      <c r="BZW28" s="583"/>
      <c r="BZX28" s="583"/>
      <c r="BZY28" s="583"/>
      <c r="BZZ28" s="583"/>
      <c r="CAA28" s="583"/>
      <c r="CAB28" s="583"/>
      <c r="CAC28" s="583"/>
      <c r="CAD28" s="583"/>
      <c r="CAE28" s="583"/>
      <c r="CAF28" s="583"/>
      <c r="CAG28" s="583"/>
      <c r="CAH28" s="583"/>
      <c r="CAI28" s="583"/>
      <c r="CAJ28" s="583"/>
      <c r="CAK28" s="583"/>
      <c r="CAL28" s="583"/>
      <c r="CAM28" s="583"/>
      <c r="CAN28" s="583"/>
      <c r="CAO28" s="583"/>
      <c r="CAP28" s="583"/>
      <c r="CAQ28" s="583"/>
      <c r="CAR28" s="583"/>
      <c r="CAS28" s="583"/>
      <c r="CAT28" s="583"/>
      <c r="CAU28" s="583"/>
      <c r="CAV28" s="583"/>
      <c r="CAW28" s="583"/>
      <c r="CAX28" s="583"/>
      <c r="CAY28" s="583"/>
      <c r="CAZ28" s="583"/>
      <c r="CBA28" s="583"/>
      <c r="CBB28" s="583"/>
      <c r="CBC28" s="583"/>
      <c r="CBD28" s="583"/>
      <c r="CBE28" s="583"/>
      <c r="CBF28" s="583"/>
      <c r="CBG28" s="583"/>
      <c r="CBH28" s="583"/>
      <c r="CBI28" s="583"/>
      <c r="CBJ28" s="583"/>
      <c r="CBK28" s="583"/>
      <c r="CBL28" s="583"/>
      <c r="CBM28" s="583"/>
      <c r="CBN28" s="583"/>
      <c r="CBO28" s="583"/>
      <c r="CBP28" s="583"/>
      <c r="CBQ28" s="583"/>
      <c r="CBR28" s="583"/>
      <c r="CBS28" s="583"/>
      <c r="CBT28" s="583"/>
      <c r="CBU28" s="583"/>
      <c r="CBV28" s="583"/>
      <c r="CBW28" s="583"/>
      <c r="CBX28" s="583"/>
      <c r="CBY28" s="583"/>
      <c r="CBZ28" s="583"/>
    </row>
    <row r="29" spans="1:2106" ht="15.75" customHeight="1">
      <c r="A29" s="611"/>
      <c r="B29" s="622"/>
      <c r="C29" s="613">
        <f t="shared" si="0"/>
        <v>0</v>
      </c>
      <c r="D29" s="613">
        <f>IF(B29&gt;0,VLOOKUP(A29,'Lista Suspensa'!$A$1:$F$92,3,),0)</f>
        <v>0</v>
      </c>
      <c r="E29" s="613">
        <f>IF(OR(B29&gt;0,C29&gt;0),VLOOKUP(A29,'Lista Suspensa'!$A$1:$F$90,4,),0)</f>
        <v>0</v>
      </c>
      <c r="F29" s="613">
        <f>IF(OR(B29&gt;0,C29&gt;0),VLOOKUP(A29,'Lista Suspensa'!$A$1:$F$90,5,),0)</f>
        <v>0</v>
      </c>
      <c r="G29" s="402">
        <f>IF(OR(B29&gt;0,C29&gt;0),VLOOKUP(A29,'Lista Suspensa'!$A$1:$F$90,6,),0)</f>
        <v>0</v>
      </c>
      <c r="H29" s="617"/>
      <c r="I29" s="613">
        <f t="shared" si="12"/>
        <v>0</v>
      </c>
      <c r="J29" s="613">
        <f>IF(H29&gt;0,VLOOKUP(A29,'Lista Suspensa'!$A$1:$F$92,3,),0)</f>
        <v>0</v>
      </c>
      <c r="K29" s="613">
        <f>IF(OR(H29&gt;0,I29&gt;0),VLOOKUP(A29,'Lista Suspensa'!$A$1:$F$90,4,),0)</f>
        <v>0</v>
      </c>
      <c r="L29" s="613">
        <f>IF(OR(H29&gt;0,I29&gt;0),VLOOKUP(A29,'Lista Suspensa'!$A$1:$F$90,5,),0)</f>
        <v>0</v>
      </c>
      <c r="M29" s="402">
        <f>IF(OR(H29&gt;0,I29&gt;0),VLOOKUP(A29,'Lista Suspensa'!$A$1:$F$90,6,),0)</f>
        <v>0</v>
      </c>
      <c r="N29" s="617"/>
      <c r="O29" s="613">
        <f t="shared" si="1"/>
        <v>0</v>
      </c>
      <c r="P29" s="613">
        <f>IF(N29&gt;0,VLOOKUP(A29,'Lista Suspensa'!$A$1:$F$92,3,),0)</f>
        <v>0</v>
      </c>
      <c r="Q29" s="613">
        <f>IF(OR(N29&gt;0,O29&gt;0),VLOOKUP(A29,'Lista Suspensa'!$A$1:$F$90,4,),0)</f>
        <v>0</v>
      </c>
      <c r="R29" s="613">
        <f>IF(OR(N29&gt;0,O29&gt;0),VLOOKUP(A29,'Lista Suspensa'!$A$1:$F$90,5,),0)</f>
        <v>0</v>
      </c>
      <c r="S29" s="402">
        <f>IF(OR(N29&gt;0,O29&gt;0),VLOOKUP(A29,'Lista Suspensa'!$A$1:$F$90,6,),0)</f>
        <v>0</v>
      </c>
      <c r="T29" s="617"/>
      <c r="U29" s="613">
        <f t="shared" si="2"/>
        <v>0</v>
      </c>
      <c r="V29" s="613">
        <f>IF(T29&gt;0,VLOOKUP(A29,'Lista Suspensa'!$A$1:$F$92,3,),0)</f>
        <v>0</v>
      </c>
      <c r="W29" s="613">
        <f>IF(OR(T29&gt;0,U29&gt;0),VLOOKUP(A29,'Lista Suspensa'!$A$1:$F$90,4,),0)</f>
        <v>0</v>
      </c>
      <c r="X29" s="613">
        <f>IF(OR(T29&gt;0,U29&gt;0),VLOOKUP(A29,'Lista Suspensa'!$A$1:$F$90,5,),0)</f>
        <v>0</v>
      </c>
      <c r="Y29" s="402">
        <f>IF(OR(T29&gt;0,U29&gt;0),VLOOKUP(A29,'Lista Suspensa'!$A$1:$F$90,6,),0)</f>
        <v>0</v>
      </c>
      <c r="Z29" s="622"/>
      <c r="AA29" s="613">
        <f t="shared" si="3"/>
        <v>0</v>
      </c>
      <c r="AB29" s="613">
        <f>IF(Z29&gt;0,VLOOKUP(A29,'Lista Suspensa'!$A$1:$F$92,3,),0)</f>
        <v>0</v>
      </c>
      <c r="AC29" s="613">
        <f>IF(OR(Z29&gt;0,AA29&gt;0),VLOOKUP(A29,'Lista Suspensa'!$A$1:$F$90,4,),0)</f>
        <v>0</v>
      </c>
      <c r="AD29" s="613">
        <f>IF(OR(Z29&gt;0,AA29&gt;0),VLOOKUP(A29,'Lista Suspensa'!$A$1:$F$90,5,),0)</f>
        <v>0</v>
      </c>
      <c r="AE29" s="402">
        <f>IF(OR(Z29&gt;0,AA29&gt;0),VLOOKUP(A29,'Lista Suspensa'!$A$1:$F$90,6,),0)</f>
        <v>0</v>
      </c>
      <c r="AF29" s="622"/>
      <c r="AG29" s="613">
        <f t="shared" si="13"/>
        <v>0</v>
      </c>
      <c r="AH29" s="613">
        <f>IF(AF29&gt;0,VLOOKUP(A29,'Lista Suspensa'!$A$1:$F$92,3,),0)</f>
        <v>0</v>
      </c>
      <c r="AI29" s="613">
        <f>IF(OR(AF29&gt;0,AG29&gt;0),VLOOKUP(A29,'Lista Suspensa'!$A$1:$F$90,4,),0)</f>
        <v>0</v>
      </c>
      <c r="AJ29" s="613">
        <f>IF(OR(AF29&gt;0,AG29&gt;0),VLOOKUP(A29,'Lista Suspensa'!$A$1:$F$90,5,),0)</f>
        <v>0</v>
      </c>
      <c r="AK29" s="402">
        <f>IF(OR(AF29&gt;0,AG29&gt;0),VLOOKUP(A29,'Lista Suspensa'!$A$1:$F$90,6,),0)</f>
        <v>0</v>
      </c>
      <c r="AL29" s="617"/>
      <c r="AM29" s="613">
        <f t="shared" si="4"/>
        <v>0</v>
      </c>
      <c r="AN29" s="613">
        <f>IF(AL29&gt;0,VLOOKUP(A29,'Lista Suspensa'!$A$1:$F$92,3,),0)</f>
        <v>0</v>
      </c>
      <c r="AO29" s="613">
        <f>IF(OR(AL29&gt;0,AM29&gt;0),VLOOKUP(A29,'Lista Suspensa'!$A$1:$F$90,4,),0)</f>
        <v>0</v>
      </c>
      <c r="AP29" s="613">
        <f>IF(OR(AL29&gt;0,AM29&gt;0),VLOOKUP(A29,'Lista Suspensa'!$A$1:$F$90,5,),0)</f>
        <v>0</v>
      </c>
      <c r="AQ29" s="402">
        <f>IF(OR(AL29&gt;0,AM29&gt;0),VLOOKUP(A29,'Lista Suspensa'!$A$1:$F$90,6,),0)</f>
        <v>0</v>
      </c>
      <c r="AR29" s="617"/>
      <c r="AS29" s="613">
        <f t="shared" si="14"/>
        <v>0</v>
      </c>
      <c r="AT29" s="613">
        <f>IF(AR29&gt;0,VLOOKUP(A29,'Lista Suspensa'!$A$1:$F$92,3,),0)</f>
        <v>0</v>
      </c>
      <c r="AU29" s="613">
        <f>IF(OR(AR29&gt;0,AS29&gt;0),VLOOKUP(A29,'Lista Suspensa'!$A$1:$F$90,4,),0)</f>
        <v>0</v>
      </c>
      <c r="AV29" s="613">
        <f>IF(OR(AR29&gt;0,AS29&gt;0),VLOOKUP(A29,'Lista Suspensa'!$A$1:$F$90,5,),0)</f>
        <v>0</v>
      </c>
      <c r="AW29" s="37">
        <f>IF(OR(AR29&gt;0,AS29&gt;0),VLOOKUP(A29,'Lista Suspensa'!$A$1:$F$90,6,),0)</f>
        <v>0</v>
      </c>
      <c r="AX29" s="617"/>
      <c r="AY29" s="613">
        <f t="shared" si="5"/>
        <v>0</v>
      </c>
      <c r="AZ29" s="613">
        <f>IF(AX29&gt;0,VLOOKUP(A29,'Lista Suspensa'!$A$1:$F$92,3,),0)</f>
        <v>0</v>
      </c>
      <c r="BA29" s="613">
        <f>IF(OR(AX29&gt;0,AY29&gt;0),VLOOKUP(A29,'Lista Suspensa'!$A$1:$F$90,4,),0)</f>
        <v>0</v>
      </c>
      <c r="BB29" s="613">
        <f>IF(OR(AX29&gt;0,AY29&gt;0),VLOOKUP(A29,'Lista Suspensa'!$A$1:$F$90,5,),0)</f>
        <v>0</v>
      </c>
      <c r="BC29" s="37">
        <f>IF(OR(AX29&gt;0,AY29&gt;0),VLOOKUP(A29,'Lista Suspensa'!$A$1:$F$90,6,),0)</f>
        <v>0</v>
      </c>
      <c r="BD29" s="617"/>
      <c r="BE29" s="613">
        <f t="shared" si="6"/>
        <v>0</v>
      </c>
      <c r="BF29" s="613">
        <f>IF(BD29&gt;0,VLOOKUP(A29,'Lista Suspensa'!$A$1:$F$92,3,),0)</f>
        <v>0</v>
      </c>
      <c r="BG29" s="613">
        <f>IF(OR(BD29&gt;0,BE29&gt;0),VLOOKUP(A29,'Lista Suspensa'!$A$1:$F$90,4,),0)</f>
        <v>0</v>
      </c>
      <c r="BH29" s="613">
        <f>IF(OR(BD29&gt;0,BE29&gt;0),VLOOKUP(A29,'Lista Suspensa'!$A$1:$F$90,5,),0)</f>
        <v>0</v>
      </c>
      <c r="BI29" s="37">
        <f>IF(OR(BD29&gt;0,BE29&gt;0),VLOOKUP(A29,'Lista Suspensa'!$A$1:$F$90,6,),0)</f>
        <v>0</v>
      </c>
      <c r="BJ29" s="617"/>
      <c r="BK29" s="613">
        <f t="shared" si="7"/>
        <v>0</v>
      </c>
      <c r="BL29" s="613">
        <f>IF(BJ29&gt;0,VLOOKUP(A29,'Lista Suspensa'!$A$1:$F$92,3,),0)</f>
        <v>0</v>
      </c>
      <c r="BM29" s="613">
        <f>IF(OR(BJ29&gt;0,BK29&gt;0),VLOOKUP(A29,'Lista Suspensa'!$A$1:$F$90,4,),0)</f>
        <v>0</v>
      </c>
      <c r="BN29" s="613">
        <f>IF(OR(BJ29&gt;0,BK29&gt;0),VLOOKUP(A29,'Lista Suspensa'!$A$1:$F$90,5,),0)</f>
        <v>0</v>
      </c>
      <c r="BO29" s="37">
        <f>IF(OR(BJ29&gt;0,BK29&gt;0),VLOOKUP(A29,'Lista Suspensa'!$A$1:$F$90,6,),0)</f>
        <v>0</v>
      </c>
      <c r="BP29" s="617"/>
      <c r="BQ29" s="613">
        <f t="shared" si="8"/>
        <v>0</v>
      </c>
      <c r="BR29" s="613">
        <f>IF(BP29&gt;0,VLOOKUP(A29,'Lista Suspensa'!$A$1:$F$92,3,),0)</f>
        <v>0</v>
      </c>
      <c r="BS29" s="613">
        <f>IF(OR(BP29&gt;0,BQ29&gt;0),VLOOKUP(A29,'Lista Suspensa'!$A$1:$F$90,4,),0)</f>
        <v>0</v>
      </c>
      <c r="BT29" s="613">
        <f>IF(OR(BP29&gt;0,BQ29&gt;0),VLOOKUP(A29,'Lista Suspensa'!$A$1:$F$90,5,),0)</f>
        <v>0</v>
      </c>
      <c r="BU29" s="37">
        <f>IF(OR(BP29&gt;0,BQ29&gt;0),VLOOKUP(A29,'Lista Suspensa'!$A$1:$F$90,6,),0)</f>
        <v>0</v>
      </c>
      <c r="BV29" s="617"/>
      <c r="BW29" s="613">
        <f t="shared" si="9"/>
        <v>0</v>
      </c>
      <c r="BX29" s="613">
        <f>IF(BV29&gt;0,VLOOKUP(A29,'Lista Suspensa'!$A$1:$F$92,3,),0)</f>
        <v>0</v>
      </c>
      <c r="BY29" s="613">
        <f>IF(OR(BV29&gt;0,BW29&gt;0),VLOOKUP(A29,'Lista Suspensa'!$A$1:$F$90,4,),0)</f>
        <v>0</v>
      </c>
      <c r="BZ29" s="613">
        <f>IF(OR(BV29&gt;0,BW29&gt;0),VLOOKUP(A29,'Lista Suspensa'!$A$1:$F$90,5,),0)</f>
        <v>0</v>
      </c>
      <c r="CA29" s="37">
        <f>IF(OR(BV29&gt;0,BW29&gt;0),VLOOKUP(A29,'Lista Suspensa'!$A$1:$F$90,6,),0)</f>
        <v>0</v>
      </c>
      <c r="CB29" s="617"/>
      <c r="CC29" s="613">
        <f t="shared" si="10"/>
        <v>0</v>
      </c>
      <c r="CD29" s="613">
        <f>IF(CB29&gt;0,VLOOKUP(A29,'Lista Suspensa'!$A$1:$F$92,3,),0)</f>
        <v>0</v>
      </c>
      <c r="CE29" s="613">
        <f>IF(OR(CB29&gt;0,CC29&gt;0),VLOOKUP(A29,'Lista Suspensa'!$A$1:$F$90,4,),0)</f>
        <v>0</v>
      </c>
      <c r="CF29" s="613">
        <f>IF(OR(CB29&gt;0,CC29&gt;0),VLOOKUP(A29,'Lista Suspensa'!$A$1:$F$90,5,),0)</f>
        <v>0</v>
      </c>
      <c r="CG29" s="37">
        <f>IF(OR(CB29&gt;0,CC29&gt;0),VLOOKUP(A29,'Lista Suspensa'!$A$1:$F$90,6,),0)</f>
        <v>0</v>
      </c>
      <c r="CH29" s="617"/>
      <c r="CI29" s="613">
        <f t="shared" si="11"/>
        <v>0</v>
      </c>
      <c r="CJ29" s="613">
        <f>IF(CH29&gt;0,VLOOKUP(A29,'Lista Suspensa'!$A$1:$F$92,3,),0)</f>
        <v>0</v>
      </c>
      <c r="CK29" s="613">
        <f>IF(OR(CH29&gt;0,CI29&gt;0),VLOOKUP(A29,'Lista Suspensa'!$A$1:$F$90,4,),0)</f>
        <v>0</v>
      </c>
      <c r="CL29" s="613">
        <f>IF(OR(CH29&gt;0,CI29&gt;0),VLOOKUP(A29,'Lista Suspensa'!$A$1:$F$90,5,),0)</f>
        <v>0</v>
      </c>
      <c r="CM29" s="636">
        <f>IF(OR(CH29&gt;0,CI29&gt;0),VLOOKUP(A29,'Lista Suspensa'!$A$1:$F$90,6,),0)</f>
        <v>0</v>
      </c>
      <c r="CN29" s="645"/>
      <c r="CO29" s="403">
        <f t="shared" si="15"/>
        <v>0</v>
      </c>
      <c r="CP29" s="756">
        <f>IF(CN29&gt;0,VLOOKUP(A29,'Lista Suspensa'!$A$1:$F$92,3,),0)</f>
        <v>0</v>
      </c>
      <c r="CQ29" s="641">
        <f>IF(OR(CN29&gt;0,CO29&gt;0),VLOOKUP(A29,'Lista Suspensa'!$A$1:$F$90,6,),0)</f>
        <v>0</v>
      </c>
      <c r="CR29" s="628"/>
      <c r="CS29" s="628"/>
      <c r="CT29" s="628"/>
      <c r="CU29" s="628"/>
      <c r="CV29" s="628"/>
      <c r="CW29" s="628"/>
      <c r="CX29" s="628"/>
      <c r="CY29" s="628"/>
      <c r="CZ29" s="628"/>
      <c r="DA29" s="628"/>
      <c r="DB29" s="628"/>
      <c r="DC29" s="628"/>
      <c r="DD29" s="628"/>
      <c r="DE29" s="628"/>
      <c r="DF29" s="628"/>
      <c r="DG29" s="628"/>
      <c r="DH29" s="628"/>
    </row>
    <row r="30" spans="1:2106" s="588" customFormat="1" ht="15.75" customHeight="1">
      <c r="A30" s="614"/>
      <c r="B30" s="618"/>
      <c r="C30" s="616">
        <f t="shared" si="0"/>
        <v>0</v>
      </c>
      <c r="D30" s="616">
        <f>IF(B30&gt;0,VLOOKUP(A30,'Lista Suspensa'!$A$1:$F$92,3,),0)</f>
        <v>0</v>
      </c>
      <c r="E30" s="616">
        <f>IF(OR(B30&gt;0,C30&gt;0),VLOOKUP(A30,'Lista Suspensa'!$A$1:$F$90,4,),0)</f>
        <v>0</v>
      </c>
      <c r="F30" s="616">
        <f>IF(OR(B30&gt;0,C30&gt;0),VLOOKUP(A30,'Lista Suspensa'!$A$1:$F$90,5,),0)</f>
        <v>0</v>
      </c>
      <c r="G30" s="587">
        <f>IF(OR(B30&gt;0,C30&gt;0),VLOOKUP(A30,'Lista Suspensa'!$A$1:$F$90,6,),0)</f>
        <v>0</v>
      </c>
      <c r="H30" s="618"/>
      <c r="I30" s="623">
        <f t="shared" si="12"/>
        <v>0</v>
      </c>
      <c r="J30" s="616">
        <f>IF(H30&gt;0,VLOOKUP(A30,'Lista Suspensa'!$A$1:$F$92,3,),0)</f>
        <v>0</v>
      </c>
      <c r="K30" s="616">
        <f>IF(OR(H30&gt;0,I30&gt;0),VLOOKUP(A30,'Lista Suspensa'!$A$1:$F$90,4,),0)</f>
        <v>0</v>
      </c>
      <c r="L30" s="616">
        <f>IF(OR(H30&gt;0,I30&gt;0),VLOOKUP(A30,'Lista Suspensa'!$A$1:$F$90,5,),0)</f>
        <v>0</v>
      </c>
      <c r="M30" s="587">
        <f>IF(OR(H30&gt;0,I30&gt;0),VLOOKUP(A30,'Lista Suspensa'!$A$1:$F$90,6,),0)</f>
        <v>0</v>
      </c>
      <c r="N30" s="618"/>
      <c r="O30" s="623">
        <f t="shared" si="1"/>
        <v>0</v>
      </c>
      <c r="P30" s="616">
        <f>IF(N30&gt;0,VLOOKUP(A30,'Lista Suspensa'!$A$1:$F$92,3,),0)</f>
        <v>0</v>
      </c>
      <c r="Q30" s="616">
        <f>IF(OR(N30&gt;0,O30&gt;0),VLOOKUP(A30,'Lista Suspensa'!$A$1:$F$90,4,),0)</f>
        <v>0</v>
      </c>
      <c r="R30" s="616">
        <f>IF(OR(N30&gt;0,O30&gt;0),VLOOKUP(A30,'Lista Suspensa'!$A$1:$F$90,5,),0)</f>
        <v>0</v>
      </c>
      <c r="S30" s="587">
        <f>IF(OR(N30&gt;0,O30&gt;0),VLOOKUP(A30,'Lista Suspensa'!$A$1:$F$90,6,),0)</f>
        <v>0</v>
      </c>
      <c r="T30" s="618"/>
      <c r="U30" s="623">
        <f t="shared" si="2"/>
        <v>0</v>
      </c>
      <c r="V30" s="616">
        <f>IF(T30&gt;0,VLOOKUP(A30,'Lista Suspensa'!$A$1:$F$92,3,),0)</f>
        <v>0</v>
      </c>
      <c r="W30" s="616">
        <f>IF(OR(T30&gt;0,U30&gt;0),VLOOKUP(A30,'Lista Suspensa'!$A$1:$F$90,4,),0)</f>
        <v>0</v>
      </c>
      <c r="X30" s="616">
        <f>IF(OR(T30&gt;0,U30&gt;0),VLOOKUP(A30,'Lista Suspensa'!$A$1:$F$90,5,),0)</f>
        <v>0</v>
      </c>
      <c r="Y30" s="587">
        <f>IF(OR(T30&gt;0,U30&gt;0),VLOOKUP(A30,'Lista Suspensa'!$A$1:$F$90,6,),0)</f>
        <v>0</v>
      </c>
      <c r="Z30" s="618"/>
      <c r="AA30" s="623">
        <f t="shared" si="3"/>
        <v>0</v>
      </c>
      <c r="AB30" s="616">
        <f>IF(Z30&gt;0,VLOOKUP(A30,'Lista Suspensa'!$A$1:$F$92,3,),0)</f>
        <v>0</v>
      </c>
      <c r="AC30" s="616">
        <f>IF(OR(Z30&gt;0,AA30&gt;0),VLOOKUP(A30,'Lista Suspensa'!$A$1:$F$90,4,),0)</f>
        <v>0</v>
      </c>
      <c r="AD30" s="616">
        <f>IF(OR(Z30&gt;0,AA30&gt;0),VLOOKUP(A30,'Lista Suspensa'!$A$1:$F$90,5,),0)</f>
        <v>0</v>
      </c>
      <c r="AE30" s="587">
        <f>IF(OR(Z30&gt;0,AA30&gt;0),VLOOKUP(A30,'Lista Suspensa'!$A$1:$F$90,6,),0)</f>
        <v>0</v>
      </c>
      <c r="AF30" s="618"/>
      <c r="AG30" s="623">
        <f t="shared" si="13"/>
        <v>0</v>
      </c>
      <c r="AH30" s="616">
        <f>IF(AF30&gt;0,VLOOKUP(A30,'Lista Suspensa'!$A$1:$F$92,3,),0)</f>
        <v>0</v>
      </c>
      <c r="AI30" s="616">
        <f>IF(OR(AF30&gt;0,AG30&gt;0),VLOOKUP(A30,'Lista Suspensa'!$A$1:$F$90,4,),0)</f>
        <v>0</v>
      </c>
      <c r="AJ30" s="616">
        <f>IF(OR(AF30&gt;0,AG30&gt;0),VLOOKUP(A30,'Lista Suspensa'!$A$1:$F$90,5,),0)</f>
        <v>0</v>
      </c>
      <c r="AK30" s="587">
        <f>IF(OR(AF30&gt;0,AG30&gt;0),VLOOKUP(A30,'Lista Suspensa'!$A$1:$F$90,6,),0)</f>
        <v>0</v>
      </c>
      <c r="AL30" s="618"/>
      <c r="AM30" s="623">
        <f t="shared" si="4"/>
        <v>0</v>
      </c>
      <c r="AN30" s="616">
        <f>IF(AL30&gt;0,VLOOKUP(A30,'Lista Suspensa'!$A$1:$F$92,3,),0)</f>
        <v>0</v>
      </c>
      <c r="AO30" s="616">
        <f>IF(OR(AL30&gt;0,AM30&gt;0),VLOOKUP(A30,'Lista Suspensa'!$A$1:$F$90,4,),0)</f>
        <v>0</v>
      </c>
      <c r="AP30" s="616">
        <f>IF(OR(AL30&gt;0,AM30&gt;0),VLOOKUP(A30,'Lista Suspensa'!$A$1:$F$90,5,),0)</f>
        <v>0</v>
      </c>
      <c r="AQ30" s="587">
        <f>IF(OR(AL30&gt;0,AM30&gt;0),VLOOKUP(A30,'Lista Suspensa'!$A$1:$F$90,6,),0)</f>
        <v>0</v>
      </c>
      <c r="AR30" s="618"/>
      <c r="AS30" s="623">
        <f t="shared" si="14"/>
        <v>0</v>
      </c>
      <c r="AT30" s="616">
        <f>IF(AR30&gt;0,VLOOKUP(A30,'Lista Suspensa'!$A$1:$F$92,3,),0)</f>
        <v>0</v>
      </c>
      <c r="AU30" s="616">
        <f>IF(OR(AR30&gt;0,AS30&gt;0),VLOOKUP(A30,'Lista Suspensa'!$A$1:$F$90,4,),0)</f>
        <v>0</v>
      </c>
      <c r="AV30" s="616">
        <f>IF(OR(AR30&gt;0,AS30&gt;0),VLOOKUP(A30,'Lista Suspensa'!$A$1:$F$90,5,),0)</f>
        <v>0</v>
      </c>
      <c r="AW30" s="586">
        <f>IF(OR(AR30&gt;0,AS30&gt;0),VLOOKUP(A30,'Lista Suspensa'!$A$1:$F$90,6,),0)</f>
        <v>0</v>
      </c>
      <c r="AX30" s="618"/>
      <c r="AY30" s="623">
        <f t="shared" si="5"/>
        <v>0</v>
      </c>
      <c r="AZ30" s="616">
        <f>IF(AX30&gt;0,VLOOKUP(A30,'Lista Suspensa'!$A$1:$F$92,3,),0)</f>
        <v>0</v>
      </c>
      <c r="BA30" s="616">
        <f>IF(OR(AX30&gt;0,AY30&gt;0),VLOOKUP(A30,'Lista Suspensa'!$A$1:$F$90,4,),0)</f>
        <v>0</v>
      </c>
      <c r="BB30" s="616">
        <f>IF(OR(AX30&gt;0,AY30&gt;0),VLOOKUP(A30,'Lista Suspensa'!$A$1:$F$90,5,),0)</f>
        <v>0</v>
      </c>
      <c r="BC30" s="586">
        <f>IF(OR(AX30&gt;0,AY30&gt;0),VLOOKUP(A30,'Lista Suspensa'!$A$1:$F$90,6,),0)</f>
        <v>0</v>
      </c>
      <c r="BD30" s="618"/>
      <c r="BE30" s="623">
        <f t="shared" si="6"/>
        <v>0</v>
      </c>
      <c r="BF30" s="616">
        <f>IF(BD30&gt;0,VLOOKUP(A30,'Lista Suspensa'!$A$1:$F$92,3,),0)</f>
        <v>0</v>
      </c>
      <c r="BG30" s="616">
        <f>IF(OR(BD30&gt;0,BE30&gt;0),VLOOKUP(A30,'Lista Suspensa'!$A$1:$F$90,4,),0)</f>
        <v>0</v>
      </c>
      <c r="BH30" s="616">
        <f>IF(OR(BD30&gt;0,BE30&gt;0),VLOOKUP(A30,'Lista Suspensa'!$A$1:$F$90,5,),0)</f>
        <v>0</v>
      </c>
      <c r="BI30" s="586">
        <f>IF(OR(BD30&gt;0,BE30&gt;0),VLOOKUP(A30,'Lista Suspensa'!$A$1:$F$90,6,),0)</f>
        <v>0</v>
      </c>
      <c r="BJ30" s="618"/>
      <c r="BK30" s="623">
        <f t="shared" si="7"/>
        <v>0</v>
      </c>
      <c r="BL30" s="616">
        <f>IF(BJ30&gt;0,VLOOKUP(A30,'Lista Suspensa'!$A$1:$F$92,3,),0)</f>
        <v>0</v>
      </c>
      <c r="BM30" s="616">
        <f>IF(OR(BJ30&gt;0,BK30&gt;0),VLOOKUP(A30,'Lista Suspensa'!$A$1:$F$90,4,),0)</f>
        <v>0</v>
      </c>
      <c r="BN30" s="616">
        <f>IF(OR(BJ30&gt;0,BK30&gt;0),VLOOKUP(A30,'Lista Suspensa'!$A$1:$F$90,5,),0)</f>
        <v>0</v>
      </c>
      <c r="BO30" s="586">
        <f>IF(OR(BJ30&gt;0,BK30&gt;0),VLOOKUP(A30,'Lista Suspensa'!$A$1:$F$90,6,),0)</f>
        <v>0</v>
      </c>
      <c r="BP30" s="618"/>
      <c r="BQ30" s="623">
        <f t="shared" si="8"/>
        <v>0</v>
      </c>
      <c r="BR30" s="616">
        <f>IF(BP30&gt;0,VLOOKUP(A30,'Lista Suspensa'!$A$1:$F$92,3,),0)</f>
        <v>0</v>
      </c>
      <c r="BS30" s="616">
        <f>IF(OR(BP30&gt;0,BQ30&gt;0),VLOOKUP(A30,'Lista Suspensa'!$A$1:$F$90,4,),0)</f>
        <v>0</v>
      </c>
      <c r="BT30" s="616">
        <f>IF(OR(BP30&gt;0,BQ30&gt;0),VLOOKUP(A30,'Lista Suspensa'!$A$1:$F$90,5,),0)</f>
        <v>0</v>
      </c>
      <c r="BU30" s="586">
        <f>IF(OR(BP30&gt;0,BQ30&gt;0),VLOOKUP(A30,'Lista Suspensa'!$A$1:$F$90,6,),0)</f>
        <v>0</v>
      </c>
      <c r="BV30" s="618"/>
      <c r="BW30" s="623">
        <f t="shared" si="9"/>
        <v>0</v>
      </c>
      <c r="BX30" s="616">
        <f>IF(BV30&gt;0,VLOOKUP(A30,'Lista Suspensa'!$A$1:$F$92,3,),0)</f>
        <v>0</v>
      </c>
      <c r="BY30" s="616">
        <f>IF(OR(BV30&gt;0,BW30&gt;0),VLOOKUP(A30,'Lista Suspensa'!$A$1:$F$90,4,),0)</f>
        <v>0</v>
      </c>
      <c r="BZ30" s="616">
        <f>IF(OR(BV30&gt;0,BW30&gt;0),VLOOKUP(A30,'Lista Suspensa'!$A$1:$F$90,5,),0)</f>
        <v>0</v>
      </c>
      <c r="CA30" s="586">
        <f>IF(OR(BV30&gt;0,BW30&gt;0),VLOOKUP(A30,'Lista Suspensa'!$A$1:$F$90,6,),0)</f>
        <v>0</v>
      </c>
      <c r="CB30" s="618"/>
      <c r="CC30" s="623">
        <f t="shared" si="10"/>
        <v>0</v>
      </c>
      <c r="CD30" s="616">
        <f>IF(CB30&gt;0,VLOOKUP(A30,'Lista Suspensa'!$A$1:$F$92,3,),0)</f>
        <v>0</v>
      </c>
      <c r="CE30" s="616">
        <f>IF(OR(CB30&gt;0,CC30&gt;0),VLOOKUP(A30,'Lista Suspensa'!$A$1:$F$90,4,),0)</f>
        <v>0</v>
      </c>
      <c r="CF30" s="616">
        <f>IF(OR(CB30&gt;0,CC30&gt;0),VLOOKUP(A30,'Lista Suspensa'!$A$1:$F$90,5,),0)</f>
        <v>0</v>
      </c>
      <c r="CG30" s="586">
        <f>IF(OR(CB30&gt;0,CC30&gt;0),VLOOKUP(A30,'Lista Suspensa'!$A$1:$F$90,6,),0)</f>
        <v>0</v>
      </c>
      <c r="CH30" s="618"/>
      <c r="CI30" s="623">
        <f t="shared" si="11"/>
        <v>0</v>
      </c>
      <c r="CJ30" s="616">
        <f>IF(CH30&gt;0,VLOOKUP(A30,'Lista Suspensa'!$A$1:$F$92,3,),0)</f>
        <v>0</v>
      </c>
      <c r="CK30" s="616">
        <f>IF(OR(CH30&gt;0,CI30&gt;0),VLOOKUP(A30,'Lista Suspensa'!$A$1:$F$90,4,),0)</f>
        <v>0</v>
      </c>
      <c r="CL30" s="616">
        <f>IF(OR(CH30&gt;0,CI30&gt;0),VLOOKUP(A30,'Lista Suspensa'!$A$1:$F$90,5,),0)</f>
        <v>0</v>
      </c>
      <c r="CM30" s="637">
        <f>IF(OR(CH30&gt;0,CI30&gt;0),VLOOKUP(A30,'Lista Suspensa'!$A$1:$F$90,6,),0)</f>
        <v>0</v>
      </c>
      <c r="CN30" s="646"/>
      <c r="CO30" s="403">
        <f t="shared" si="15"/>
        <v>0</v>
      </c>
      <c r="CP30" s="756">
        <f>IF(CN30&gt;0,VLOOKUP(A30,'Lista Suspensa'!$A$1:$F$92,3,),0)</f>
        <v>0</v>
      </c>
      <c r="CQ30" s="643">
        <f>IF(OR(CN30&gt;0,CO30&gt;0),VLOOKUP(A30,'Lista Suspensa'!$A$1:$F$90,6,),0)</f>
        <v>0</v>
      </c>
      <c r="CR30" s="628"/>
      <c r="CS30" s="628"/>
      <c r="CT30" s="628"/>
      <c r="CU30" s="628"/>
      <c r="CV30" s="628"/>
      <c r="CW30" s="628"/>
      <c r="CX30" s="628"/>
      <c r="CY30" s="628"/>
      <c r="CZ30" s="628"/>
      <c r="DA30" s="628"/>
      <c r="DB30" s="628"/>
      <c r="DC30" s="628"/>
      <c r="DD30" s="628"/>
      <c r="DE30" s="628"/>
      <c r="DF30" s="628"/>
      <c r="DG30" s="628"/>
      <c r="DH30" s="628"/>
      <c r="DI30" s="583"/>
      <c r="DJ30" s="583"/>
      <c r="DK30" s="583"/>
      <c r="DL30" s="583"/>
      <c r="DM30" s="583"/>
      <c r="DN30" s="583"/>
      <c r="DO30" s="583"/>
      <c r="DP30" s="583"/>
      <c r="DQ30" s="583"/>
      <c r="DR30" s="583"/>
      <c r="DS30" s="583"/>
      <c r="DT30" s="583"/>
      <c r="DU30" s="583"/>
      <c r="DV30" s="583"/>
      <c r="DW30" s="583"/>
      <c r="DX30" s="583"/>
      <c r="DY30" s="583"/>
      <c r="DZ30" s="583"/>
      <c r="EA30" s="583"/>
      <c r="EB30" s="583"/>
      <c r="EC30" s="583"/>
      <c r="ED30" s="583"/>
      <c r="EE30" s="583"/>
      <c r="EF30" s="583"/>
      <c r="EG30" s="583"/>
      <c r="EH30" s="583"/>
      <c r="EI30" s="583"/>
      <c r="EJ30" s="583"/>
      <c r="EK30" s="583"/>
      <c r="EL30" s="583"/>
      <c r="EM30" s="583"/>
      <c r="EN30" s="583"/>
      <c r="EO30" s="583"/>
      <c r="EP30" s="583"/>
      <c r="EQ30" s="583"/>
      <c r="ER30" s="583"/>
      <c r="ES30" s="583"/>
      <c r="ET30" s="583"/>
      <c r="EU30" s="583"/>
      <c r="EV30" s="583"/>
      <c r="EW30" s="583"/>
      <c r="EX30" s="583"/>
      <c r="EY30" s="583"/>
      <c r="EZ30" s="583"/>
      <c r="FA30" s="583"/>
      <c r="FB30" s="583"/>
      <c r="FC30" s="583"/>
      <c r="FD30" s="583"/>
      <c r="FE30" s="583"/>
      <c r="FF30" s="583"/>
      <c r="FG30" s="583"/>
      <c r="FH30" s="583"/>
      <c r="FI30" s="583"/>
      <c r="FJ30" s="583"/>
      <c r="FK30" s="583"/>
      <c r="FL30" s="583"/>
      <c r="FM30" s="583"/>
      <c r="FN30" s="583"/>
      <c r="FO30" s="583"/>
      <c r="FP30" s="583"/>
      <c r="FQ30" s="583"/>
      <c r="FR30" s="583"/>
      <c r="FS30" s="583"/>
      <c r="FT30" s="583"/>
      <c r="FU30" s="583"/>
      <c r="FV30" s="583"/>
      <c r="FW30" s="583"/>
      <c r="FX30" s="583"/>
      <c r="FY30" s="583"/>
      <c r="FZ30" s="583"/>
      <c r="GA30" s="583"/>
      <c r="GB30" s="583"/>
      <c r="GC30" s="583"/>
      <c r="GD30" s="583"/>
      <c r="GE30" s="583"/>
      <c r="GF30" s="583"/>
      <c r="GG30" s="583"/>
      <c r="GH30" s="583"/>
      <c r="GI30" s="583"/>
      <c r="GJ30" s="583"/>
      <c r="GK30" s="583"/>
      <c r="GL30" s="583"/>
      <c r="GM30" s="583"/>
      <c r="GN30" s="583"/>
      <c r="GO30" s="583"/>
      <c r="GP30" s="583"/>
      <c r="GQ30" s="583"/>
      <c r="GR30" s="583"/>
      <c r="GS30" s="583"/>
      <c r="GT30" s="583"/>
      <c r="GU30" s="583"/>
      <c r="GV30" s="583"/>
      <c r="GW30" s="583"/>
      <c r="GX30" s="583"/>
      <c r="GY30" s="583"/>
      <c r="GZ30" s="583"/>
      <c r="HA30" s="583"/>
      <c r="HB30" s="583"/>
      <c r="HC30" s="583"/>
      <c r="HD30" s="583"/>
      <c r="HE30" s="583"/>
      <c r="HF30" s="583"/>
      <c r="HG30" s="583"/>
      <c r="HH30" s="583"/>
      <c r="HI30" s="583"/>
      <c r="HJ30" s="583"/>
      <c r="HK30" s="583"/>
      <c r="HL30" s="583"/>
      <c r="HM30" s="583"/>
      <c r="HN30" s="583"/>
      <c r="HO30" s="583"/>
      <c r="HP30" s="583"/>
      <c r="HQ30" s="583"/>
      <c r="HR30" s="583"/>
      <c r="HS30" s="583"/>
      <c r="HT30" s="583"/>
      <c r="HU30" s="583"/>
      <c r="HV30" s="583"/>
      <c r="HW30" s="583"/>
      <c r="HX30" s="583"/>
      <c r="HY30" s="583"/>
      <c r="HZ30" s="583"/>
      <c r="IA30" s="583"/>
      <c r="IB30" s="583"/>
      <c r="IC30" s="583"/>
      <c r="ID30" s="583"/>
      <c r="IE30" s="583"/>
      <c r="IF30" s="583"/>
      <c r="IG30" s="583"/>
      <c r="IH30" s="583"/>
      <c r="II30" s="583"/>
      <c r="IJ30" s="583"/>
      <c r="IK30" s="583"/>
      <c r="IL30" s="583"/>
      <c r="IM30" s="583"/>
      <c r="IN30" s="583"/>
      <c r="IO30" s="583"/>
      <c r="IP30" s="583"/>
      <c r="IQ30" s="583"/>
      <c r="IR30" s="583"/>
      <c r="IS30" s="583"/>
      <c r="IT30" s="583"/>
      <c r="IU30" s="583"/>
      <c r="IV30" s="583"/>
      <c r="IW30" s="583"/>
      <c r="IX30" s="583"/>
      <c r="IY30" s="583"/>
      <c r="IZ30" s="583"/>
      <c r="JA30" s="583"/>
      <c r="JB30" s="583"/>
      <c r="JC30" s="583"/>
      <c r="JD30" s="583"/>
      <c r="JE30" s="583"/>
      <c r="JF30" s="583"/>
      <c r="JG30" s="583"/>
      <c r="JH30" s="583"/>
      <c r="JI30" s="583"/>
      <c r="JJ30" s="583"/>
      <c r="JK30" s="583"/>
      <c r="JL30" s="583"/>
      <c r="JM30" s="583"/>
      <c r="JN30" s="583"/>
      <c r="JO30" s="583"/>
      <c r="JP30" s="583"/>
      <c r="JQ30" s="583"/>
      <c r="JR30" s="583"/>
      <c r="JS30" s="583"/>
      <c r="JT30" s="583"/>
      <c r="JU30" s="583"/>
      <c r="JV30" s="583"/>
      <c r="JW30" s="583"/>
      <c r="JX30" s="583"/>
      <c r="JY30" s="583"/>
      <c r="JZ30" s="583"/>
      <c r="KA30" s="583"/>
      <c r="KB30" s="583"/>
      <c r="KC30" s="583"/>
      <c r="KD30" s="583"/>
      <c r="KE30" s="583"/>
      <c r="KF30" s="583"/>
      <c r="KG30" s="583"/>
      <c r="KH30" s="583"/>
      <c r="KI30" s="583"/>
      <c r="KJ30" s="583"/>
      <c r="KK30" s="583"/>
      <c r="KL30" s="583"/>
      <c r="KM30" s="583"/>
      <c r="KN30" s="583"/>
      <c r="KO30" s="583"/>
      <c r="KP30" s="583"/>
      <c r="KQ30" s="583"/>
      <c r="KR30" s="583"/>
      <c r="KS30" s="583"/>
      <c r="KT30" s="583"/>
      <c r="KU30" s="583"/>
      <c r="KV30" s="583"/>
      <c r="KW30" s="583"/>
      <c r="KX30" s="583"/>
      <c r="KY30" s="583"/>
      <c r="KZ30" s="583"/>
      <c r="LA30" s="583"/>
      <c r="LB30" s="583"/>
      <c r="LC30" s="583"/>
      <c r="LD30" s="583"/>
      <c r="LE30" s="583"/>
      <c r="LF30" s="583"/>
      <c r="LG30" s="583"/>
      <c r="LH30" s="583"/>
      <c r="LI30" s="583"/>
      <c r="LJ30" s="583"/>
      <c r="LK30" s="583"/>
      <c r="LL30" s="583"/>
      <c r="LM30" s="583"/>
      <c r="LN30" s="583"/>
      <c r="LO30" s="583"/>
      <c r="LP30" s="583"/>
      <c r="LQ30" s="583"/>
      <c r="LR30" s="583"/>
      <c r="LS30" s="583"/>
      <c r="LT30" s="583"/>
      <c r="LU30" s="583"/>
      <c r="LV30" s="583"/>
      <c r="LW30" s="583"/>
      <c r="LX30" s="583"/>
      <c r="LY30" s="583"/>
      <c r="LZ30" s="583"/>
      <c r="MA30" s="583"/>
      <c r="MB30" s="583"/>
      <c r="MC30" s="583"/>
      <c r="MD30" s="583"/>
      <c r="ME30" s="583"/>
      <c r="MF30" s="583"/>
      <c r="MG30" s="583"/>
      <c r="MH30" s="583"/>
      <c r="MI30" s="583"/>
      <c r="MJ30" s="583"/>
      <c r="MK30" s="583"/>
      <c r="ML30" s="583"/>
      <c r="MM30" s="583"/>
      <c r="MN30" s="583"/>
      <c r="MO30" s="583"/>
      <c r="MP30" s="583"/>
      <c r="MQ30" s="583"/>
      <c r="MR30" s="583"/>
      <c r="MS30" s="583"/>
      <c r="MT30" s="583"/>
      <c r="MU30" s="583"/>
      <c r="MV30" s="583"/>
      <c r="MW30" s="583"/>
      <c r="MX30" s="583"/>
      <c r="MY30" s="583"/>
      <c r="MZ30" s="583"/>
      <c r="NA30" s="583"/>
      <c r="NB30" s="583"/>
      <c r="NC30" s="583"/>
      <c r="ND30" s="583"/>
      <c r="NE30" s="583"/>
      <c r="NF30" s="583"/>
      <c r="NG30" s="583"/>
      <c r="NH30" s="583"/>
      <c r="NI30" s="583"/>
      <c r="NJ30" s="583"/>
      <c r="NK30" s="583"/>
      <c r="NL30" s="583"/>
      <c r="NM30" s="583"/>
      <c r="NN30" s="583"/>
      <c r="NO30" s="583"/>
      <c r="NP30" s="583"/>
      <c r="NQ30" s="583"/>
      <c r="NR30" s="583"/>
      <c r="NS30" s="583"/>
      <c r="NT30" s="583"/>
      <c r="NU30" s="583"/>
      <c r="NV30" s="583"/>
      <c r="NW30" s="583"/>
      <c r="NX30" s="583"/>
      <c r="NY30" s="583"/>
      <c r="NZ30" s="583"/>
      <c r="OA30" s="583"/>
      <c r="OB30" s="583"/>
      <c r="OC30" s="583"/>
      <c r="OD30" s="583"/>
      <c r="OE30" s="583"/>
      <c r="OF30" s="583"/>
      <c r="OG30" s="583"/>
      <c r="OH30" s="583"/>
      <c r="OI30" s="583"/>
      <c r="OJ30" s="583"/>
      <c r="OK30" s="583"/>
      <c r="OL30" s="583"/>
      <c r="OM30" s="583"/>
      <c r="ON30" s="583"/>
      <c r="OO30" s="583"/>
      <c r="OP30" s="583"/>
      <c r="OQ30" s="583"/>
      <c r="OR30" s="583"/>
      <c r="OS30" s="583"/>
      <c r="OT30" s="583"/>
      <c r="OU30" s="583"/>
      <c r="OV30" s="583"/>
      <c r="OW30" s="583"/>
      <c r="OX30" s="583"/>
      <c r="OY30" s="583"/>
      <c r="OZ30" s="583"/>
      <c r="PA30" s="583"/>
      <c r="PB30" s="583"/>
      <c r="PC30" s="583"/>
      <c r="PD30" s="583"/>
      <c r="PE30" s="583"/>
      <c r="PF30" s="583"/>
      <c r="PG30" s="583"/>
      <c r="PH30" s="583"/>
      <c r="PI30" s="583"/>
      <c r="PJ30" s="583"/>
      <c r="PK30" s="583"/>
      <c r="PL30" s="583"/>
      <c r="PM30" s="583"/>
      <c r="PN30" s="583"/>
      <c r="PO30" s="583"/>
      <c r="PP30" s="583"/>
      <c r="PQ30" s="583"/>
      <c r="PR30" s="583"/>
      <c r="PS30" s="583"/>
      <c r="PT30" s="583"/>
      <c r="PU30" s="583"/>
      <c r="PV30" s="583"/>
      <c r="PW30" s="583"/>
      <c r="PX30" s="583"/>
      <c r="PY30" s="583"/>
      <c r="PZ30" s="583"/>
      <c r="QA30" s="583"/>
      <c r="QB30" s="583"/>
      <c r="QC30" s="583"/>
      <c r="QD30" s="583"/>
      <c r="QE30" s="583"/>
      <c r="QF30" s="583"/>
      <c r="QG30" s="583"/>
      <c r="QH30" s="583"/>
      <c r="QI30" s="583"/>
      <c r="QJ30" s="583"/>
      <c r="QK30" s="583"/>
      <c r="QL30" s="583"/>
      <c r="QM30" s="583"/>
      <c r="QN30" s="583"/>
      <c r="QO30" s="583"/>
      <c r="QP30" s="583"/>
      <c r="QQ30" s="583"/>
      <c r="QR30" s="583"/>
      <c r="QS30" s="583"/>
      <c r="QT30" s="583"/>
      <c r="QU30" s="583"/>
      <c r="QV30" s="583"/>
      <c r="QW30" s="583"/>
      <c r="QX30" s="583"/>
      <c r="QY30" s="583"/>
      <c r="QZ30" s="583"/>
      <c r="RA30" s="583"/>
      <c r="RB30" s="583"/>
      <c r="RC30" s="583"/>
      <c r="RD30" s="583"/>
      <c r="RE30" s="583"/>
      <c r="RF30" s="583"/>
      <c r="RG30" s="583"/>
      <c r="RH30" s="583"/>
      <c r="RI30" s="583"/>
      <c r="RJ30" s="583"/>
      <c r="RK30" s="583"/>
      <c r="RL30" s="583"/>
      <c r="RM30" s="583"/>
      <c r="RN30" s="583"/>
      <c r="RO30" s="583"/>
      <c r="RP30" s="583"/>
      <c r="RQ30" s="583"/>
      <c r="RR30" s="583"/>
      <c r="RS30" s="583"/>
      <c r="RT30" s="583"/>
      <c r="RU30" s="583"/>
      <c r="RV30" s="583"/>
      <c r="RW30" s="583"/>
      <c r="RX30" s="583"/>
      <c r="RY30" s="583"/>
      <c r="RZ30" s="583"/>
      <c r="SA30" s="583"/>
      <c r="SB30" s="583"/>
      <c r="SC30" s="583"/>
      <c r="SD30" s="583"/>
      <c r="SE30" s="583"/>
      <c r="SF30" s="583"/>
      <c r="SG30" s="583"/>
      <c r="SH30" s="583"/>
      <c r="SI30" s="583"/>
      <c r="SJ30" s="583"/>
      <c r="SK30" s="583"/>
      <c r="SL30" s="583"/>
      <c r="SM30" s="583"/>
      <c r="SN30" s="583"/>
      <c r="SO30" s="583"/>
      <c r="SP30" s="583"/>
      <c r="SQ30" s="583"/>
      <c r="SR30" s="583"/>
      <c r="SS30" s="583"/>
      <c r="ST30" s="583"/>
      <c r="SU30" s="583"/>
      <c r="SV30" s="583"/>
      <c r="SW30" s="583"/>
      <c r="SX30" s="583"/>
      <c r="SY30" s="583"/>
      <c r="SZ30" s="583"/>
      <c r="TA30" s="583"/>
      <c r="TB30" s="583"/>
      <c r="TC30" s="583"/>
      <c r="TD30" s="583"/>
      <c r="TE30" s="583"/>
      <c r="TF30" s="583"/>
      <c r="TG30" s="583"/>
      <c r="TH30" s="583"/>
      <c r="TI30" s="583"/>
      <c r="TJ30" s="583"/>
      <c r="TK30" s="583"/>
      <c r="TL30" s="583"/>
      <c r="TM30" s="583"/>
      <c r="TN30" s="583"/>
      <c r="TO30" s="583"/>
      <c r="TP30" s="583"/>
      <c r="TQ30" s="583"/>
      <c r="TR30" s="583"/>
      <c r="TS30" s="583"/>
      <c r="TT30" s="583"/>
      <c r="TU30" s="583"/>
      <c r="TV30" s="583"/>
      <c r="TW30" s="583"/>
      <c r="TX30" s="583"/>
      <c r="TY30" s="583"/>
      <c r="TZ30" s="583"/>
      <c r="UA30" s="583"/>
      <c r="UB30" s="583"/>
      <c r="UC30" s="583"/>
      <c r="UD30" s="583"/>
      <c r="UE30" s="583"/>
      <c r="UF30" s="583"/>
      <c r="UG30" s="583"/>
      <c r="UH30" s="583"/>
      <c r="UI30" s="583"/>
      <c r="UJ30" s="583"/>
      <c r="UK30" s="583"/>
      <c r="UL30" s="583"/>
      <c r="UM30" s="583"/>
      <c r="UN30" s="583"/>
      <c r="UO30" s="583"/>
      <c r="UP30" s="583"/>
      <c r="UQ30" s="583"/>
      <c r="UR30" s="583"/>
      <c r="US30" s="583"/>
      <c r="UT30" s="583"/>
      <c r="UU30" s="583"/>
      <c r="UV30" s="583"/>
      <c r="UW30" s="583"/>
      <c r="UX30" s="583"/>
      <c r="UY30" s="583"/>
      <c r="UZ30" s="583"/>
      <c r="VA30" s="583"/>
      <c r="VB30" s="583"/>
      <c r="VC30" s="583"/>
      <c r="VD30" s="583"/>
      <c r="VE30" s="583"/>
      <c r="VF30" s="583"/>
      <c r="VG30" s="583"/>
      <c r="VH30" s="583"/>
      <c r="VI30" s="583"/>
      <c r="VJ30" s="583"/>
      <c r="VK30" s="583"/>
      <c r="VL30" s="583"/>
      <c r="VM30" s="583"/>
      <c r="VN30" s="583"/>
      <c r="VO30" s="583"/>
      <c r="VP30" s="583"/>
      <c r="VQ30" s="583"/>
      <c r="VR30" s="583"/>
      <c r="VS30" s="583"/>
      <c r="VT30" s="583"/>
      <c r="VU30" s="583"/>
      <c r="VV30" s="583"/>
      <c r="VW30" s="583"/>
      <c r="VX30" s="583"/>
      <c r="VY30" s="583"/>
      <c r="VZ30" s="583"/>
      <c r="WA30" s="583"/>
      <c r="WB30" s="583"/>
      <c r="WC30" s="583"/>
      <c r="WD30" s="583"/>
      <c r="WE30" s="583"/>
      <c r="WF30" s="583"/>
      <c r="WG30" s="583"/>
      <c r="WH30" s="583"/>
      <c r="WI30" s="583"/>
      <c r="WJ30" s="583"/>
      <c r="WK30" s="583"/>
      <c r="WL30" s="583"/>
      <c r="WM30" s="583"/>
      <c r="WN30" s="583"/>
      <c r="WO30" s="583"/>
      <c r="WP30" s="583"/>
      <c r="WQ30" s="583"/>
      <c r="WR30" s="583"/>
      <c r="WS30" s="583"/>
      <c r="WT30" s="583"/>
      <c r="WU30" s="583"/>
      <c r="WV30" s="583"/>
      <c r="WW30" s="583"/>
      <c r="WX30" s="583"/>
      <c r="WY30" s="583"/>
      <c r="WZ30" s="583"/>
      <c r="XA30" s="583"/>
      <c r="XB30" s="583"/>
      <c r="XC30" s="583"/>
      <c r="XD30" s="583"/>
      <c r="XE30" s="583"/>
      <c r="XF30" s="583"/>
      <c r="XG30" s="583"/>
      <c r="XH30" s="583"/>
      <c r="XI30" s="583"/>
      <c r="XJ30" s="583"/>
      <c r="XK30" s="583"/>
      <c r="XL30" s="583"/>
      <c r="XM30" s="583"/>
      <c r="XN30" s="583"/>
      <c r="XO30" s="583"/>
      <c r="XP30" s="583"/>
      <c r="XQ30" s="583"/>
      <c r="XR30" s="583"/>
      <c r="XS30" s="583"/>
      <c r="XT30" s="583"/>
      <c r="XU30" s="583"/>
      <c r="XV30" s="583"/>
      <c r="XW30" s="583"/>
      <c r="XX30" s="583"/>
      <c r="XY30" s="583"/>
      <c r="XZ30" s="583"/>
      <c r="YA30" s="583"/>
      <c r="YB30" s="583"/>
      <c r="YC30" s="583"/>
      <c r="YD30" s="583"/>
      <c r="YE30" s="583"/>
      <c r="YF30" s="583"/>
      <c r="YG30" s="583"/>
      <c r="YH30" s="583"/>
      <c r="YI30" s="583"/>
      <c r="YJ30" s="583"/>
      <c r="YK30" s="583"/>
      <c r="YL30" s="583"/>
      <c r="YM30" s="583"/>
      <c r="YN30" s="583"/>
      <c r="YO30" s="583"/>
      <c r="YP30" s="583"/>
      <c r="YQ30" s="583"/>
      <c r="YR30" s="583"/>
      <c r="YS30" s="583"/>
      <c r="YT30" s="583"/>
      <c r="YU30" s="583"/>
      <c r="YV30" s="583"/>
      <c r="YW30" s="583"/>
      <c r="YX30" s="583"/>
      <c r="YY30" s="583"/>
      <c r="YZ30" s="583"/>
      <c r="ZA30" s="583"/>
      <c r="ZB30" s="583"/>
      <c r="ZC30" s="583"/>
      <c r="ZD30" s="583"/>
      <c r="ZE30" s="583"/>
      <c r="ZF30" s="583"/>
      <c r="ZG30" s="583"/>
      <c r="ZH30" s="583"/>
      <c r="ZI30" s="583"/>
      <c r="ZJ30" s="583"/>
      <c r="ZK30" s="583"/>
      <c r="ZL30" s="583"/>
      <c r="ZM30" s="583"/>
      <c r="ZN30" s="583"/>
      <c r="ZO30" s="583"/>
      <c r="ZP30" s="583"/>
      <c r="ZQ30" s="583"/>
      <c r="ZR30" s="583"/>
      <c r="ZS30" s="583"/>
      <c r="ZT30" s="583"/>
      <c r="ZU30" s="583"/>
      <c r="ZV30" s="583"/>
      <c r="ZW30" s="583"/>
      <c r="ZX30" s="583"/>
      <c r="ZY30" s="583"/>
      <c r="ZZ30" s="583"/>
      <c r="AAA30" s="583"/>
      <c r="AAB30" s="583"/>
      <c r="AAC30" s="583"/>
      <c r="AAD30" s="583"/>
      <c r="AAE30" s="583"/>
      <c r="AAF30" s="583"/>
      <c r="AAG30" s="583"/>
      <c r="AAH30" s="583"/>
      <c r="AAI30" s="583"/>
      <c r="AAJ30" s="583"/>
      <c r="AAK30" s="583"/>
      <c r="AAL30" s="583"/>
      <c r="AAM30" s="583"/>
      <c r="AAN30" s="583"/>
      <c r="AAO30" s="583"/>
      <c r="AAP30" s="583"/>
      <c r="AAQ30" s="583"/>
      <c r="AAR30" s="583"/>
      <c r="AAS30" s="583"/>
      <c r="AAT30" s="583"/>
      <c r="AAU30" s="583"/>
      <c r="AAV30" s="583"/>
      <c r="AAW30" s="583"/>
      <c r="AAX30" s="583"/>
      <c r="AAY30" s="583"/>
      <c r="AAZ30" s="583"/>
      <c r="ABA30" s="583"/>
      <c r="ABB30" s="583"/>
      <c r="ABC30" s="583"/>
      <c r="ABD30" s="583"/>
      <c r="ABE30" s="583"/>
      <c r="ABF30" s="583"/>
      <c r="ABG30" s="583"/>
      <c r="ABH30" s="583"/>
      <c r="ABI30" s="583"/>
      <c r="ABJ30" s="583"/>
      <c r="ABK30" s="583"/>
      <c r="ABL30" s="583"/>
      <c r="ABM30" s="583"/>
      <c r="ABN30" s="583"/>
      <c r="ABO30" s="583"/>
      <c r="ABP30" s="583"/>
      <c r="ABQ30" s="583"/>
      <c r="ABR30" s="583"/>
      <c r="ABS30" s="583"/>
      <c r="ABT30" s="583"/>
      <c r="ABU30" s="583"/>
      <c r="ABV30" s="583"/>
      <c r="ABW30" s="583"/>
      <c r="ABX30" s="583"/>
      <c r="ABY30" s="583"/>
      <c r="ABZ30" s="583"/>
      <c r="ACA30" s="583"/>
      <c r="ACB30" s="583"/>
      <c r="ACC30" s="583"/>
      <c r="ACD30" s="583"/>
      <c r="ACE30" s="583"/>
      <c r="ACF30" s="583"/>
      <c r="ACG30" s="583"/>
      <c r="ACH30" s="583"/>
      <c r="ACI30" s="583"/>
      <c r="ACJ30" s="583"/>
      <c r="ACK30" s="583"/>
      <c r="ACL30" s="583"/>
      <c r="ACM30" s="583"/>
      <c r="ACN30" s="583"/>
      <c r="ACO30" s="583"/>
      <c r="ACP30" s="583"/>
      <c r="ACQ30" s="583"/>
      <c r="ACR30" s="583"/>
      <c r="ACS30" s="583"/>
      <c r="ACT30" s="583"/>
      <c r="ACU30" s="583"/>
      <c r="ACV30" s="583"/>
      <c r="ACW30" s="583"/>
      <c r="ACX30" s="583"/>
      <c r="ACY30" s="583"/>
      <c r="ACZ30" s="583"/>
      <c r="ADA30" s="583"/>
      <c r="ADB30" s="583"/>
      <c r="ADC30" s="583"/>
      <c r="ADD30" s="583"/>
      <c r="ADE30" s="583"/>
      <c r="ADF30" s="583"/>
      <c r="ADG30" s="583"/>
      <c r="ADH30" s="583"/>
      <c r="ADI30" s="583"/>
      <c r="ADJ30" s="583"/>
      <c r="ADK30" s="583"/>
      <c r="ADL30" s="583"/>
      <c r="ADM30" s="583"/>
      <c r="ADN30" s="583"/>
      <c r="ADO30" s="583"/>
      <c r="ADP30" s="583"/>
      <c r="ADQ30" s="583"/>
      <c r="ADR30" s="583"/>
      <c r="ADS30" s="583"/>
      <c r="ADT30" s="583"/>
      <c r="ADU30" s="583"/>
      <c r="ADV30" s="583"/>
      <c r="ADW30" s="583"/>
      <c r="ADX30" s="583"/>
      <c r="ADY30" s="583"/>
      <c r="ADZ30" s="583"/>
      <c r="AEA30" s="583"/>
      <c r="AEB30" s="583"/>
      <c r="AEC30" s="583"/>
      <c r="AED30" s="583"/>
      <c r="AEE30" s="583"/>
      <c r="AEF30" s="583"/>
      <c r="AEG30" s="583"/>
      <c r="AEH30" s="583"/>
      <c r="AEI30" s="583"/>
      <c r="AEJ30" s="583"/>
      <c r="AEK30" s="583"/>
      <c r="AEL30" s="583"/>
      <c r="AEM30" s="583"/>
      <c r="AEN30" s="583"/>
      <c r="AEO30" s="583"/>
      <c r="AEP30" s="583"/>
      <c r="AEQ30" s="583"/>
      <c r="AER30" s="583"/>
      <c r="AES30" s="583"/>
      <c r="AET30" s="583"/>
      <c r="AEU30" s="583"/>
      <c r="AEV30" s="583"/>
      <c r="AEW30" s="583"/>
      <c r="AEX30" s="583"/>
      <c r="AEY30" s="583"/>
      <c r="AEZ30" s="583"/>
      <c r="AFA30" s="583"/>
      <c r="AFB30" s="583"/>
      <c r="AFC30" s="583"/>
      <c r="AFD30" s="583"/>
      <c r="AFE30" s="583"/>
      <c r="AFF30" s="583"/>
      <c r="AFG30" s="583"/>
      <c r="AFH30" s="583"/>
      <c r="AFI30" s="583"/>
      <c r="AFJ30" s="583"/>
      <c r="AFK30" s="583"/>
      <c r="AFL30" s="583"/>
      <c r="AFM30" s="583"/>
      <c r="AFN30" s="583"/>
      <c r="AFO30" s="583"/>
      <c r="AFP30" s="583"/>
      <c r="AFQ30" s="583"/>
      <c r="AFR30" s="583"/>
      <c r="AFS30" s="583"/>
      <c r="AFT30" s="583"/>
      <c r="AFU30" s="583"/>
      <c r="AFV30" s="583"/>
      <c r="AFW30" s="583"/>
      <c r="AFX30" s="583"/>
      <c r="AFY30" s="583"/>
      <c r="AFZ30" s="583"/>
      <c r="AGA30" s="583"/>
      <c r="AGB30" s="583"/>
      <c r="AGC30" s="583"/>
      <c r="AGD30" s="583"/>
      <c r="AGE30" s="583"/>
      <c r="AGF30" s="583"/>
      <c r="AGG30" s="583"/>
      <c r="AGH30" s="583"/>
      <c r="AGI30" s="583"/>
      <c r="AGJ30" s="583"/>
      <c r="AGK30" s="583"/>
      <c r="AGL30" s="583"/>
      <c r="AGM30" s="583"/>
      <c r="AGN30" s="583"/>
      <c r="AGO30" s="583"/>
      <c r="AGP30" s="583"/>
      <c r="AGQ30" s="583"/>
      <c r="AGR30" s="583"/>
      <c r="AGS30" s="583"/>
      <c r="AGT30" s="583"/>
      <c r="AGU30" s="583"/>
      <c r="AGV30" s="583"/>
      <c r="AGW30" s="583"/>
      <c r="AGX30" s="583"/>
      <c r="AGY30" s="583"/>
      <c r="AGZ30" s="583"/>
      <c r="AHA30" s="583"/>
      <c r="AHB30" s="583"/>
      <c r="AHC30" s="583"/>
      <c r="AHD30" s="583"/>
      <c r="AHE30" s="583"/>
      <c r="AHF30" s="583"/>
      <c r="AHG30" s="583"/>
      <c r="AHH30" s="583"/>
      <c r="AHI30" s="583"/>
      <c r="AHJ30" s="583"/>
      <c r="AHK30" s="583"/>
      <c r="AHL30" s="583"/>
      <c r="AHM30" s="583"/>
      <c r="AHN30" s="583"/>
      <c r="AHO30" s="583"/>
      <c r="AHP30" s="583"/>
      <c r="AHQ30" s="583"/>
      <c r="AHR30" s="583"/>
      <c r="AHS30" s="583"/>
      <c r="AHT30" s="583"/>
      <c r="AHU30" s="583"/>
      <c r="AHV30" s="583"/>
      <c r="AHW30" s="583"/>
      <c r="AHX30" s="583"/>
      <c r="AHY30" s="583"/>
      <c r="AHZ30" s="583"/>
      <c r="AIA30" s="583"/>
      <c r="AIB30" s="583"/>
      <c r="AIC30" s="583"/>
      <c r="AID30" s="583"/>
      <c r="AIE30" s="583"/>
      <c r="AIF30" s="583"/>
      <c r="AIG30" s="583"/>
      <c r="AIH30" s="583"/>
      <c r="AII30" s="583"/>
      <c r="AIJ30" s="583"/>
      <c r="AIK30" s="583"/>
      <c r="AIL30" s="583"/>
      <c r="AIM30" s="583"/>
      <c r="AIN30" s="583"/>
      <c r="AIO30" s="583"/>
      <c r="AIP30" s="583"/>
      <c r="AIQ30" s="583"/>
      <c r="AIR30" s="583"/>
      <c r="AIS30" s="583"/>
      <c r="AIT30" s="583"/>
      <c r="AIU30" s="583"/>
      <c r="AIV30" s="583"/>
      <c r="AIW30" s="583"/>
      <c r="AIX30" s="583"/>
      <c r="AIY30" s="583"/>
      <c r="AIZ30" s="583"/>
      <c r="AJA30" s="583"/>
      <c r="AJB30" s="583"/>
      <c r="AJC30" s="583"/>
      <c r="AJD30" s="583"/>
      <c r="AJE30" s="583"/>
      <c r="AJF30" s="583"/>
      <c r="AJG30" s="583"/>
      <c r="AJH30" s="583"/>
      <c r="AJI30" s="583"/>
      <c r="AJJ30" s="583"/>
      <c r="AJK30" s="583"/>
      <c r="AJL30" s="583"/>
      <c r="AJM30" s="583"/>
      <c r="AJN30" s="583"/>
      <c r="AJO30" s="583"/>
      <c r="AJP30" s="583"/>
      <c r="AJQ30" s="583"/>
      <c r="AJR30" s="583"/>
      <c r="AJS30" s="583"/>
      <c r="AJT30" s="583"/>
      <c r="AJU30" s="583"/>
      <c r="AJV30" s="583"/>
      <c r="AJW30" s="583"/>
      <c r="AJX30" s="583"/>
      <c r="AJY30" s="583"/>
      <c r="AJZ30" s="583"/>
      <c r="AKA30" s="583"/>
      <c r="AKB30" s="583"/>
      <c r="AKC30" s="583"/>
      <c r="AKD30" s="583"/>
      <c r="AKE30" s="583"/>
      <c r="AKF30" s="583"/>
      <c r="AKG30" s="583"/>
      <c r="AKH30" s="583"/>
      <c r="AKI30" s="583"/>
      <c r="AKJ30" s="583"/>
      <c r="AKK30" s="583"/>
      <c r="AKL30" s="583"/>
      <c r="AKM30" s="583"/>
      <c r="AKN30" s="583"/>
      <c r="AKO30" s="583"/>
      <c r="AKP30" s="583"/>
      <c r="AKQ30" s="583"/>
      <c r="AKR30" s="583"/>
      <c r="AKS30" s="583"/>
      <c r="AKT30" s="583"/>
      <c r="AKU30" s="583"/>
      <c r="AKV30" s="583"/>
      <c r="AKW30" s="583"/>
      <c r="AKX30" s="583"/>
      <c r="AKY30" s="583"/>
      <c r="AKZ30" s="583"/>
      <c r="ALA30" s="583"/>
      <c r="ALB30" s="583"/>
      <c r="ALC30" s="583"/>
      <c r="ALD30" s="583"/>
      <c r="ALE30" s="583"/>
      <c r="ALF30" s="583"/>
      <c r="ALG30" s="583"/>
      <c r="ALH30" s="583"/>
      <c r="ALI30" s="583"/>
      <c r="ALJ30" s="583"/>
      <c r="ALK30" s="583"/>
      <c r="ALL30" s="583"/>
      <c r="ALM30" s="583"/>
      <c r="ALN30" s="583"/>
      <c r="ALO30" s="583"/>
      <c r="ALP30" s="583"/>
      <c r="ALQ30" s="583"/>
      <c r="ALR30" s="583"/>
      <c r="ALS30" s="583"/>
      <c r="ALT30" s="583"/>
      <c r="ALU30" s="583"/>
      <c r="ALV30" s="583"/>
      <c r="ALW30" s="583"/>
      <c r="ALX30" s="583"/>
      <c r="ALY30" s="583"/>
      <c r="ALZ30" s="583"/>
      <c r="AMA30" s="583"/>
      <c r="AMB30" s="583"/>
      <c r="AMC30" s="583"/>
      <c r="AMD30" s="583"/>
      <c r="AME30" s="583"/>
      <c r="AMF30" s="583"/>
      <c r="AMG30" s="583"/>
      <c r="AMH30" s="583"/>
      <c r="AMI30" s="583"/>
      <c r="AMJ30" s="583"/>
      <c r="AMK30" s="583"/>
      <c r="AML30" s="583"/>
      <c r="AMM30" s="583"/>
      <c r="AMN30" s="583"/>
      <c r="AMO30" s="583"/>
      <c r="AMP30" s="583"/>
      <c r="AMQ30" s="583"/>
      <c r="AMR30" s="583"/>
      <c r="AMS30" s="583"/>
      <c r="AMT30" s="583"/>
      <c r="AMU30" s="583"/>
      <c r="AMV30" s="583"/>
      <c r="AMW30" s="583"/>
      <c r="AMX30" s="583"/>
      <c r="AMY30" s="583"/>
      <c r="AMZ30" s="583"/>
      <c r="ANA30" s="583"/>
      <c r="ANB30" s="583"/>
      <c r="ANC30" s="583"/>
      <c r="AND30" s="583"/>
      <c r="ANE30" s="583"/>
      <c r="ANF30" s="583"/>
      <c r="ANG30" s="583"/>
      <c r="ANH30" s="583"/>
      <c r="ANI30" s="583"/>
      <c r="ANJ30" s="583"/>
      <c r="ANK30" s="583"/>
      <c r="ANL30" s="583"/>
      <c r="ANM30" s="583"/>
      <c r="ANN30" s="583"/>
      <c r="ANO30" s="583"/>
      <c r="ANP30" s="583"/>
      <c r="ANQ30" s="583"/>
      <c r="ANR30" s="583"/>
      <c r="ANS30" s="583"/>
      <c r="ANT30" s="583"/>
      <c r="ANU30" s="583"/>
      <c r="ANV30" s="583"/>
      <c r="ANW30" s="583"/>
      <c r="ANX30" s="583"/>
      <c r="ANY30" s="583"/>
      <c r="ANZ30" s="583"/>
      <c r="AOA30" s="583"/>
      <c r="AOB30" s="583"/>
      <c r="AOC30" s="583"/>
      <c r="AOD30" s="583"/>
      <c r="AOE30" s="583"/>
      <c r="AOF30" s="583"/>
      <c r="AOG30" s="583"/>
      <c r="AOH30" s="583"/>
      <c r="AOI30" s="583"/>
      <c r="AOJ30" s="583"/>
      <c r="AOK30" s="583"/>
      <c r="AOL30" s="583"/>
      <c r="AOM30" s="583"/>
      <c r="AON30" s="583"/>
      <c r="AOO30" s="583"/>
      <c r="AOP30" s="583"/>
      <c r="AOQ30" s="583"/>
      <c r="AOR30" s="583"/>
      <c r="AOS30" s="583"/>
      <c r="AOT30" s="583"/>
      <c r="AOU30" s="583"/>
      <c r="AOV30" s="583"/>
      <c r="AOW30" s="583"/>
      <c r="AOX30" s="583"/>
      <c r="AOY30" s="583"/>
      <c r="AOZ30" s="583"/>
      <c r="APA30" s="583"/>
      <c r="APB30" s="583"/>
      <c r="APC30" s="583"/>
      <c r="APD30" s="583"/>
      <c r="APE30" s="583"/>
      <c r="APF30" s="583"/>
      <c r="APG30" s="583"/>
      <c r="APH30" s="583"/>
      <c r="API30" s="583"/>
      <c r="APJ30" s="583"/>
      <c r="APK30" s="583"/>
      <c r="APL30" s="583"/>
      <c r="APM30" s="583"/>
      <c r="APN30" s="583"/>
      <c r="APO30" s="583"/>
      <c r="APP30" s="583"/>
      <c r="APQ30" s="583"/>
      <c r="APR30" s="583"/>
      <c r="APS30" s="583"/>
      <c r="APT30" s="583"/>
      <c r="APU30" s="583"/>
      <c r="APV30" s="583"/>
      <c r="APW30" s="583"/>
      <c r="APX30" s="583"/>
      <c r="APY30" s="583"/>
      <c r="APZ30" s="583"/>
      <c r="AQA30" s="583"/>
      <c r="AQB30" s="583"/>
      <c r="AQC30" s="583"/>
      <c r="AQD30" s="583"/>
      <c r="AQE30" s="583"/>
      <c r="AQF30" s="583"/>
      <c r="AQG30" s="583"/>
      <c r="AQH30" s="583"/>
      <c r="AQI30" s="583"/>
      <c r="AQJ30" s="583"/>
      <c r="AQK30" s="583"/>
      <c r="AQL30" s="583"/>
      <c r="AQM30" s="583"/>
      <c r="AQN30" s="583"/>
      <c r="AQO30" s="583"/>
      <c r="AQP30" s="583"/>
      <c r="AQQ30" s="583"/>
      <c r="AQR30" s="583"/>
      <c r="AQS30" s="583"/>
      <c r="AQT30" s="583"/>
      <c r="AQU30" s="583"/>
      <c r="AQV30" s="583"/>
      <c r="AQW30" s="583"/>
      <c r="AQX30" s="583"/>
      <c r="AQY30" s="583"/>
      <c r="AQZ30" s="583"/>
      <c r="ARA30" s="583"/>
      <c r="ARB30" s="583"/>
      <c r="ARC30" s="583"/>
      <c r="ARD30" s="583"/>
      <c r="ARE30" s="583"/>
      <c r="ARF30" s="583"/>
      <c r="ARG30" s="583"/>
      <c r="ARH30" s="583"/>
      <c r="ARI30" s="583"/>
      <c r="ARJ30" s="583"/>
      <c r="ARK30" s="583"/>
      <c r="ARL30" s="583"/>
      <c r="ARM30" s="583"/>
      <c r="ARN30" s="583"/>
      <c r="ARO30" s="583"/>
      <c r="ARP30" s="583"/>
      <c r="ARQ30" s="583"/>
      <c r="ARR30" s="583"/>
      <c r="ARS30" s="583"/>
      <c r="ART30" s="583"/>
      <c r="ARU30" s="583"/>
      <c r="ARV30" s="583"/>
      <c r="ARW30" s="583"/>
      <c r="ARX30" s="583"/>
      <c r="ARY30" s="583"/>
      <c r="ARZ30" s="583"/>
      <c r="ASA30" s="583"/>
      <c r="ASB30" s="583"/>
      <c r="ASC30" s="583"/>
      <c r="ASD30" s="583"/>
      <c r="ASE30" s="583"/>
      <c r="ASF30" s="583"/>
      <c r="ASG30" s="583"/>
      <c r="ASH30" s="583"/>
      <c r="ASI30" s="583"/>
      <c r="ASJ30" s="583"/>
      <c r="ASK30" s="583"/>
      <c r="ASL30" s="583"/>
      <c r="ASM30" s="583"/>
      <c r="ASN30" s="583"/>
      <c r="ASO30" s="583"/>
      <c r="ASP30" s="583"/>
      <c r="ASQ30" s="583"/>
      <c r="ASR30" s="583"/>
      <c r="ASS30" s="583"/>
      <c r="AST30" s="583"/>
      <c r="ASU30" s="583"/>
      <c r="ASV30" s="583"/>
      <c r="ASW30" s="583"/>
      <c r="ASX30" s="583"/>
      <c r="ASY30" s="583"/>
      <c r="ASZ30" s="583"/>
      <c r="ATA30" s="583"/>
      <c r="ATB30" s="583"/>
      <c r="ATC30" s="583"/>
      <c r="ATD30" s="583"/>
      <c r="ATE30" s="583"/>
      <c r="ATF30" s="583"/>
      <c r="ATG30" s="583"/>
      <c r="ATH30" s="583"/>
      <c r="ATI30" s="583"/>
      <c r="ATJ30" s="583"/>
      <c r="ATK30" s="583"/>
      <c r="ATL30" s="583"/>
      <c r="ATM30" s="583"/>
      <c r="ATN30" s="583"/>
      <c r="ATO30" s="583"/>
      <c r="ATP30" s="583"/>
      <c r="ATQ30" s="583"/>
      <c r="ATR30" s="583"/>
      <c r="ATS30" s="583"/>
      <c r="ATT30" s="583"/>
      <c r="ATU30" s="583"/>
      <c r="ATV30" s="583"/>
      <c r="ATW30" s="583"/>
      <c r="ATX30" s="583"/>
      <c r="ATY30" s="583"/>
      <c r="ATZ30" s="583"/>
      <c r="AUA30" s="583"/>
      <c r="AUB30" s="583"/>
      <c r="AUC30" s="583"/>
      <c r="AUD30" s="583"/>
      <c r="AUE30" s="583"/>
      <c r="AUF30" s="583"/>
      <c r="AUG30" s="583"/>
      <c r="AUH30" s="583"/>
      <c r="AUI30" s="583"/>
      <c r="AUJ30" s="583"/>
      <c r="AUK30" s="583"/>
      <c r="AUL30" s="583"/>
      <c r="AUM30" s="583"/>
      <c r="AUN30" s="583"/>
      <c r="AUO30" s="583"/>
      <c r="AUP30" s="583"/>
      <c r="AUQ30" s="583"/>
      <c r="AUR30" s="583"/>
      <c r="AUS30" s="583"/>
      <c r="AUT30" s="583"/>
      <c r="AUU30" s="583"/>
      <c r="AUV30" s="583"/>
      <c r="AUW30" s="583"/>
      <c r="AUX30" s="583"/>
      <c r="AUY30" s="583"/>
      <c r="AUZ30" s="583"/>
      <c r="AVA30" s="583"/>
      <c r="AVB30" s="583"/>
      <c r="AVC30" s="583"/>
      <c r="AVD30" s="583"/>
      <c r="AVE30" s="583"/>
      <c r="AVF30" s="583"/>
      <c r="AVG30" s="583"/>
      <c r="AVH30" s="583"/>
      <c r="AVI30" s="583"/>
      <c r="AVJ30" s="583"/>
      <c r="AVK30" s="583"/>
      <c r="AVL30" s="583"/>
      <c r="AVM30" s="583"/>
      <c r="AVN30" s="583"/>
      <c r="AVO30" s="583"/>
      <c r="AVP30" s="583"/>
      <c r="AVQ30" s="583"/>
      <c r="AVR30" s="583"/>
      <c r="AVS30" s="583"/>
      <c r="AVT30" s="583"/>
      <c r="AVU30" s="583"/>
      <c r="AVV30" s="583"/>
      <c r="AVW30" s="583"/>
      <c r="AVX30" s="583"/>
      <c r="AVY30" s="583"/>
      <c r="AVZ30" s="583"/>
      <c r="AWA30" s="583"/>
      <c r="AWB30" s="583"/>
      <c r="AWC30" s="583"/>
      <c r="AWD30" s="583"/>
      <c r="AWE30" s="583"/>
      <c r="AWF30" s="583"/>
      <c r="AWG30" s="583"/>
      <c r="AWH30" s="583"/>
      <c r="AWI30" s="583"/>
      <c r="AWJ30" s="583"/>
      <c r="AWK30" s="583"/>
      <c r="AWL30" s="583"/>
      <c r="AWM30" s="583"/>
      <c r="AWN30" s="583"/>
      <c r="AWO30" s="583"/>
      <c r="AWP30" s="583"/>
      <c r="AWQ30" s="583"/>
      <c r="AWR30" s="583"/>
      <c r="AWS30" s="583"/>
      <c r="AWT30" s="583"/>
      <c r="AWU30" s="583"/>
      <c r="AWV30" s="583"/>
      <c r="AWW30" s="583"/>
      <c r="AWX30" s="583"/>
      <c r="AWY30" s="583"/>
      <c r="AWZ30" s="583"/>
      <c r="AXA30" s="583"/>
      <c r="AXB30" s="583"/>
      <c r="AXC30" s="583"/>
      <c r="AXD30" s="583"/>
      <c r="AXE30" s="583"/>
      <c r="AXF30" s="583"/>
      <c r="AXG30" s="583"/>
      <c r="AXH30" s="583"/>
      <c r="AXI30" s="583"/>
      <c r="AXJ30" s="583"/>
      <c r="AXK30" s="583"/>
      <c r="AXL30" s="583"/>
      <c r="AXM30" s="583"/>
      <c r="AXN30" s="583"/>
      <c r="AXO30" s="583"/>
      <c r="AXP30" s="583"/>
      <c r="AXQ30" s="583"/>
      <c r="AXR30" s="583"/>
      <c r="AXS30" s="583"/>
      <c r="AXT30" s="583"/>
      <c r="AXU30" s="583"/>
      <c r="AXV30" s="583"/>
      <c r="AXW30" s="583"/>
      <c r="AXX30" s="583"/>
      <c r="AXY30" s="583"/>
      <c r="AXZ30" s="583"/>
      <c r="AYA30" s="583"/>
      <c r="AYB30" s="583"/>
      <c r="AYC30" s="583"/>
      <c r="AYD30" s="583"/>
      <c r="AYE30" s="583"/>
      <c r="AYF30" s="583"/>
      <c r="AYG30" s="583"/>
      <c r="AYH30" s="583"/>
      <c r="AYI30" s="583"/>
      <c r="AYJ30" s="583"/>
      <c r="AYK30" s="583"/>
      <c r="AYL30" s="583"/>
      <c r="AYM30" s="583"/>
      <c r="AYN30" s="583"/>
      <c r="AYO30" s="583"/>
      <c r="AYP30" s="583"/>
      <c r="AYQ30" s="583"/>
      <c r="AYR30" s="583"/>
      <c r="AYS30" s="583"/>
      <c r="AYT30" s="583"/>
      <c r="AYU30" s="583"/>
      <c r="AYV30" s="583"/>
      <c r="AYW30" s="583"/>
      <c r="AYX30" s="583"/>
      <c r="AYY30" s="583"/>
      <c r="AYZ30" s="583"/>
      <c r="AZA30" s="583"/>
      <c r="AZB30" s="583"/>
      <c r="AZC30" s="583"/>
      <c r="AZD30" s="583"/>
      <c r="AZE30" s="583"/>
      <c r="AZF30" s="583"/>
      <c r="AZG30" s="583"/>
      <c r="AZH30" s="583"/>
      <c r="AZI30" s="583"/>
      <c r="AZJ30" s="583"/>
      <c r="AZK30" s="583"/>
      <c r="AZL30" s="583"/>
      <c r="AZM30" s="583"/>
      <c r="AZN30" s="583"/>
      <c r="AZO30" s="583"/>
      <c r="AZP30" s="583"/>
      <c r="AZQ30" s="583"/>
      <c r="AZR30" s="583"/>
      <c r="AZS30" s="583"/>
      <c r="AZT30" s="583"/>
      <c r="AZU30" s="583"/>
      <c r="AZV30" s="583"/>
      <c r="AZW30" s="583"/>
      <c r="AZX30" s="583"/>
      <c r="AZY30" s="583"/>
      <c r="AZZ30" s="583"/>
      <c r="BAA30" s="583"/>
      <c r="BAB30" s="583"/>
      <c r="BAC30" s="583"/>
      <c r="BAD30" s="583"/>
      <c r="BAE30" s="583"/>
      <c r="BAF30" s="583"/>
      <c r="BAG30" s="583"/>
      <c r="BAH30" s="583"/>
      <c r="BAI30" s="583"/>
      <c r="BAJ30" s="583"/>
      <c r="BAK30" s="583"/>
      <c r="BAL30" s="583"/>
      <c r="BAM30" s="583"/>
      <c r="BAN30" s="583"/>
      <c r="BAO30" s="583"/>
      <c r="BAP30" s="583"/>
      <c r="BAQ30" s="583"/>
      <c r="BAR30" s="583"/>
      <c r="BAS30" s="583"/>
      <c r="BAT30" s="583"/>
      <c r="BAU30" s="583"/>
      <c r="BAV30" s="583"/>
      <c r="BAW30" s="583"/>
      <c r="BAX30" s="583"/>
      <c r="BAY30" s="583"/>
      <c r="BAZ30" s="583"/>
      <c r="BBA30" s="583"/>
      <c r="BBB30" s="583"/>
      <c r="BBC30" s="583"/>
      <c r="BBD30" s="583"/>
      <c r="BBE30" s="583"/>
      <c r="BBF30" s="583"/>
      <c r="BBG30" s="583"/>
      <c r="BBH30" s="583"/>
      <c r="BBI30" s="583"/>
      <c r="BBJ30" s="583"/>
      <c r="BBK30" s="583"/>
      <c r="BBL30" s="583"/>
      <c r="BBM30" s="583"/>
      <c r="BBN30" s="583"/>
      <c r="BBO30" s="583"/>
      <c r="BBP30" s="583"/>
      <c r="BBQ30" s="583"/>
      <c r="BBR30" s="583"/>
      <c r="BBS30" s="583"/>
      <c r="BBT30" s="583"/>
      <c r="BBU30" s="583"/>
      <c r="BBV30" s="583"/>
      <c r="BBW30" s="583"/>
      <c r="BBX30" s="583"/>
      <c r="BBY30" s="583"/>
      <c r="BBZ30" s="583"/>
      <c r="BCA30" s="583"/>
      <c r="BCB30" s="583"/>
      <c r="BCC30" s="583"/>
      <c r="BCD30" s="583"/>
      <c r="BCE30" s="583"/>
      <c r="BCF30" s="583"/>
      <c r="BCG30" s="583"/>
      <c r="BCH30" s="583"/>
      <c r="BCI30" s="583"/>
      <c r="BCJ30" s="583"/>
      <c r="BCK30" s="583"/>
      <c r="BCL30" s="583"/>
      <c r="BCM30" s="583"/>
      <c r="BCN30" s="583"/>
      <c r="BCO30" s="583"/>
      <c r="BCP30" s="583"/>
      <c r="BCQ30" s="583"/>
      <c r="BCR30" s="583"/>
      <c r="BCS30" s="583"/>
      <c r="BCT30" s="583"/>
      <c r="BCU30" s="583"/>
      <c r="BCV30" s="583"/>
      <c r="BCW30" s="583"/>
      <c r="BCX30" s="583"/>
      <c r="BCY30" s="583"/>
      <c r="BCZ30" s="583"/>
      <c r="BDA30" s="583"/>
      <c r="BDB30" s="583"/>
      <c r="BDC30" s="583"/>
      <c r="BDD30" s="583"/>
      <c r="BDE30" s="583"/>
      <c r="BDF30" s="583"/>
      <c r="BDG30" s="583"/>
      <c r="BDH30" s="583"/>
      <c r="BDI30" s="583"/>
      <c r="BDJ30" s="583"/>
      <c r="BDK30" s="583"/>
      <c r="BDL30" s="583"/>
      <c r="BDM30" s="583"/>
      <c r="BDN30" s="583"/>
      <c r="BDO30" s="583"/>
      <c r="BDP30" s="583"/>
      <c r="BDQ30" s="583"/>
      <c r="BDR30" s="583"/>
      <c r="BDS30" s="583"/>
      <c r="BDT30" s="583"/>
      <c r="BDU30" s="583"/>
      <c r="BDV30" s="583"/>
      <c r="BDW30" s="583"/>
      <c r="BDX30" s="583"/>
      <c r="BDY30" s="583"/>
      <c r="BDZ30" s="583"/>
      <c r="BEA30" s="583"/>
      <c r="BEB30" s="583"/>
      <c r="BEC30" s="583"/>
      <c r="BED30" s="583"/>
      <c r="BEE30" s="583"/>
      <c r="BEF30" s="583"/>
      <c r="BEG30" s="583"/>
      <c r="BEH30" s="583"/>
      <c r="BEI30" s="583"/>
      <c r="BEJ30" s="583"/>
      <c r="BEK30" s="583"/>
      <c r="BEL30" s="583"/>
      <c r="BEM30" s="583"/>
      <c r="BEN30" s="583"/>
      <c r="BEO30" s="583"/>
      <c r="BEP30" s="583"/>
      <c r="BEQ30" s="583"/>
      <c r="BER30" s="583"/>
      <c r="BES30" s="583"/>
      <c r="BET30" s="583"/>
      <c r="BEU30" s="583"/>
      <c r="BEV30" s="583"/>
      <c r="BEW30" s="583"/>
      <c r="BEX30" s="583"/>
      <c r="BEY30" s="583"/>
      <c r="BEZ30" s="583"/>
      <c r="BFA30" s="583"/>
      <c r="BFB30" s="583"/>
      <c r="BFC30" s="583"/>
      <c r="BFD30" s="583"/>
      <c r="BFE30" s="583"/>
      <c r="BFF30" s="583"/>
      <c r="BFG30" s="583"/>
      <c r="BFH30" s="583"/>
      <c r="BFI30" s="583"/>
      <c r="BFJ30" s="583"/>
      <c r="BFK30" s="583"/>
      <c r="BFL30" s="583"/>
      <c r="BFM30" s="583"/>
      <c r="BFN30" s="583"/>
      <c r="BFO30" s="583"/>
      <c r="BFP30" s="583"/>
      <c r="BFQ30" s="583"/>
      <c r="BFR30" s="583"/>
      <c r="BFS30" s="583"/>
      <c r="BFT30" s="583"/>
      <c r="BFU30" s="583"/>
      <c r="BFV30" s="583"/>
      <c r="BFW30" s="583"/>
      <c r="BFX30" s="583"/>
      <c r="BFY30" s="583"/>
      <c r="BFZ30" s="583"/>
      <c r="BGA30" s="583"/>
      <c r="BGB30" s="583"/>
      <c r="BGC30" s="583"/>
      <c r="BGD30" s="583"/>
      <c r="BGE30" s="583"/>
      <c r="BGF30" s="583"/>
      <c r="BGG30" s="583"/>
      <c r="BGH30" s="583"/>
      <c r="BGI30" s="583"/>
      <c r="BGJ30" s="583"/>
      <c r="BGK30" s="583"/>
      <c r="BGL30" s="583"/>
      <c r="BGM30" s="583"/>
      <c r="BGN30" s="583"/>
      <c r="BGO30" s="583"/>
      <c r="BGP30" s="583"/>
      <c r="BGQ30" s="583"/>
      <c r="BGR30" s="583"/>
      <c r="BGS30" s="583"/>
      <c r="BGT30" s="583"/>
      <c r="BGU30" s="583"/>
      <c r="BGV30" s="583"/>
      <c r="BGW30" s="583"/>
      <c r="BGX30" s="583"/>
      <c r="BGY30" s="583"/>
      <c r="BGZ30" s="583"/>
      <c r="BHA30" s="583"/>
      <c r="BHB30" s="583"/>
      <c r="BHC30" s="583"/>
      <c r="BHD30" s="583"/>
      <c r="BHE30" s="583"/>
      <c r="BHF30" s="583"/>
      <c r="BHG30" s="583"/>
      <c r="BHH30" s="583"/>
      <c r="BHI30" s="583"/>
      <c r="BHJ30" s="583"/>
      <c r="BHK30" s="583"/>
      <c r="BHL30" s="583"/>
      <c r="BHM30" s="583"/>
      <c r="BHN30" s="583"/>
      <c r="BHO30" s="583"/>
      <c r="BHP30" s="583"/>
      <c r="BHQ30" s="583"/>
      <c r="BHR30" s="583"/>
      <c r="BHS30" s="583"/>
      <c r="BHT30" s="583"/>
      <c r="BHU30" s="583"/>
      <c r="BHV30" s="583"/>
      <c r="BHW30" s="583"/>
      <c r="BHX30" s="583"/>
      <c r="BHY30" s="583"/>
      <c r="BHZ30" s="583"/>
      <c r="BIA30" s="583"/>
      <c r="BIB30" s="583"/>
      <c r="BIC30" s="583"/>
      <c r="BID30" s="583"/>
      <c r="BIE30" s="583"/>
      <c r="BIF30" s="583"/>
      <c r="BIG30" s="583"/>
      <c r="BIH30" s="583"/>
      <c r="BII30" s="583"/>
      <c r="BIJ30" s="583"/>
      <c r="BIK30" s="583"/>
      <c r="BIL30" s="583"/>
      <c r="BIM30" s="583"/>
      <c r="BIN30" s="583"/>
      <c r="BIO30" s="583"/>
      <c r="BIP30" s="583"/>
      <c r="BIQ30" s="583"/>
      <c r="BIR30" s="583"/>
      <c r="BIS30" s="583"/>
      <c r="BIT30" s="583"/>
      <c r="BIU30" s="583"/>
      <c r="BIV30" s="583"/>
      <c r="BIW30" s="583"/>
      <c r="BIX30" s="583"/>
      <c r="BIY30" s="583"/>
      <c r="BIZ30" s="583"/>
      <c r="BJA30" s="583"/>
      <c r="BJB30" s="583"/>
      <c r="BJC30" s="583"/>
      <c r="BJD30" s="583"/>
      <c r="BJE30" s="583"/>
      <c r="BJF30" s="583"/>
      <c r="BJG30" s="583"/>
      <c r="BJH30" s="583"/>
      <c r="BJI30" s="583"/>
      <c r="BJJ30" s="583"/>
      <c r="BJK30" s="583"/>
      <c r="BJL30" s="583"/>
      <c r="BJM30" s="583"/>
      <c r="BJN30" s="583"/>
      <c r="BJO30" s="583"/>
      <c r="BJP30" s="583"/>
      <c r="BJQ30" s="583"/>
      <c r="BJR30" s="583"/>
      <c r="BJS30" s="583"/>
      <c r="BJT30" s="583"/>
      <c r="BJU30" s="583"/>
      <c r="BJV30" s="583"/>
      <c r="BJW30" s="583"/>
      <c r="BJX30" s="583"/>
      <c r="BJY30" s="583"/>
      <c r="BJZ30" s="583"/>
      <c r="BKA30" s="583"/>
      <c r="BKB30" s="583"/>
      <c r="BKC30" s="583"/>
      <c r="BKD30" s="583"/>
      <c r="BKE30" s="583"/>
      <c r="BKF30" s="583"/>
      <c r="BKG30" s="583"/>
      <c r="BKH30" s="583"/>
      <c r="BKI30" s="583"/>
      <c r="BKJ30" s="583"/>
      <c r="BKK30" s="583"/>
      <c r="BKL30" s="583"/>
      <c r="BKM30" s="583"/>
      <c r="BKN30" s="583"/>
      <c r="BKO30" s="583"/>
      <c r="BKP30" s="583"/>
      <c r="BKQ30" s="583"/>
      <c r="BKR30" s="583"/>
      <c r="BKS30" s="583"/>
      <c r="BKT30" s="583"/>
      <c r="BKU30" s="583"/>
      <c r="BKV30" s="583"/>
      <c r="BKW30" s="583"/>
      <c r="BKX30" s="583"/>
      <c r="BKY30" s="583"/>
      <c r="BKZ30" s="583"/>
      <c r="BLA30" s="583"/>
      <c r="BLB30" s="583"/>
      <c r="BLC30" s="583"/>
      <c r="BLD30" s="583"/>
      <c r="BLE30" s="583"/>
      <c r="BLF30" s="583"/>
      <c r="BLG30" s="583"/>
      <c r="BLH30" s="583"/>
      <c r="BLI30" s="583"/>
      <c r="BLJ30" s="583"/>
      <c r="BLK30" s="583"/>
      <c r="BLL30" s="583"/>
      <c r="BLM30" s="583"/>
      <c r="BLN30" s="583"/>
      <c r="BLO30" s="583"/>
      <c r="BLP30" s="583"/>
      <c r="BLQ30" s="583"/>
      <c r="BLR30" s="583"/>
      <c r="BLS30" s="583"/>
      <c r="BLT30" s="583"/>
      <c r="BLU30" s="583"/>
      <c r="BLV30" s="583"/>
      <c r="BLW30" s="583"/>
      <c r="BLX30" s="583"/>
      <c r="BLY30" s="583"/>
      <c r="BLZ30" s="583"/>
      <c r="BMA30" s="583"/>
      <c r="BMB30" s="583"/>
      <c r="BMC30" s="583"/>
      <c r="BMD30" s="583"/>
      <c r="BME30" s="583"/>
      <c r="BMF30" s="583"/>
      <c r="BMG30" s="583"/>
      <c r="BMH30" s="583"/>
      <c r="BMI30" s="583"/>
      <c r="BMJ30" s="583"/>
      <c r="BMK30" s="583"/>
      <c r="BML30" s="583"/>
      <c r="BMM30" s="583"/>
      <c r="BMN30" s="583"/>
      <c r="BMO30" s="583"/>
      <c r="BMP30" s="583"/>
      <c r="BMQ30" s="583"/>
      <c r="BMR30" s="583"/>
      <c r="BMS30" s="583"/>
      <c r="BMT30" s="583"/>
      <c r="BMU30" s="583"/>
      <c r="BMV30" s="583"/>
      <c r="BMW30" s="583"/>
      <c r="BMX30" s="583"/>
      <c r="BMY30" s="583"/>
      <c r="BMZ30" s="583"/>
      <c r="BNA30" s="583"/>
      <c r="BNB30" s="583"/>
      <c r="BNC30" s="583"/>
      <c r="BND30" s="583"/>
      <c r="BNE30" s="583"/>
      <c r="BNF30" s="583"/>
      <c r="BNG30" s="583"/>
      <c r="BNH30" s="583"/>
      <c r="BNI30" s="583"/>
      <c r="BNJ30" s="583"/>
      <c r="BNK30" s="583"/>
      <c r="BNL30" s="583"/>
      <c r="BNM30" s="583"/>
      <c r="BNN30" s="583"/>
      <c r="BNO30" s="583"/>
      <c r="BNP30" s="583"/>
      <c r="BNQ30" s="583"/>
      <c r="BNR30" s="583"/>
      <c r="BNS30" s="583"/>
      <c r="BNT30" s="583"/>
      <c r="BNU30" s="583"/>
      <c r="BNV30" s="583"/>
      <c r="BNW30" s="583"/>
      <c r="BNX30" s="583"/>
      <c r="BNY30" s="583"/>
      <c r="BNZ30" s="583"/>
      <c r="BOA30" s="583"/>
      <c r="BOB30" s="583"/>
      <c r="BOC30" s="583"/>
      <c r="BOD30" s="583"/>
      <c r="BOE30" s="583"/>
      <c r="BOF30" s="583"/>
      <c r="BOG30" s="583"/>
      <c r="BOH30" s="583"/>
      <c r="BOI30" s="583"/>
      <c r="BOJ30" s="583"/>
      <c r="BOK30" s="583"/>
      <c r="BOL30" s="583"/>
      <c r="BOM30" s="583"/>
      <c r="BON30" s="583"/>
      <c r="BOO30" s="583"/>
      <c r="BOP30" s="583"/>
      <c r="BOQ30" s="583"/>
      <c r="BOR30" s="583"/>
      <c r="BOS30" s="583"/>
      <c r="BOT30" s="583"/>
      <c r="BOU30" s="583"/>
      <c r="BOV30" s="583"/>
      <c r="BOW30" s="583"/>
      <c r="BOX30" s="583"/>
      <c r="BOY30" s="583"/>
      <c r="BOZ30" s="583"/>
      <c r="BPA30" s="583"/>
      <c r="BPB30" s="583"/>
      <c r="BPC30" s="583"/>
      <c r="BPD30" s="583"/>
      <c r="BPE30" s="583"/>
      <c r="BPF30" s="583"/>
      <c r="BPG30" s="583"/>
      <c r="BPH30" s="583"/>
      <c r="BPI30" s="583"/>
      <c r="BPJ30" s="583"/>
      <c r="BPK30" s="583"/>
      <c r="BPL30" s="583"/>
      <c r="BPM30" s="583"/>
      <c r="BPN30" s="583"/>
      <c r="BPO30" s="583"/>
      <c r="BPP30" s="583"/>
      <c r="BPQ30" s="583"/>
      <c r="BPR30" s="583"/>
      <c r="BPS30" s="583"/>
      <c r="BPT30" s="583"/>
      <c r="BPU30" s="583"/>
      <c r="BPV30" s="583"/>
      <c r="BPW30" s="583"/>
      <c r="BPX30" s="583"/>
      <c r="BPY30" s="583"/>
      <c r="BPZ30" s="583"/>
      <c r="BQA30" s="583"/>
      <c r="BQB30" s="583"/>
      <c r="BQC30" s="583"/>
      <c r="BQD30" s="583"/>
      <c r="BQE30" s="583"/>
      <c r="BQF30" s="583"/>
      <c r="BQG30" s="583"/>
      <c r="BQH30" s="583"/>
      <c r="BQI30" s="583"/>
      <c r="BQJ30" s="583"/>
      <c r="BQK30" s="583"/>
      <c r="BQL30" s="583"/>
      <c r="BQM30" s="583"/>
      <c r="BQN30" s="583"/>
      <c r="BQO30" s="583"/>
      <c r="BQP30" s="583"/>
      <c r="BQQ30" s="583"/>
      <c r="BQR30" s="583"/>
      <c r="BQS30" s="583"/>
      <c r="BQT30" s="583"/>
      <c r="BQU30" s="583"/>
      <c r="BQV30" s="583"/>
      <c r="BQW30" s="583"/>
      <c r="BQX30" s="583"/>
      <c r="BQY30" s="583"/>
      <c r="BQZ30" s="583"/>
      <c r="BRA30" s="583"/>
      <c r="BRB30" s="583"/>
      <c r="BRC30" s="583"/>
      <c r="BRD30" s="583"/>
      <c r="BRE30" s="583"/>
      <c r="BRF30" s="583"/>
      <c r="BRG30" s="583"/>
      <c r="BRH30" s="583"/>
      <c r="BRI30" s="583"/>
      <c r="BRJ30" s="583"/>
      <c r="BRK30" s="583"/>
      <c r="BRL30" s="583"/>
      <c r="BRM30" s="583"/>
      <c r="BRN30" s="583"/>
      <c r="BRO30" s="583"/>
      <c r="BRP30" s="583"/>
      <c r="BRQ30" s="583"/>
      <c r="BRR30" s="583"/>
      <c r="BRS30" s="583"/>
      <c r="BRT30" s="583"/>
      <c r="BRU30" s="583"/>
      <c r="BRV30" s="583"/>
      <c r="BRW30" s="583"/>
      <c r="BRX30" s="583"/>
      <c r="BRY30" s="583"/>
      <c r="BRZ30" s="583"/>
      <c r="BSA30" s="583"/>
      <c r="BSB30" s="583"/>
      <c r="BSC30" s="583"/>
      <c r="BSD30" s="583"/>
      <c r="BSE30" s="583"/>
      <c r="BSF30" s="583"/>
      <c r="BSG30" s="583"/>
      <c r="BSH30" s="583"/>
      <c r="BSI30" s="583"/>
      <c r="BSJ30" s="583"/>
      <c r="BSK30" s="583"/>
      <c r="BSL30" s="583"/>
      <c r="BSM30" s="583"/>
      <c r="BSN30" s="583"/>
      <c r="BSO30" s="583"/>
      <c r="BSP30" s="583"/>
      <c r="BSQ30" s="583"/>
      <c r="BSR30" s="583"/>
      <c r="BSS30" s="583"/>
      <c r="BST30" s="583"/>
      <c r="BSU30" s="583"/>
      <c r="BSV30" s="583"/>
      <c r="BSW30" s="583"/>
      <c r="BSX30" s="583"/>
      <c r="BSY30" s="583"/>
      <c r="BSZ30" s="583"/>
      <c r="BTA30" s="583"/>
      <c r="BTB30" s="583"/>
      <c r="BTC30" s="583"/>
      <c r="BTD30" s="583"/>
      <c r="BTE30" s="583"/>
      <c r="BTF30" s="583"/>
      <c r="BTG30" s="583"/>
      <c r="BTH30" s="583"/>
      <c r="BTI30" s="583"/>
      <c r="BTJ30" s="583"/>
      <c r="BTK30" s="583"/>
      <c r="BTL30" s="583"/>
      <c r="BTM30" s="583"/>
      <c r="BTN30" s="583"/>
      <c r="BTO30" s="583"/>
      <c r="BTP30" s="583"/>
      <c r="BTQ30" s="583"/>
      <c r="BTR30" s="583"/>
      <c r="BTS30" s="583"/>
      <c r="BTT30" s="583"/>
      <c r="BTU30" s="583"/>
      <c r="BTV30" s="583"/>
      <c r="BTW30" s="583"/>
      <c r="BTX30" s="583"/>
      <c r="BTY30" s="583"/>
      <c r="BTZ30" s="583"/>
      <c r="BUA30" s="583"/>
      <c r="BUB30" s="583"/>
      <c r="BUC30" s="583"/>
      <c r="BUD30" s="583"/>
      <c r="BUE30" s="583"/>
      <c r="BUF30" s="583"/>
      <c r="BUG30" s="583"/>
      <c r="BUH30" s="583"/>
      <c r="BUI30" s="583"/>
      <c r="BUJ30" s="583"/>
      <c r="BUK30" s="583"/>
      <c r="BUL30" s="583"/>
      <c r="BUM30" s="583"/>
      <c r="BUN30" s="583"/>
      <c r="BUO30" s="583"/>
      <c r="BUP30" s="583"/>
      <c r="BUQ30" s="583"/>
      <c r="BUR30" s="583"/>
      <c r="BUS30" s="583"/>
      <c r="BUT30" s="583"/>
      <c r="BUU30" s="583"/>
      <c r="BUV30" s="583"/>
      <c r="BUW30" s="583"/>
      <c r="BUX30" s="583"/>
      <c r="BUY30" s="583"/>
      <c r="BUZ30" s="583"/>
      <c r="BVA30" s="583"/>
      <c r="BVB30" s="583"/>
      <c r="BVC30" s="583"/>
      <c r="BVD30" s="583"/>
      <c r="BVE30" s="583"/>
      <c r="BVF30" s="583"/>
      <c r="BVG30" s="583"/>
      <c r="BVH30" s="583"/>
      <c r="BVI30" s="583"/>
      <c r="BVJ30" s="583"/>
      <c r="BVK30" s="583"/>
      <c r="BVL30" s="583"/>
      <c r="BVM30" s="583"/>
      <c r="BVN30" s="583"/>
      <c r="BVO30" s="583"/>
      <c r="BVP30" s="583"/>
      <c r="BVQ30" s="583"/>
      <c r="BVR30" s="583"/>
      <c r="BVS30" s="583"/>
      <c r="BVT30" s="583"/>
      <c r="BVU30" s="583"/>
      <c r="BVV30" s="583"/>
      <c r="BVW30" s="583"/>
      <c r="BVX30" s="583"/>
      <c r="BVY30" s="583"/>
      <c r="BVZ30" s="583"/>
      <c r="BWA30" s="583"/>
      <c r="BWB30" s="583"/>
      <c r="BWC30" s="583"/>
      <c r="BWD30" s="583"/>
      <c r="BWE30" s="583"/>
      <c r="BWF30" s="583"/>
      <c r="BWG30" s="583"/>
      <c r="BWH30" s="583"/>
      <c r="BWI30" s="583"/>
      <c r="BWJ30" s="583"/>
      <c r="BWK30" s="583"/>
      <c r="BWL30" s="583"/>
      <c r="BWM30" s="583"/>
      <c r="BWN30" s="583"/>
      <c r="BWO30" s="583"/>
      <c r="BWP30" s="583"/>
      <c r="BWQ30" s="583"/>
      <c r="BWR30" s="583"/>
      <c r="BWS30" s="583"/>
      <c r="BWT30" s="583"/>
      <c r="BWU30" s="583"/>
      <c r="BWV30" s="583"/>
      <c r="BWW30" s="583"/>
      <c r="BWX30" s="583"/>
      <c r="BWY30" s="583"/>
      <c r="BWZ30" s="583"/>
      <c r="BXA30" s="583"/>
      <c r="BXB30" s="583"/>
      <c r="BXC30" s="583"/>
      <c r="BXD30" s="583"/>
      <c r="BXE30" s="583"/>
      <c r="BXF30" s="583"/>
      <c r="BXG30" s="583"/>
      <c r="BXH30" s="583"/>
      <c r="BXI30" s="583"/>
      <c r="BXJ30" s="583"/>
      <c r="BXK30" s="583"/>
      <c r="BXL30" s="583"/>
      <c r="BXM30" s="583"/>
      <c r="BXN30" s="583"/>
      <c r="BXO30" s="583"/>
      <c r="BXP30" s="583"/>
      <c r="BXQ30" s="583"/>
      <c r="BXR30" s="583"/>
      <c r="BXS30" s="583"/>
      <c r="BXT30" s="583"/>
      <c r="BXU30" s="583"/>
      <c r="BXV30" s="583"/>
      <c r="BXW30" s="583"/>
      <c r="BXX30" s="583"/>
      <c r="BXY30" s="583"/>
      <c r="BXZ30" s="583"/>
      <c r="BYA30" s="583"/>
      <c r="BYB30" s="583"/>
      <c r="BYC30" s="583"/>
      <c r="BYD30" s="583"/>
      <c r="BYE30" s="583"/>
      <c r="BYF30" s="583"/>
      <c r="BYG30" s="583"/>
      <c r="BYH30" s="583"/>
      <c r="BYI30" s="583"/>
      <c r="BYJ30" s="583"/>
      <c r="BYK30" s="583"/>
      <c r="BYL30" s="583"/>
      <c r="BYM30" s="583"/>
      <c r="BYN30" s="583"/>
      <c r="BYO30" s="583"/>
      <c r="BYP30" s="583"/>
      <c r="BYQ30" s="583"/>
      <c r="BYR30" s="583"/>
      <c r="BYS30" s="583"/>
      <c r="BYT30" s="583"/>
      <c r="BYU30" s="583"/>
      <c r="BYV30" s="583"/>
      <c r="BYW30" s="583"/>
      <c r="BYX30" s="583"/>
      <c r="BYY30" s="583"/>
      <c r="BYZ30" s="583"/>
      <c r="BZA30" s="583"/>
      <c r="BZB30" s="583"/>
      <c r="BZC30" s="583"/>
      <c r="BZD30" s="583"/>
      <c r="BZE30" s="583"/>
      <c r="BZF30" s="583"/>
      <c r="BZG30" s="583"/>
      <c r="BZH30" s="583"/>
      <c r="BZI30" s="583"/>
      <c r="BZJ30" s="583"/>
      <c r="BZK30" s="583"/>
      <c r="BZL30" s="583"/>
      <c r="BZM30" s="583"/>
      <c r="BZN30" s="583"/>
      <c r="BZO30" s="583"/>
      <c r="BZP30" s="583"/>
      <c r="BZQ30" s="583"/>
      <c r="BZR30" s="583"/>
      <c r="BZS30" s="583"/>
      <c r="BZT30" s="583"/>
      <c r="BZU30" s="583"/>
      <c r="BZV30" s="583"/>
      <c r="BZW30" s="583"/>
      <c r="BZX30" s="583"/>
      <c r="BZY30" s="583"/>
      <c r="BZZ30" s="583"/>
      <c r="CAA30" s="583"/>
      <c r="CAB30" s="583"/>
      <c r="CAC30" s="583"/>
      <c r="CAD30" s="583"/>
      <c r="CAE30" s="583"/>
      <c r="CAF30" s="583"/>
      <c r="CAG30" s="583"/>
      <c r="CAH30" s="583"/>
      <c r="CAI30" s="583"/>
      <c r="CAJ30" s="583"/>
      <c r="CAK30" s="583"/>
      <c r="CAL30" s="583"/>
      <c r="CAM30" s="583"/>
      <c r="CAN30" s="583"/>
      <c r="CAO30" s="583"/>
      <c r="CAP30" s="583"/>
      <c r="CAQ30" s="583"/>
      <c r="CAR30" s="583"/>
      <c r="CAS30" s="583"/>
      <c r="CAT30" s="583"/>
      <c r="CAU30" s="583"/>
      <c r="CAV30" s="583"/>
      <c r="CAW30" s="583"/>
      <c r="CAX30" s="583"/>
      <c r="CAY30" s="583"/>
      <c r="CAZ30" s="583"/>
      <c r="CBA30" s="583"/>
      <c r="CBB30" s="583"/>
      <c r="CBC30" s="583"/>
      <c r="CBD30" s="583"/>
      <c r="CBE30" s="583"/>
      <c r="CBF30" s="583"/>
      <c r="CBG30" s="583"/>
      <c r="CBH30" s="583"/>
      <c r="CBI30" s="583"/>
      <c r="CBJ30" s="583"/>
      <c r="CBK30" s="583"/>
      <c r="CBL30" s="583"/>
      <c r="CBM30" s="583"/>
      <c r="CBN30" s="583"/>
      <c r="CBO30" s="583"/>
      <c r="CBP30" s="583"/>
      <c r="CBQ30" s="583"/>
      <c r="CBR30" s="583"/>
      <c r="CBS30" s="583"/>
      <c r="CBT30" s="583"/>
      <c r="CBU30" s="583"/>
      <c r="CBV30" s="583"/>
      <c r="CBW30" s="583"/>
      <c r="CBX30" s="583"/>
      <c r="CBY30" s="583"/>
      <c r="CBZ30" s="583"/>
    </row>
    <row r="31" spans="1:2106" ht="15.75" customHeight="1">
      <c r="A31" s="611"/>
      <c r="B31" s="617"/>
      <c r="C31" s="613">
        <f t="shared" si="0"/>
        <v>0</v>
      </c>
      <c r="D31" s="613">
        <f>IF(B31&gt;0,VLOOKUP(A31,'Lista Suspensa'!$A$1:$F$92,3,),0)</f>
        <v>0</v>
      </c>
      <c r="E31" s="613">
        <f>IF(OR(B31&gt;0,C31&gt;0),VLOOKUP(A31,'Lista Suspensa'!$A$1:$F$90,4,),0)</f>
        <v>0</v>
      </c>
      <c r="F31" s="613">
        <f>IF(OR(B31&gt;0,C31&gt;0),VLOOKUP(A31,'Lista Suspensa'!$A$1:$F$90,5,),0)</f>
        <v>0</v>
      </c>
      <c r="G31" s="402">
        <f>IF(OR(B31&gt;0,C31&gt;0),VLOOKUP(A31,'Lista Suspensa'!$A$1:$F$90,6,),0)</f>
        <v>0</v>
      </c>
      <c r="H31" s="617"/>
      <c r="I31" s="613">
        <f t="shared" si="12"/>
        <v>0</v>
      </c>
      <c r="J31" s="613">
        <f>IF(H31&gt;0,VLOOKUP(A31,'Lista Suspensa'!$A$1:$F$92,3,),0)</f>
        <v>0</v>
      </c>
      <c r="K31" s="613">
        <f>IF(OR(H31&gt;0,I31&gt;0),VLOOKUP(A31,'Lista Suspensa'!$A$1:$F$90,4,),0)</f>
        <v>0</v>
      </c>
      <c r="L31" s="613">
        <f>IF(OR(H31&gt;0,I31&gt;0),VLOOKUP(A31,'Lista Suspensa'!$A$1:$F$90,5,),0)</f>
        <v>0</v>
      </c>
      <c r="M31" s="402">
        <f>IF(OR(H31&gt;0,I31&gt;0),VLOOKUP(A31,'Lista Suspensa'!$A$1:$F$90,6,),0)</f>
        <v>0</v>
      </c>
      <c r="N31" s="617"/>
      <c r="O31" s="613">
        <f t="shared" si="1"/>
        <v>0</v>
      </c>
      <c r="P31" s="613">
        <f>IF(N31&gt;0,VLOOKUP(A31,'Lista Suspensa'!$A$1:$F$92,3,),0)</f>
        <v>0</v>
      </c>
      <c r="Q31" s="613">
        <f>IF(OR(N31&gt;0,O31&gt;0),VLOOKUP(A31,'Lista Suspensa'!$A$1:$F$90,4,),0)</f>
        <v>0</v>
      </c>
      <c r="R31" s="613">
        <f>IF(OR(N31&gt;0,O31&gt;0),VLOOKUP(A31,'Lista Suspensa'!$A$1:$F$90,5,),0)</f>
        <v>0</v>
      </c>
      <c r="S31" s="402">
        <f>IF(OR(N31&gt;0,O31&gt;0),VLOOKUP(A31,'Lista Suspensa'!$A$1:$F$90,6,),0)</f>
        <v>0</v>
      </c>
      <c r="T31" s="617"/>
      <c r="U31" s="613">
        <f t="shared" si="2"/>
        <v>0</v>
      </c>
      <c r="V31" s="613">
        <f>IF(T31&gt;0,VLOOKUP(A31,'Lista Suspensa'!$A$1:$F$92,3,),0)</f>
        <v>0</v>
      </c>
      <c r="W31" s="613">
        <f>IF(OR(T31&gt;0,U31&gt;0),VLOOKUP(A31,'Lista Suspensa'!$A$1:$F$90,4,),0)</f>
        <v>0</v>
      </c>
      <c r="X31" s="613">
        <f>IF(OR(T31&gt;0,U31&gt;0),VLOOKUP(A31,'Lista Suspensa'!$A$1:$F$90,5,),0)</f>
        <v>0</v>
      </c>
      <c r="Y31" s="402">
        <f>IF(OR(T31&gt;0,U31&gt;0),VLOOKUP(A31,'Lista Suspensa'!$A$1:$F$90,6,),0)</f>
        <v>0</v>
      </c>
      <c r="Z31" s="617"/>
      <c r="AA31" s="613">
        <f t="shared" si="3"/>
        <v>0</v>
      </c>
      <c r="AB31" s="613">
        <f>IF(Z31&gt;0,VLOOKUP(A31,'Lista Suspensa'!$A$1:$F$92,3,),0)</f>
        <v>0</v>
      </c>
      <c r="AC31" s="613">
        <f>IF(OR(Z31&gt;0,AA31&gt;0),VLOOKUP(A31,'Lista Suspensa'!$A$1:$F$90,4,),0)</f>
        <v>0</v>
      </c>
      <c r="AD31" s="613">
        <f>IF(OR(Z31&gt;0,AA31&gt;0),VLOOKUP(A31,'Lista Suspensa'!$A$1:$F$90,5,),0)</f>
        <v>0</v>
      </c>
      <c r="AE31" s="402">
        <f>IF(OR(Z31&gt;0,AA31&gt;0),VLOOKUP(A31,'Lista Suspensa'!$A$1:$F$90,6,),0)</f>
        <v>0</v>
      </c>
      <c r="AF31" s="617"/>
      <c r="AG31" s="613">
        <f t="shared" si="13"/>
        <v>0</v>
      </c>
      <c r="AH31" s="613">
        <f>IF(AF31&gt;0,VLOOKUP(A31,'Lista Suspensa'!$A$1:$F$92,3,),0)</f>
        <v>0</v>
      </c>
      <c r="AI31" s="613">
        <f>IF(OR(AF31&gt;0,AG31&gt;0),VLOOKUP(A31,'Lista Suspensa'!$A$1:$F$90,4,),0)</f>
        <v>0</v>
      </c>
      <c r="AJ31" s="613">
        <f>IF(OR(AF31&gt;0,AG31&gt;0),VLOOKUP(A31,'Lista Suspensa'!$A$1:$F$90,5,),0)</f>
        <v>0</v>
      </c>
      <c r="AK31" s="402">
        <f>IF(OR(AF31&gt;0,AG31&gt;0),VLOOKUP(A31,'Lista Suspensa'!$A$1:$F$90,6,),0)</f>
        <v>0</v>
      </c>
      <c r="AL31" s="617"/>
      <c r="AM31" s="613">
        <f t="shared" si="4"/>
        <v>0</v>
      </c>
      <c r="AN31" s="613">
        <f>IF(AL31&gt;0,VLOOKUP(A31,'Lista Suspensa'!$A$1:$F$92,3,),0)</f>
        <v>0</v>
      </c>
      <c r="AO31" s="613">
        <f>IF(OR(AL31&gt;0,AM31&gt;0),VLOOKUP(A31,'Lista Suspensa'!$A$1:$F$90,4,),0)</f>
        <v>0</v>
      </c>
      <c r="AP31" s="613">
        <f>IF(OR(AL31&gt;0,AM31&gt;0),VLOOKUP(A31,'Lista Suspensa'!$A$1:$F$90,5,),0)</f>
        <v>0</v>
      </c>
      <c r="AQ31" s="402">
        <f>IF(OR(AL31&gt;0,AM31&gt;0),VLOOKUP(A31,'Lista Suspensa'!$A$1:$F$90,6,),0)</f>
        <v>0</v>
      </c>
      <c r="AR31" s="617"/>
      <c r="AS31" s="613">
        <f t="shared" si="14"/>
        <v>0</v>
      </c>
      <c r="AT31" s="613">
        <f>IF(AR31&gt;0,VLOOKUP(A31,'Lista Suspensa'!$A$1:$F$92,3,),0)</f>
        <v>0</v>
      </c>
      <c r="AU31" s="613">
        <f>IF(OR(AR31&gt;0,AS31&gt;0),VLOOKUP(A31,'Lista Suspensa'!$A$1:$F$90,4,),0)</f>
        <v>0</v>
      </c>
      <c r="AV31" s="613">
        <f>IF(OR(AR31&gt;0,AS31&gt;0),VLOOKUP(A31,'Lista Suspensa'!$A$1:$F$90,5,),0)</f>
        <v>0</v>
      </c>
      <c r="AW31" s="37">
        <f>IF(OR(AR31&gt;0,AS31&gt;0),VLOOKUP(A31,'Lista Suspensa'!$A$1:$F$90,6,),0)</f>
        <v>0</v>
      </c>
      <c r="AX31" s="617"/>
      <c r="AY31" s="613">
        <f t="shared" si="5"/>
        <v>0</v>
      </c>
      <c r="AZ31" s="613">
        <f>IF(AX31&gt;0,VLOOKUP(A31,'Lista Suspensa'!$A$1:$F$92,3,),0)</f>
        <v>0</v>
      </c>
      <c r="BA31" s="613">
        <f>IF(OR(AX31&gt;0,AY31&gt;0),VLOOKUP(A31,'Lista Suspensa'!$A$1:$F$90,4,),0)</f>
        <v>0</v>
      </c>
      <c r="BB31" s="613">
        <f>IF(OR(AX31&gt;0,AY31&gt;0),VLOOKUP(A31,'Lista Suspensa'!$A$1:$F$90,5,),0)</f>
        <v>0</v>
      </c>
      <c r="BC31" s="37">
        <f>IF(OR(AX31&gt;0,AY31&gt;0),VLOOKUP(A31,'Lista Suspensa'!$A$1:$F$90,6,),0)</f>
        <v>0</v>
      </c>
      <c r="BD31" s="617"/>
      <c r="BE31" s="613">
        <f t="shared" si="6"/>
        <v>0</v>
      </c>
      <c r="BF31" s="613">
        <f>IF(BD31&gt;0,VLOOKUP(A31,'Lista Suspensa'!$A$1:$F$92,3,),0)</f>
        <v>0</v>
      </c>
      <c r="BG31" s="613">
        <f>IF(OR(BD31&gt;0,BE31&gt;0),VLOOKUP(A31,'Lista Suspensa'!$A$1:$F$90,4,),0)</f>
        <v>0</v>
      </c>
      <c r="BH31" s="613">
        <f>IF(OR(BD31&gt;0,BE31&gt;0),VLOOKUP(A31,'Lista Suspensa'!$A$1:$F$90,5,),0)</f>
        <v>0</v>
      </c>
      <c r="BI31" s="37">
        <f>IF(OR(BD31&gt;0,BE31&gt;0),VLOOKUP(A31,'Lista Suspensa'!$A$1:$F$90,6,),0)</f>
        <v>0</v>
      </c>
      <c r="BJ31" s="617"/>
      <c r="BK31" s="613">
        <f t="shared" si="7"/>
        <v>0</v>
      </c>
      <c r="BL31" s="613">
        <f>IF(BJ31&gt;0,VLOOKUP(A31,'Lista Suspensa'!$A$1:$F$92,3,),0)</f>
        <v>0</v>
      </c>
      <c r="BM31" s="613">
        <f>IF(OR(BJ31&gt;0,BK31&gt;0),VLOOKUP(A31,'Lista Suspensa'!$A$1:$F$90,4,),0)</f>
        <v>0</v>
      </c>
      <c r="BN31" s="613">
        <f>IF(OR(BJ31&gt;0,BK31&gt;0),VLOOKUP(A31,'Lista Suspensa'!$A$1:$F$90,5,),0)</f>
        <v>0</v>
      </c>
      <c r="BO31" s="37">
        <f>IF(OR(BJ31&gt;0,BK31&gt;0),VLOOKUP(A31,'Lista Suspensa'!$A$1:$F$90,6,),0)</f>
        <v>0</v>
      </c>
      <c r="BP31" s="617"/>
      <c r="BQ31" s="613">
        <f t="shared" si="8"/>
        <v>0</v>
      </c>
      <c r="BR31" s="613">
        <f>IF(BP31&gt;0,VLOOKUP(A31,'Lista Suspensa'!$A$1:$F$92,3,),0)</f>
        <v>0</v>
      </c>
      <c r="BS31" s="613">
        <f>IF(OR(BP31&gt;0,BQ31&gt;0),VLOOKUP(A31,'Lista Suspensa'!$A$1:$F$90,4,),0)</f>
        <v>0</v>
      </c>
      <c r="BT31" s="613">
        <f>IF(OR(BP31&gt;0,BQ31&gt;0),VLOOKUP(A31,'Lista Suspensa'!$A$1:$F$90,5,),0)</f>
        <v>0</v>
      </c>
      <c r="BU31" s="37">
        <f>IF(OR(BP31&gt;0,BQ31&gt;0),VLOOKUP(A31,'Lista Suspensa'!$A$1:$F$90,6,),0)</f>
        <v>0</v>
      </c>
      <c r="BV31" s="617"/>
      <c r="BW31" s="613">
        <f t="shared" si="9"/>
        <v>0</v>
      </c>
      <c r="BX31" s="613">
        <f>IF(BV31&gt;0,VLOOKUP(A31,'Lista Suspensa'!$A$1:$F$92,3,),0)</f>
        <v>0</v>
      </c>
      <c r="BY31" s="613">
        <f>IF(OR(BV31&gt;0,BW31&gt;0),VLOOKUP(A31,'Lista Suspensa'!$A$1:$F$90,4,),0)</f>
        <v>0</v>
      </c>
      <c r="BZ31" s="613">
        <f>IF(OR(BV31&gt;0,BW31&gt;0),VLOOKUP(A31,'Lista Suspensa'!$A$1:$F$90,5,),0)</f>
        <v>0</v>
      </c>
      <c r="CA31" s="37">
        <f>IF(OR(BV31&gt;0,BW31&gt;0),VLOOKUP(A31,'Lista Suspensa'!$A$1:$F$90,6,),0)</f>
        <v>0</v>
      </c>
      <c r="CB31" s="617"/>
      <c r="CC31" s="613">
        <f t="shared" si="10"/>
        <v>0</v>
      </c>
      <c r="CD31" s="613">
        <f>IF(CB31&gt;0,VLOOKUP(A31,'Lista Suspensa'!$A$1:$F$92,3,),0)</f>
        <v>0</v>
      </c>
      <c r="CE31" s="613">
        <f>IF(OR(CB31&gt;0,CC31&gt;0),VLOOKUP(A31,'Lista Suspensa'!$A$1:$F$90,4,),0)</f>
        <v>0</v>
      </c>
      <c r="CF31" s="613">
        <f>IF(OR(CB31&gt;0,CC31&gt;0),VLOOKUP(A31,'Lista Suspensa'!$A$1:$F$90,5,),0)</f>
        <v>0</v>
      </c>
      <c r="CG31" s="37">
        <f>IF(OR(CB31&gt;0,CC31&gt;0),VLOOKUP(A31,'Lista Suspensa'!$A$1:$F$90,6,),0)</f>
        <v>0</v>
      </c>
      <c r="CH31" s="617"/>
      <c r="CI31" s="613">
        <f t="shared" si="11"/>
        <v>0</v>
      </c>
      <c r="CJ31" s="613">
        <f>IF(CH31&gt;0,VLOOKUP(A31,'Lista Suspensa'!$A$1:$F$92,3,),0)</f>
        <v>0</v>
      </c>
      <c r="CK31" s="613">
        <f>IF(OR(CH31&gt;0,CI31&gt;0),VLOOKUP(A31,'Lista Suspensa'!$A$1:$F$90,4,),0)</f>
        <v>0</v>
      </c>
      <c r="CL31" s="613">
        <f>IF(OR(CH31&gt;0,CI31&gt;0),VLOOKUP(A31,'Lista Suspensa'!$A$1:$F$90,5,),0)</f>
        <v>0</v>
      </c>
      <c r="CM31" s="636">
        <f>IF(OR(CH31&gt;0,CI31&gt;0),VLOOKUP(A31,'Lista Suspensa'!$A$1:$F$90,6,),0)</f>
        <v>0</v>
      </c>
      <c r="CN31" s="645"/>
      <c r="CO31" s="403">
        <f t="shared" si="15"/>
        <v>0</v>
      </c>
      <c r="CP31" s="756">
        <f>IF(CN31&gt;0,VLOOKUP(A31,'Lista Suspensa'!$A$1:$F$92,3,),0)</f>
        <v>0</v>
      </c>
      <c r="CQ31" s="641">
        <f>IF(OR(CN31&gt;0,CO31&gt;0),VLOOKUP(A31,'Lista Suspensa'!$A$1:$F$90,6,),0)</f>
        <v>0</v>
      </c>
      <c r="CR31" s="628"/>
      <c r="CS31" s="628"/>
      <c r="CT31" s="628"/>
      <c r="CU31" s="628"/>
      <c r="CV31" s="628"/>
      <c r="CW31" s="628"/>
      <c r="CX31" s="628"/>
      <c r="CY31" s="628"/>
      <c r="CZ31" s="628"/>
      <c r="DA31" s="628"/>
      <c r="DB31" s="628"/>
      <c r="DC31" s="628"/>
      <c r="DD31" s="628"/>
      <c r="DE31" s="628"/>
      <c r="DF31" s="628"/>
      <c r="DG31" s="628"/>
      <c r="DH31" s="628"/>
    </row>
    <row r="32" spans="1:2106" s="588" customFormat="1" ht="15.75" customHeight="1">
      <c r="A32" s="614"/>
      <c r="B32" s="621"/>
      <c r="C32" s="616">
        <f t="shared" si="0"/>
        <v>0</v>
      </c>
      <c r="D32" s="616">
        <f>IF(B32&gt;0,VLOOKUP(A32,'Lista Suspensa'!$A$1:$F$92,3,),0)</f>
        <v>0</v>
      </c>
      <c r="E32" s="616">
        <f>IF(OR(B32&gt;0,C32&gt;0),VLOOKUP(A32,'Lista Suspensa'!$A$1:$F$90,4,),0)</f>
        <v>0</v>
      </c>
      <c r="F32" s="616">
        <f>IF(OR(B32&gt;0,C32&gt;0),VLOOKUP(A32,'Lista Suspensa'!$A$1:$F$90,5,),0)</f>
        <v>0</v>
      </c>
      <c r="G32" s="587">
        <f>IF(OR(B32&gt;0,C32&gt;0),VLOOKUP(A32,'Lista Suspensa'!$A$1:$F$90,6,),0)</f>
        <v>0</v>
      </c>
      <c r="H32" s="618"/>
      <c r="I32" s="623">
        <f t="shared" si="12"/>
        <v>0</v>
      </c>
      <c r="J32" s="616">
        <f>IF(H32&gt;0,VLOOKUP(A32,'Lista Suspensa'!$A$1:$F$92,3,),0)</f>
        <v>0</v>
      </c>
      <c r="K32" s="616">
        <f>IF(OR(H32&gt;0,I32&gt;0),VLOOKUP(A32,'Lista Suspensa'!$A$1:$F$90,4,),0)</f>
        <v>0</v>
      </c>
      <c r="L32" s="616">
        <f>IF(OR(H32&gt;0,I32&gt;0),VLOOKUP(A32,'Lista Suspensa'!$A$1:$F$90,5,),0)</f>
        <v>0</v>
      </c>
      <c r="M32" s="587">
        <f>IF(OR(H32&gt;0,I32&gt;0),VLOOKUP(A32,'Lista Suspensa'!$A$1:$F$90,6,),0)</f>
        <v>0</v>
      </c>
      <c r="N32" s="627"/>
      <c r="O32" s="623">
        <f t="shared" si="1"/>
        <v>0</v>
      </c>
      <c r="P32" s="616">
        <f>IF(N32&gt;0,VLOOKUP(A32,'Lista Suspensa'!$A$1:$F$92,3,),0)</f>
        <v>0</v>
      </c>
      <c r="Q32" s="616">
        <f>IF(OR(N32&gt;0,O32&gt;0),VLOOKUP(A32,'Lista Suspensa'!$A$1:$F$90,4,),0)</f>
        <v>0</v>
      </c>
      <c r="R32" s="616">
        <f>IF(OR(N32&gt;0,O32&gt;0),VLOOKUP(A32,'Lista Suspensa'!$A$1:$F$90,5,),0)</f>
        <v>0</v>
      </c>
      <c r="S32" s="587">
        <f>IF(OR(N32&gt;0,O32&gt;0),VLOOKUP(A32,'Lista Suspensa'!$A$1:$F$90,6,),0)</f>
        <v>0</v>
      </c>
      <c r="T32" s="627"/>
      <c r="U32" s="623">
        <f t="shared" si="2"/>
        <v>0</v>
      </c>
      <c r="V32" s="616">
        <f>IF(T32&gt;0,VLOOKUP(A32,'Lista Suspensa'!$A$1:$F$92,3,),0)</f>
        <v>0</v>
      </c>
      <c r="W32" s="616">
        <f>IF(OR(T32&gt;0,U32&gt;0),VLOOKUP(A32,'Lista Suspensa'!$A$1:$F$90,4,),0)</f>
        <v>0</v>
      </c>
      <c r="X32" s="616">
        <f>IF(OR(T32&gt;0,U32&gt;0),VLOOKUP(A32,'Lista Suspensa'!$A$1:$F$90,5,),0)</f>
        <v>0</v>
      </c>
      <c r="Y32" s="587">
        <f>IF(OR(T32&gt;0,U32&gt;0),VLOOKUP(A32,'Lista Suspensa'!$A$1:$F$90,6,),0)</f>
        <v>0</v>
      </c>
      <c r="Z32" s="621"/>
      <c r="AA32" s="623">
        <f t="shared" si="3"/>
        <v>0</v>
      </c>
      <c r="AB32" s="616">
        <f>IF(Z32&gt;0,VLOOKUP(A32,'Lista Suspensa'!$A$1:$F$92,3,),0)</f>
        <v>0</v>
      </c>
      <c r="AC32" s="616">
        <f>IF(OR(Z32&gt;0,AA32&gt;0),VLOOKUP(A32,'Lista Suspensa'!$A$1:$F$90,4,),0)</f>
        <v>0</v>
      </c>
      <c r="AD32" s="616">
        <f>IF(OR(Z32&gt;0,AA32&gt;0),VLOOKUP(A32,'Lista Suspensa'!$A$1:$F$90,5,),0)</f>
        <v>0</v>
      </c>
      <c r="AE32" s="587">
        <f>IF(OR(Z32&gt;0,AA32&gt;0),VLOOKUP(A32,'Lista Suspensa'!$A$1:$F$90,6,),0)</f>
        <v>0</v>
      </c>
      <c r="AF32" s="621"/>
      <c r="AG32" s="623">
        <f t="shared" si="13"/>
        <v>0</v>
      </c>
      <c r="AH32" s="616">
        <f>IF(AF32&gt;0,VLOOKUP(A32,'Lista Suspensa'!$A$1:$F$92,3,),0)</f>
        <v>0</v>
      </c>
      <c r="AI32" s="616">
        <f>IF(OR(AF32&gt;0,AG32&gt;0),VLOOKUP(A32,'Lista Suspensa'!$A$1:$F$90,4,),0)</f>
        <v>0</v>
      </c>
      <c r="AJ32" s="616">
        <f>IF(OR(AF32&gt;0,AG32&gt;0),VLOOKUP(A32,'Lista Suspensa'!$A$1:$F$90,5,),0)</f>
        <v>0</v>
      </c>
      <c r="AK32" s="587">
        <f>IF(OR(AF32&gt;0,AG32&gt;0),VLOOKUP(A32,'Lista Suspensa'!$A$1:$F$90,6,),0)</f>
        <v>0</v>
      </c>
      <c r="AL32" s="627"/>
      <c r="AM32" s="623">
        <f t="shared" si="4"/>
        <v>0</v>
      </c>
      <c r="AN32" s="616">
        <f>IF(AL32&gt;0,VLOOKUP(A32,'Lista Suspensa'!$A$1:$F$92,3,),0)</f>
        <v>0</v>
      </c>
      <c r="AO32" s="616">
        <f>IF(OR(AL32&gt;0,AM32&gt;0),VLOOKUP(A32,'Lista Suspensa'!$A$1:$F$90,4,),0)</f>
        <v>0</v>
      </c>
      <c r="AP32" s="616">
        <f>IF(OR(AL32&gt;0,AM32&gt;0),VLOOKUP(A32,'Lista Suspensa'!$A$1:$F$90,5,),0)</f>
        <v>0</v>
      </c>
      <c r="AQ32" s="587">
        <f>IF(OR(AL32&gt;0,AM32&gt;0),VLOOKUP(A32,'Lista Suspensa'!$A$1:$F$90,6,),0)</f>
        <v>0</v>
      </c>
      <c r="AR32" s="627"/>
      <c r="AS32" s="623">
        <f t="shared" si="14"/>
        <v>0</v>
      </c>
      <c r="AT32" s="616">
        <f>IF(AR32&gt;0,VLOOKUP(A32,'Lista Suspensa'!$A$1:$F$92,3,),0)</f>
        <v>0</v>
      </c>
      <c r="AU32" s="616">
        <f>IF(OR(AR32&gt;0,AS32&gt;0),VLOOKUP(A32,'Lista Suspensa'!$A$1:$F$90,4,),0)</f>
        <v>0</v>
      </c>
      <c r="AV32" s="616">
        <f>IF(OR(AR32&gt;0,AS32&gt;0),VLOOKUP(A32,'Lista Suspensa'!$A$1:$F$90,5,),0)</f>
        <v>0</v>
      </c>
      <c r="AW32" s="586">
        <f>IF(OR(AR32&gt;0,AS32&gt;0),VLOOKUP(A32,'Lista Suspensa'!$A$1:$F$90,6,),0)</f>
        <v>0</v>
      </c>
      <c r="AX32" s="627"/>
      <c r="AY32" s="623">
        <f t="shared" si="5"/>
        <v>0</v>
      </c>
      <c r="AZ32" s="616">
        <f>IF(AX32&gt;0,VLOOKUP(A32,'Lista Suspensa'!$A$1:$F$92,3,),0)</f>
        <v>0</v>
      </c>
      <c r="BA32" s="616">
        <f>IF(OR(AX32&gt;0,AY32&gt;0),VLOOKUP(A32,'Lista Suspensa'!$A$1:$F$90,4,),0)</f>
        <v>0</v>
      </c>
      <c r="BB32" s="616">
        <f>IF(OR(AX32&gt;0,AY32&gt;0),VLOOKUP(A32,'Lista Suspensa'!$A$1:$F$90,5,),0)</f>
        <v>0</v>
      </c>
      <c r="BC32" s="586">
        <f>IF(OR(AX32&gt;0,AY32&gt;0),VLOOKUP(A32,'Lista Suspensa'!$A$1:$F$90,6,),0)</f>
        <v>0</v>
      </c>
      <c r="BD32" s="627"/>
      <c r="BE32" s="623">
        <f t="shared" si="6"/>
        <v>0</v>
      </c>
      <c r="BF32" s="616">
        <f>IF(BD32&gt;0,VLOOKUP(A32,'Lista Suspensa'!$A$1:$F$92,3,),0)</f>
        <v>0</v>
      </c>
      <c r="BG32" s="616">
        <f>IF(OR(BD32&gt;0,BE32&gt;0),VLOOKUP(A32,'Lista Suspensa'!$A$1:$F$90,4,),0)</f>
        <v>0</v>
      </c>
      <c r="BH32" s="616">
        <f>IF(OR(BD32&gt;0,BE32&gt;0),VLOOKUP(A32,'Lista Suspensa'!$A$1:$F$90,5,),0)</f>
        <v>0</v>
      </c>
      <c r="BI32" s="586">
        <f>IF(OR(BD32&gt;0,BE32&gt;0),VLOOKUP(A32,'Lista Suspensa'!$A$1:$F$90,6,),0)</f>
        <v>0</v>
      </c>
      <c r="BJ32" s="627"/>
      <c r="BK32" s="623">
        <f t="shared" si="7"/>
        <v>0</v>
      </c>
      <c r="BL32" s="616">
        <f>IF(BJ32&gt;0,VLOOKUP(A32,'Lista Suspensa'!$A$1:$F$92,3,),0)</f>
        <v>0</v>
      </c>
      <c r="BM32" s="616">
        <f>IF(OR(BJ32&gt;0,BK32&gt;0),VLOOKUP(A32,'Lista Suspensa'!$A$1:$F$90,4,),0)</f>
        <v>0</v>
      </c>
      <c r="BN32" s="616">
        <f>IF(OR(BJ32&gt;0,BK32&gt;0),VLOOKUP(A32,'Lista Suspensa'!$A$1:$F$90,5,),0)</f>
        <v>0</v>
      </c>
      <c r="BO32" s="586">
        <f>IF(OR(BJ32&gt;0,BK32&gt;0),VLOOKUP(A32,'Lista Suspensa'!$A$1:$F$90,6,),0)</f>
        <v>0</v>
      </c>
      <c r="BP32" s="627"/>
      <c r="BQ32" s="623">
        <f t="shared" si="8"/>
        <v>0</v>
      </c>
      <c r="BR32" s="616">
        <f>IF(BP32&gt;0,VLOOKUP(A32,'Lista Suspensa'!$A$1:$F$92,3,),0)</f>
        <v>0</v>
      </c>
      <c r="BS32" s="616">
        <f>IF(OR(BP32&gt;0,BQ32&gt;0),VLOOKUP(A32,'Lista Suspensa'!$A$1:$F$90,4,),0)</f>
        <v>0</v>
      </c>
      <c r="BT32" s="616">
        <f>IF(OR(BP32&gt;0,BQ32&gt;0),VLOOKUP(A32,'Lista Suspensa'!$A$1:$F$90,5,),0)</f>
        <v>0</v>
      </c>
      <c r="BU32" s="586">
        <f>IF(OR(BP32&gt;0,BQ32&gt;0),VLOOKUP(A32,'Lista Suspensa'!$A$1:$F$90,6,),0)</f>
        <v>0</v>
      </c>
      <c r="BV32" s="627"/>
      <c r="BW32" s="623">
        <f t="shared" si="9"/>
        <v>0</v>
      </c>
      <c r="BX32" s="616">
        <f>IF(BV32&gt;0,VLOOKUP(A32,'Lista Suspensa'!$A$1:$F$92,3,),0)</f>
        <v>0</v>
      </c>
      <c r="BY32" s="616">
        <f>IF(OR(BV32&gt;0,BW32&gt;0),VLOOKUP(A32,'Lista Suspensa'!$A$1:$F$90,4,),0)</f>
        <v>0</v>
      </c>
      <c r="BZ32" s="616">
        <f>IF(OR(BV32&gt;0,BW32&gt;0),VLOOKUP(A32,'Lista Suspensa'!$A$1:$F$90,5,),0)</f>
        <v>0</v>
      </c>
      <c r="CA32" s="586">
        <f>IF(OR(BV32&gt;0,BW32&gt;0),VLOOKUP(A32,'Lista Suspensa'!$A$1:$F$90,6,),0)</f>
        <v>0</v>
      </c>
      <c r="CB32" s="627"/>
      <c r="CC32" s="623">
        <f t="shared" si="10"/>
        <v>0</v>
      </c>
      <c r="CD32" s="616">
        <f>IF(CB32&gt;0,VLOOKUP(A32,'Lista Suspensa'!$A$1:$F$92,3,),0)</f>
        <v>0</v>
      </c>
      <c r="CE32" s="616">
        <f>IF(OR(CB32&gt;0,CC32&gt;0),VLOOKUP(A32,'Lista Suspensa'!$A$1:$F$90,4,),0)</f>
        <v>0</v>
      </c>
      <c r="CF32" s="616">
        <f>IF(OR(CB32&gt;0,CC32&gt;0),VLOOKUP(A32,'Lista Suspensa'!$A$1:$F$90,5,),0)</f>
        <v>0</v>
      </c>
      <c r="CG32" s="586">
        <f>IF(OR(CB32&gt;0,CC32&gt;0),VLOOKUP(A32,'Lista Suspensa'!$A$1:$F$90,6,),0)</f>
        <v>0</v>
      </c>
      <c r="CH32" s="627"/>
      <c r="CI32" s="623">
        <f t="shared" si="11"/>
        <v>0</v>
      </c>
      <c r="CJ32" s="616">
        <f>IF(CH32&gt;0,VLOOKUP(A32,'Lista Suspensa'!$A$1:$F$92,3,),0)</f>
        <v>0</v>
      </c>
      <c r="CK32" s="616">
        <f>IF(OR(CH32&gt;0,CI32&gt;0),VLOOKUP(A32,'Lista Suspensa'!$A$1:$F$90,4,),0)</f>
        <v>0</v>
      </c>
      <c r="CL32" s="616">
        <f>IF(OR(CH32&gt;0,CI32&gt;0),VLOOKUP(A32,'Lista Suspensa'!$A$1:$F$90,5,),0)</f>
        <v>0</v>
      </c>
      <c r="CM32" s="637">
        <f>IF(OR(CH32&gt;0,CI32&gt;0),VLOOKUP(A32,'Lista Suspensa'!$A$1:$F$90,6,),0)</f>
        <v>0</v>
      </c>
      <c r="CN32" s="646"/>
      <c r="CO32" s="403">
        <f t="shared" si="15"/>
        <v>0</v>
      </c>
      <c r="CP32" s="756">
        <f>IF(CN32&gt;0,VLOOKUP(A32,'Lista Suspensa'!$A$1:$F$92,3,),0)</f>
        <v>0</v>
      </c>
      <c r="CQ32" s="643">
        <f>IF(OR(CN32&gt;0,CO32&gt;0),VLOOKUP(A32,'Lista Suspensa'!$A$1:$F$90,6,),0)</f>
        <v>0</v>
      </c>
      <c r="CR32" s="628"/>
      <c r="CS32" s="628"/>
      <c r="CT32" s="628"/>
      <c r="CU32" s="628"/>
      <c r="CV32" s="628"/>
      <c r="CW32" s="628"/>
      <c r="CX32" s="628"/>
      <c r="CY32" s="628"/>
      <c r="CZ32" s="628"/>
      <c r="DA32" s="628"/>
      <c r="DB32" s="628"/>
      <c r="DC32" s="628"/>
      <c r="DD32" s="628"/>
      <c r="DE32" s="628"/>
      <c r="DF32" s="628"/>
      <c r="DG32" s="628"/>
      <c r="DH32" s="628"/>
      <c r="DI32" s="583"/>
      <c r="DJ32" s="583"/>
      <c r="DK32" s="583"/>
      <c r="DL32" s="583"/>
      <c r="DM32" s="583"/>
      <c r="DN32" s="583"/>
      <c r="DO32" s="583"/>
      <c r="DP32" s="583"/>
      <c r="DQ32" s="583"/>
      <c r="DR32" s="583"/>
      <c r="DS32" s="583"/>
      <c r="DT32" s="583"/>
      <c r="DU32" s="583"/>
      <c r="DV32" s="583"/>
      <c r="DW32" s="583"/>
      <c r="DX32" s="583"/>
      <c r="DY32" s="583"/>
      <c r="DZ32" s="583"/>
      <c r="EA32" s="583"/>
      <c r="EB32" s="583"/>
      <c r="EC32" s="583"/>
      <c r="ED32" s="583"/>
      <c r="EE32" s="583"/>
      <c r="EF32" s="583"/>
      <c r="EG32" s="583"/>
      <c r="EH32" s="583"/>
      <c r="EI32" s="583"/>
      <c r="EJ32" s="583"/>
      <c r="EK32" s="583"/>
      <c r="EL32" s="583"/>
      <c r="EM32" s="583"/>
      <c r="EN32" s="583"/>
      <c r="EO32" s="583"/>
      <c r="EP32" s="583"/>
      <c r="EQ32" s="583"/>
      <c r="ER32" s="583"/>
      <c r="ES32" s="583"/>
      <c r="ET32" s="583"/>
      <c r="EU32" s="583"/>
      <c r="EV32" s="583"/>
      <c r="EW32" s="583"/>
      <c r="EX32" s="583"/>
      <c r="EY32" s="583"/>
      <c r="EZ32" s="583"/>
      <c r="FA32" s="583"/>
      <c r="FB32" s="583"/>
      <c r="FC32" s="583"/>
      <c r="FD32" s="583"/>
      <c r="FE32" s="583"/>
      <c r="FF32" s="583"/>
      <c r="FG32" s="583"/>
      <c r="FH32" s="583"/>
      <c r="FI32" s="583"/>
      <c r="FJ32" s="583"/>
      <c r="FK32" s="583"/>
      <c r="FL32" s="583"/>
      <c r="FM32" s="583"/>
      <c r="FN32" s="583"/>
      <c r="FO32" s="583"/>
      <c r="FP32" s="583"/>
      <c r="FQ32" s="583"/>
      <c r="FR32" s="583"/>
      <c r="FS32" s="583"/>
      <c r="FT32" s="583"/>
      <c r="FU32" s="583"/>
      <c r="FV32" s="583"/>
      <c r="FW32" s="583"/>
      <c r="FX32" s="583"/>
      <c r="FY32" s="583"/>
      <c r="FZ32" s="583"/>
      <c r="GA32" s="583"/>
      <c r="GB32" s="583"/>
      <c r="GC32" s="583"/>
      <c r="GD32" s="583"/>
      <c r="GE32" s="583"/>
      <c r="GF32" s="583"/>
      <c r="GG32" s="583"/>
      <c r="GH32" s="583"/>
      <c r="GI32" s="583"/>
      <c r="GJ32" s="583"/>
      <c r="GK32" s="583"/>
      <c r="GL32" s="583"/>
      <c r="GM32" s="583"/>
      <c r="GN32" s="583"/>
      <c r="GO32" s="583"/>
      <c r="GP32" s="583"/>
      <c r="GQ32" s="583"/>
      <c r="GR32" s="583"/>
      <c r="GS32" s="583"/>
      <c r="GT32" s="583"/>
      <c r="GU32" s="583"/>
      <c r="GV32" s="583"/>
      <c r="GW32" s="583"/>
      <c r="GX32" s="583"/>
      <c r="GY32" s="583"/>
      <c r="GZ32" s="583"/>
      <c r="HA32" s="583"/>
      <c r="HB32" s="583"/>
      <c r="HC32" s="583"/>
      <c r="HD32" s="583"/>
      <c r="HE32" s="583"/>
      <c r="HF32" s="583"/>
      <c r="HG32" s="583"/>
      <c r="HH32" s="583"/>
      <c r="HI32" s="583"/>
      <c r="HJ32" s="583"/>
      <c r="HK32" s="583"/>
      <c r="HL32" s="583"/>
      <c r="HM32" s="583"/>
      <c r="HN32" s="583"/>
      <c r="HO32" s="583"/>
      <c r="HP32" s="583"/>
      <c r="HQ32" s="583"/>
      <c r="HR32" s="583"/>
      <c r="HS32" s="583"/>
      <c r="HT32" s="583"/>
      <c r="HU32" s="583"/>
      <c r="HV32" s="583"/>
      <c r="HW32" s="583"/>
      <c r="HX32" s="583"/>
      <c r="HY32" s="583"/>
      <c r="HZ32" s="583"/>
      <c r="IA32" s="583"/>
      <c r="IB32" s="583"/>
      <c r="IC32" s="583"/>
      <c r="ID32" s="583"/>
      <c r="IE32" s="583"/>
      <c r="IF32" s="583"/>
      <c r="IG32" s="583"/>
      <c r="IH32" s="583"/>
      <c r="II32" s="583"/>
      <c r="IJ32" s="583"/>
      <c r="IK32" s="583"/>
      <c r="IL32" s="583"/>
      <c r="IM32" s="583"/>
      <c r="IN32" s="583"/>
      <c r="IO32" s="583"/>
      <c r="IP32" s="583"/>
      <c r="IQ32" s="583"/>
      <c r="IR32" s="583"/>
      <c r="IS32" s="583"/>
      <c r="IT32" s="583"/>
      <c r="IU32" s="583"/>
      <c r="IV32" s="583"/>
      <c r="IW32" s="583"/>
      <c r="IX32" s="583"/>
      <c r="IY32" s="583"/>
      <c r="IZ32" s="583"/>
      <c r="JA32" s="583"/>
      <c r="JB32" s="583"/>
      <c r="JC32" s="583"/>
      <c r="JD32" s="583"/>
      <c r="JE32" s="583"/>
      <c r="JF32" s="583"/>
      <c r="JG32" s="583"/>
      <c r="JH32" s="583"/>
      <c r="JI32" s="583"/>
      <c r="JJ32" s="583"/>
      <c r="JK32" s="583"/>
      <c r="JL32" s="583"/>
      <c r="JM32" s="583"/>
      <c r="JN32" s="583"/>
      <c r="JO32" s="583"/>
      <c r="JP32" s="583"/>
      <c r="JQ32" s="583"/>
      <c r="JR32" s="583"/>
      <c r="JS32" s="583"/>
      <c r="JT32" s="583"/>
      <c r="JU32" s="583"/>
      <c r="JV32" s="583"/>
      <c r="JW32" s="583"/>
      <c r="JX32" s="583"/>
      <c r="JY32" s="583"/>
      <c r="JZ32" s="583"/>
      <c r="KA32" s="583"/>
      <c r="KB32" s="583"/>
      <c r="KC32" s="583"/>
      <c r="KD32" s="583"/>
      <c r="KE32" s="583"/>
      <c r="KF32" s="583"/>
      <c r="KG32" s="583"/>
      <c r="KH32" s="583"/>
      <c r="KI32" s="583"/>
      <c r="KJ32" s="583"/>
      <c r="KK32" s="583"/>
      <c r="KL32" s="583"/>
      <c r="KM32" s="583"/>
      <c r="KN32" s="583"/>
      <c r="KO32" s="583"/>
      <c r="KP32" s="583"/>
      <c r="KQ32" s="583"/>
      <c r="KR32" s="583"/>
      <c r="KS32" s="583"/>
      <c r="KT32" s="583"/>
      <c r="KU32" s="583"/>
      <c r="KV32" s="583"/>
      <c r="KW32" s="583"/>
      <c r="KX32" s="583"/>
      <c r="KY32" s="583"/>
      <c r="KZ32" s="583"/>
      <c r="LA32" s="583"/>
      <c r="LB32" s="583"/>
      <c r="LC32" s="583"/>
      <c r="LD32" s="583"/>
      <c r="LE32" s="583"/>
      <c r="LF32" s="583"/>
      <c r="LG32" s="583"/>
      <c r="LH32" s="583"/>
      <c r="LI32" s="583"/>
      <c r="LJ32" s="583"/>
      <c r="LK32" s="583"/>
      <c r="LL32" s="583"/>
      <c r="LM32" s="583"/>
      <c r="LN32" s="583"/>
      <c r="LO32" s="583"/>
      <c r="LP32" s="583"/>
      <c r="LQ32" s="583"/>
      <c r="LR32" s="583"/>
      <c r="LS32" s="583"/>
      <c r="LT32" s="583"/>
      <c r="LU32" s="583"/>
      <c r="LV32" s="583"/>
      <c r="LW32" s="583"/>
      <c r="LX32" s="583"/>
      <c r="LY32" s="583"/>
      <c r="LZ32" s="583"/>
      <c r="MA32" s="583"/>
      <c r="MB32" s="583"/>
      <c r="MC32" s="583"/>
      <c r="MD32" s="583"/>
      <c r="ME32" s="583"/>
      <c r="MF32" s="583"/>
      <c r="MG32" s="583"/>
      <c r="MH32" s="583"/>
      <c r="MI32" s="583"/>
      <c r="MJ32" s="583"/>
      <c r="MK32" s="583"/>
      <c r="ML32" s="583"/>
      <c r="MM32" s="583"/>
      <c r="MN32" s="583"/>
      <c r="MO32" s="583"/>
      <c r="MP32" s="583"/>
      <c r="MQ32" s="583"/>
      <c r="MR32" s="583"/>
      <c r="MS32" s="583"/>
      <c r="MT32" s="583"/>
      <c r="MU32" s="583"/>
      <c r="MV32" s="583"/>
      <c r="MW32" s="583"/>
      <c r="MX32" s="583"/>
      <c r="MY32" s="583"/>
      <c r="MZ32" s="583"/>
      <c r="NA32" s="583"/>
      <c r="NB32" s="583"/>
      <c r="NC32" s="583"/>
      <c r="ND32" s="583"/>
      <c r="NE32" s="583"/>
      <c r="NF32" s="583"/>
      <c r="NG32" s="583"/>
      <c r="NH32" s="583"/>
      <c r="NI32" s="583"/>
      <c r="NJ32" s="583"/>
      <c r="NK32" s="583"/>
      <c r="NL32" s="583"/>
      <c r="NM32" s="583"/>
      <c r="NN32" s="583"/>
      <c r="NO32" s="583"/>
      <c r="NP32" s="583"/>
      <c r="NQ32" s="583"/>
      <c r="NR32" s="583"/>
      <c r="NS32" s="583"/>
      <c r="NT32" s="583"/>
      <c r="NU32" s="583"/>
      <c r="NV32" s="583"/>
      <c r="NW32" s="583"/>
      <c r="NX32" s="583"/>
      <c r="NY32" s="583"/>
      <c r="NZ32" s="583"/>
      <c r="OA32" s="583"/>
      <c r="OB32" s="583"/>
      <c r="OC32" s="583"/>
      <c r="OD32" s="583"/>
      <c r="OE32" s="583"/>
      <c r="OF32" s="583"/>
      <c r="OG32" s="583"/>
      <c r="OH32" s="583"/>
      <c r="OI32" s="583"/>
      <c r="OJ32" s="583"/>
      <c r="OK32" s="583"/>
      <c r="OL32" s="583"/>
      <c r="OM32" s="583"/>
      <c r="ON32" s="583"/>
      <c r="OO32" s="583"/>
      <c r="OP32" s="583"/>
      <c r="OQ32" s="583"/>
      <c r="OR32" s="583"/>
      <c r="OS32" s="583"/>
      <c r="OT32" s="583"/>
      <c r="OU32" s="583"/>
      <c r="OV32" s="583"/>
      <c r="OW32" s="583"/>
      <c r="OX32" s="583"/>
      <c r="OY32" s="583"/>
      <c r="OZ32" s="583"/>
      <c r="PA32" s="583"/>
      <c r="PB32" s="583"/>
      <c r="PC32" s="583"/>
      <c r="PD32" s="583"/>
      <c r="PE32" s="583"/>
      <c r="PF32" s="583"/>
      <c r="PG32" s="583"/>
      <c r="PH32" s="583"/>
      <c r="PI32" s="583"/>
      <c r="PJ32" s="583"/>
      <c r="PK32" s="583"/>
      <c r="PL32" s="583"/>
      <c r="PM32" s="583"/>
      <c r="PN32" s="583"/>
      <c r="PO32" s="583"/>
      <c r="PP32" s="583"/>
      <c r="PQ32" s="583"/>
      <c r="PR32" s="583"/>
      <c r="PS32" s="583"/>
      <c r="PT32" s="583"/>
      <c r="PU32" s="583"/>
      <c r="PV32" s="583"/>
      <c r="PW32" s="583"/>
      <c r="PX32" s="583"/>
      <c r="PY32" s="583"/>
      <c r="PZ32" s="583"/>
      <c r="QA32" s="583"/>
      <c r="QB32" s="583"/>
      <c r="QC32" s="583"/>
      <c r="QD32" s="583"/>
      <c r="QE32" s="583"/>
      <c r="QF32" s="583"/>
      <c r="QG32" s="583"/>
      <c r="QH32" s="583"/>
      <c r="QI32" s="583"/>
      <c r="QJ32" s="583"/>
      <c r="QK32" s="583"/>
      <c r="QL32" s="583"/>
      <c r="QM32" s="583"/>
      <c r="QN32" s="583"/>
      <c r="QO32" s="583"/>
      <c r="QP32" s="583"/>
      <c r="QQ32" s="583"/>
      <c r="QR32" s="583"/>
      <c r="QS32" s="583"/>
      <c r="QT32" s="583"/>
      <c r="QU32" s="583"/>
      <c r="QV32" s="583"/>
      <c r="QW32" s="583"/>
      <c r="QX32" s="583"/>
      <c r="QY32" s="583"/>
      <c r="QZ32" s="583"/>
      <c r="RA32" s="583"/>
      <c r="RB32" s="583"/>
      <c r="RC32" s="583"/>
      <c r="RD32" s="583"/>
      <c r="RE32" s="583"/>
      <c r="RF32" s="583"/>
      <c r="RG32" s="583"/>
      <c r="RH32" s="583"/>
      <c r="RI32" s="583"/>
      <c r="RJ32" s="583"/>
      <c r="RK32" s="583"/>
      <c r="RL32" s="583"/>
      <c r="RM32" s="583"/>
      <c r="RN32" s="583"/>
      <c r="RO32" s="583"/>
      <c r="RP32" s="583"/>
      <c r="RQ32" s="583"/>
      <c r="RR32" s="583"/>
      <c r="RS32" s="583"/>
      <c r="RT32" s="583"/>
      <c r="RU32" s="583"/>
      <c r="RV32" s="583"/>
      <c r="RW32" s="583"/>
      <c r="RX32" s="583"/>
      <c r="RY32" s="583"/>
      <c r="RZ32" s="583"/>
      <c r="SA32" s="583"/>
      <c r="SB32" s="583"/>
      <c r="SC32" s="583"/>
      <c r="SD32" s="583"/>
      <c r="SE32" s="583"/>
      <c r="SF32" s="583"/>
      <c r="SG32" s="583"/>
      <c r="SH32" s="583"/>
      <c r="SI32" s="583"/>
      <c r="SJ32" s="583"/>
      <c r="SK32" s="583"/>
      <c r="SL32" s="583"/>
      <c r="SM32" s="583"/>
      <c r="SN32" s="583"/>
      <c r="SO32" s="583"/>
      <c r="SP32" s="583"/>
      <c r="SQ32" s="583"/>
      <c r="SR32" s="583"/>
      <c r="SS32" s="583"/>
      <c r="ST32" s="583"/>
      <c r="SU32" s="583"/>
      <c r="SV32" s="583"/>
      <c r="SW32" s="583"/>
      <c r="SX32" s="583"/>
      <c r="SY32" s="583"/>
      <c r="SZ32" s="583"/>
      <c r="TA32" s="583"/>
      <c r="TB32" s="583"/>
      <c r="TC32" s="583"/>
      <c r="TD32" s="583"/>
      <c r="TE32" s="583"/>
      <c r="TF32" s="583"/>
      <c r="TG32" s="583"/>
      <c r="TH32" s="583"/>
      <c r="TI32" s="583"/>
      <c r="TJ32" s="583"/>
      <c r="TK32" s="583"/>
      <c r="TL32" s="583"/>
      <c r="TM32" s="583"/>
      <c r="TN32" s="583"/>
      <c r="TO32" s="583"/>
      <c r="TP32" s="583"/>
      <c r="TQ32" s="583"/>
      <c r="TR32" s="583"/>
      <c r="TS32" s="583"/>
      <c r="TT32" s="583"/>
      <c r="TU32" s="583"/>
      <c r="TV32" s="583"/>
      <c r="TW32" s="583"/>
      <c r="TX32" s="583"/>
      <c r="TY32" s="583"/>
      <c r="TZ32" s="583"/>
      <c r="UA32" s="583"/>
      <c r="UB32" s="583"/>
      <c r="UC32" s="583"/>
      <c r="UD32" s="583"/>
      <c r="UE32" s="583"/>
      <c r="UF32" s="583"/>
      <c r="UG32" s="583"/>
      <c r="UH32" s="583"/>
      <c r="UI32" s="583"/>
      <c r="UJ32" s="583"/>
      <c r="UK32" s="583"/>
      <c r="UL32" s="583"/>
      <c r="UM32" s="583"/>
      <c r="UN32" s="583"/>
      <c r="UO32" s="583"/>
      <c r="UP32" s="583"/>
      <c r="UQ32" s="583"/>
      <c r="UR32" s="583"/>
      <c r="US32" s="583"/>
      <c r="UT32" s="583"/>
      <c r="UU32" s="583"/>
      <c r="UV32" s="583"/>
      <c r="UW32" s="583"/>
      <c r="UX32" s="583"/>
      <c r="UY32" s="583"/>
      <c r="UZ32" s="583"/>
      <c r="VA32" s="583"/>
      <c r="VB32" s="583"/>
      <c r="VC32" s="583"/>
      <c r="VD32" s="583"/>
      <c r="VE32" s="583"/>
      <c r="VF32" s="583"/>
      <c r="VG32" s="583"/>
      <c r="VH32" s="583"/>
      <c r="VI32" s="583"/>
      <c r="VJ32" s="583"/>
      <c r="VK32" s="583"/>
      <c r="VL32" s="583"/>
      <c r="VM32" s="583"/>
      <c r="VN32" s="583"/>
      <c r="VO32" s="583"/>
      <c r="VP32" s="583"/>
      <c r="VQ32" s="583"/>
      <c r="VR32" s="583"/>
      <c r="VS32" s="583"/>
      <c r="VT32" s="583"/>
      <c r="VU32" s="583"/>
      <c r="VV32" s="583"/>
      <c r="VW32" s="583"/>
      <c r="VX32" s="583"/>
      <c r="VY32" s="583"/>
      <c r="VZ32" s="583"/>
      <c r="WA32" s="583"/>
      <c r="WB32" s="583"/>
      <c r="WC32" s="583"/>
      <c r="WD32" s="583"/>
      <c r="WE32" s="583"/>
      <c r="WF32" s="583"/>
      <c r="WG32" s="583"/>
      <c r="WH32" s="583"/>
      <c r="WI32" s="583"/>
      <c r="WJ32" s="583"/>
      <c r="WK32" s="583"/>
      <c r="WL32" s="583"/>
      <c r="WM32" s="583"/>
      <c r="WN32" s="583"/>
      <c r="WO32" s="583"/>
      <c r="WP32" s="583"/>
      <c r="WQ32" s="583"/>
      <c r="WR32" s="583"/>
      <c r="WS32" s="583"/>
      <c r="WT32" s="583"/>
      <c r="WU32" s="583"/>
      <c r="WV32" s="583"/>
      <c r="WW32" s="583"/>
      <c r="WX32" s="583"/>
      <c r="WY32" s="583"/>
      <c r="WZ32" s="583"/>
      <c r="XA32" s="583"/>
      <c r="XB32" s="583"/>
      <c r="XC32" s="583"/>
      <c r="XD32" s="583"/>
      <c r="XE32" s="583"/>
      <c r="XF32" s="583"/>
      <c r="XG32" s="583"/>
      <c r="XH32" s="583"/>
      <c r="XI32" s="583"/>
      <c r="XJ32" s="583"/>
      <c r="XK32" s="583"/>
      <c r="XL32" s="583"/>
      <c r="XM32" s="583"/>
      <c r="XN32" s="583"/>
      <c r="XO32" s="583"/>
      <c r="XP32" s="583"/>
      <c r="XQ32" s="583"/>
      <c r="XR32" s="583"/>
      <c r="XS32" s="583"/>
      <c r="XT32" s="583"/>
      <c r="XU32" s="583"/>
      <c r="XV32" s="583"/>
      <c r="XW32" s="583"/>
      <c r="XX32" s="583"/>
      <c r="XY32" s="583"/>
      <c r="XZ32" s="583"/>
      <c r="YA32" s="583"/>
      <c r="YB32" s="583"/>
      <c r="YC32" s="583"/>
      <c r="YD32" s="583"/>
      <c r="YE32" s="583"/>
      <c r="YF32" s="583"/>
      <c r="YG32" s="583"/>
      <c r="YH32" s="583"/>
      <c r="YI32" s="583"/>
      <c r="YJ32" s="583"/>
      <c r="YK32" s="583"/>
      <c r="YL32" s="583"/>
      <c r="YM32" s="583"/>
      <c r="YN32" s="583"/>
      <c r="YO32" s="583"/>
      <c r="YP32" s="583"/>
      <c r="YQ32" s="583"/>
      <c r="YR32" s="583"/>
      <c r="YS32" s="583"/>
      <c r="YT32" s="583"/>
      <c r="YU32" s="583"/>
      <c r="YV32" s="583"/>
      <c r="YW32" s="583"/>
      <c r="YX32" s="583"/>
      <c r="YY32" s="583"/>
      <c r="YZ32" s="583"/>
      <c r="ZA32" s="583"/>
      <c r="ZB32" s="583"/>
      <c r="ZC32" s="583"/>
      <c r="ZD32" s="583"/>
      <c r="ZE32" s="583"/>
      <c r="ZF32" s="583"/>
      <c r="ZG32" s="583"/>
      <c r="ZH32" s="583"/>
      <c r="ZI32" s="583"/>
      <c r="ZJ32" s="583"/>
      <c r="ZK32" s="583"/>
      <c r="ZL32" s="583"/>
      <c r="ZM32" s="583"/>
      <c r="ZN32" s="583"/>
      <c r="ZO32" s="583"/>
      <c r="ZP32" s="583"/>
      <c r="ZQ32" s="583"/>
      <c r="ZR32" s="583"/>
      <c r="ZS32" s="583"/>
      <c r="ZT32" s="583"/>
      <c r="ZU32" s="583"/>
      <c r="ZV32" s="583"/>
      <c r="ZW32" s="583"/>
      <c r="ZX32" s="583"/>
      <c r="ZY32" s="583"/>
      <c r="ZZ32" s="583"/>
      <c r="AAA32" s="583"/>
      <c r="AAB32" s="583"/>
      <c r="AAC32" s="583"/>
      <c r="AAD32" s="583"/>
      <c r="AAE32" s="583"/>
      <c r="AAF32" s="583"/>
      <c r="AAG32" s="583"/>
      <c r="AAH32" s="583"/>
      <c r="AAI32" s="583"/>
      <c r="AAJ32" s="583"/>
      <c r="AAK32" s="583"/>
      <c r="AAL32" s="583"/>
      <c r="AAM32" s="583"/>
      <c r="AAN32" s="583"/>
      <c r="AAO32" s="583"/>
      <c r="AAP32" s="583"/>
      <c r="AAQ32" s="583"/>
      <c r="AAR32" s="583"/>
      <c r="AAS32" s="583"/>
      <c r="AAT32" s="583"/>
      <c r="AAU32" s="583"/>
      <c r="AAV32" s="583"/>
      <c r="AAW32" s="583"/>
      <c r="AAX32" s="583"/>
      <c r="AAY32" s="583"/>
      <c r="AAZ32" s="583"/>
      <c r="ABA32" s="583"/>
      <c r="ABB32" s="583"/>
      <c r="ABC32" s="583"/>
      <c r="ABD32" s="583"/>
      <c r="ABE32" s="583"/>
      <c r="ABF32" s="583"/>
      <c r="ABG32" s="583"/>
      <c r="ABH32" s="583"/>
      <c r="ABI32" s="583"/>
      <c r="ABJ32" s="583"/>
      <c r="ABK32" s="583"/>
      <c r="ABL32" s="583"/>
      <c r="ABM32" s="583"/>
      <c r="ABN32" s="583"/>
      <c r="ABO32" s="583"/>
      <c r="ABP32" s="583"/>
      <c r="ABQ32" s="583"/>
      <c r="ABR32" s="583"/>
      <c r="ABS32" s="583"/>
      <c r="ABT32" s="583"/>
      <c r="ABU32" s="583"/>
      <c r="ABV32" s="583"/>
      <c r="ABW32" s="583"/>
      <c r="ABX32" s="583"/>
      <c r="ABY32" s="583"/>
      <c r="ABZ32" s="583"/>
      <c r="ACA32" s="583"/>
      <c r="ACB32" s="583"/>
      <c r="ACC32" s="583"/>
      <c r="ACD32" s="583"/>
      <c r="ACE32" s="583"/>
      <c r="ACF32" s="583"/>
      <c r="ACG32" s="583"/>
      <c r="ACH32" s="583"/>
      <c r="ACI32" s="583"/>
      <c r="ACJ32" s="583"/>
      <c r="ACK32" s="583"/>
      <c r="ACL32" s="583"/>
      <c r="ACM32" s="583"/>
      <c r="ACN32" s="583"/>
      <c r="ACO32" s="583"/>
      <c r="ACP32" s="583"/>
      <c r="ACQ32" s="583"/>
      <c r="ACR32" s="583"/>
      <c r="ACS32" s="583"/>
      <c r="ACT32" s="583"/>
      <c r="ACU32" s="583"/>
      <c r="ACV32" s="583"/>
      <c r="ACW32" s="583"/>
      <c r="ACX32" s="583"/>
      <c r="ACY32" s="583"/>
      <c r="ACZ32" s="583"/>
      <c r="ADA32" s="583"/>
      <c r="ADB32" s="583"/>
      <c r="ADC32" s="583"/>
      <c r="ADD32" s="583"/>
      <c r="ADE32" s="583"/>
      <c r="ADF32" s="583"/>
      <c r="ADG32" s="583"/>
      <c r="ADH32" s="583"/>
      <c r="ADI32" s="583"/>
      <c r="ADJ32" s="583"/>
      <c r="ADK32" s="583"/>
      <c r="ADL32" s="583"/>
      <c r="ADM32" s="583"/>
      <c r="ADN32" s="583"/>
      <c r="ADO32" s="583"/>
      <c r="ADP32" s="583"/>
      <c r="ADQ32" s="583"/>
      <c r="ADR32" s="583"/>
      <c r="ADS32" s="583"/>
      <c r="ADT32" s="583"/>
      <c r="ADU32" s="583"/>
      <c r="ADV32" s="583"/>
      <c r="ADW32" s="583"/>
      <c r="ADX32" s="583"/>
      <c r="ADY32" s="583"/>
      <c r="ADZ32" s="583"/>
      <c r="AEA32" s="583"/>
      <c r="AEB32" s="583"/>
      <c r="AEC32" s="583"/>
      <c r="AED32" s="583"/>
      <c r="AEE32" s="583"/>
      <c r="AEF32" s="583"/>
      <c r="AEG32" s="583"/>
      <c r="AEH32" s="583"/>
      <c r="AEI32" s="583"/>
      <c r="AEJ32" s="583"/>
      <c r="AEK32" s="583"/>
      <c r="AEL32" s="583"/>
      <c r="AEM32" s="583"/>
      <c r="AEN32" s="583"/>
      <c r="AEO32" s="583"/>
      <c r="AEP32" s="583"/>
      <c r="AEQ32" s="583"/>
      <c r="AER32" s="583"/>
      <c r="AES32" s="583"/>
      <c r="AET32" s="583"/>
      <c r="AEU32" s="583"/>
      <c r="AEV32" s="583"/>
      <c r="AEW32" s="583"/>
      <c r="AEX32" s="583"/>
      <c r="AEY32" s="583"/>
      <c r="AEZ32" s="583"/>
      <c r="AFA32" s="583"/>
      <c r="AFB32" s="583"/>
      <c r="AFC32" s="583"/>
      <c r="AFD32" s="583"/>
      <c r="AFE32" s="583"/>
      <c r="AFF32" s="583"/>
      <c r="AFG32" s="583"/>
      <c r="AFH32" s="583"/>
      <c r="AFI32" s="583"/>
      <c r="AFJ32" s="583"/>
      <c r="AFK32" s="583"/>
      <c r="AFL32" s="583"/>
      <c r="AFM32" s="583"/>
      <c r="AFN32" s="583"/>
      <c r="AFO32" s="583"/>
      <c r="AFP32" s="583"/>
      <c r="AFQ32" s="583"/>
      <c r="AFR32" s="583"/>
      <c r="AFS32" s="583"/>
      <c r="AFT32" s="583"/>
      <c r="AFU32" s="583"/>
      <c r="AFV32" s="583"/>
      <c r="AFW32" s="583"/>
      <c r="AFX32" s="583"/>
      <c r="AFY32" s="583"/>
      <c r="AFZ32" s="583"/>
      <c r="AGA32" s="583"/>
      <c r="AGB32" s="583"/>
      <c r="AGC32" s="583"/>
      <c r="AGD32" s="583"/>
      <c r="AGE32" s="583"/>
      <c r="AGF32" s="583"/>
      <c r="AGG32" s="583"/>
      <c r="AGH32" s="583"/>
      <c r="AGI32" s="583"/>
      <c r="AGJ32" s="583"/>
      <c r="AGK32" s="583"/>
      <c r="AGL32" s="583"/>
      <c r="AGM32" s="583"/>
      <c r="AGN32" s="583"/>
      <c r="AGO32" s="583"/>
      <c r="AGP32" s="583"/>
      <c r="AGQ32" s="583"/>
      <c r="AGR32" s="583"/>
      <c r="AGS32" s="583"/>
      <c r="AGT32" s="583"/>
      <c r="AGU32" s="583"/>
      <c r="AGV32" s="583"/>
      <c r="AGW32" s="583"/>
      <c r="AGX32" s="583"/>
      <c r="AGY32" s="583"/>
      <c r="AGZ32" s="583"/>
      <c r="AHA32" s="583"/>
      <c r="AHB32" s="583"/>
      <c r="AHC32" s="583"/>
      <c r="AHD32" s="583"/>
      <c r="AHE32" s="583"/>
      <c r="AHF32" s="583"/>
      <c r="AHG32" s="583"/>
      <c r="AHH32" s="583"/>
      <c r="AHI32" s="583"/>
      <c r="AHJ32" s="583"/>
      <c r="AHK32" s="583"/>
      <c r="AHL32" s="583"/>
      <c r="AHM32" s="583"/>
      <c r="AHN32" s="583"/>
      <c r="AHO32" s="583"/>
      <c r="AHP32" s="583"/>
      <c r="AHQ32" s="583"/>
      <c r="AHR32" s="583"/>
      <c r="AHS32" s="583"/>
      <c r="AHT32" s="583"/>
      <c r="AHU32" s="583"/>
      <c r="AHV32" s="583"/>
      <c r="AHW32" s="583"/>
      <c r="AHX32" s="583"/>
      <c r="AHY32" s="583"/>
      <c r="AHZ32" s="583"/>
      <c r="AIA32" s="583"/>
      <c r="AIB32" s="583"/>
      <c r="AIC32" s="583"/>
      <c r="AID32" s="583"/>
      <c r="AIE32" s="583"/>
      <c r="AIF32" s="583"/>
      <c r="AIG32" s="583"/>
      <c r="AIH32" s="583"/>
      <c r="AII32" s="583"/>
      <c r="AIJ32" s="583"/>
      <c r="AIK32" s="583"/>
      <c r="AIL32" s="583"/>
      <c r="AIM32" s="583"/>
      <c r="AIN32" s="583"/>
      <c r="AIO32" s="583"/>
      <c r="AIP32" s="583"/>
      <c r="AIQ32" s="583"/>
      <c r="AIR32" s="583"/>
      <c r="AIS32" s="583"/>
      <c r="AIT32" s="583"/>
      <c r="AIU32" s="583"/>
      <c r="AIV32" s="583"/>
      <c r="AIW32" s="583"/>
      <c r="AIX32" s="583"/>
      <c r="AIY32" s="583"/>
      <c r="AIZ32" s="583"/>
      <c r="AJA32" s="583"/>
      <c r="AJB32" s="583"/>
      <c r="AJC32" s="583"/>
      <c r="AJD32" s="583"/>
      <c r="AJE32" s="583"/>
      <c r="AJF32" s="583"/>
      <c r="AJG32" s="583"/>
      <c r="AJH32" s="583"/>
      <c r="AJI32" s="583"/>
      <c r="AJJ32" s="583"/>
      <c r="AJK32" s="583"/>
      <c r="AJL32" s="583"/>
      <c r="AJM32" s="583"/>
      <c r="AJN32" s="583"/>
      <c r="AJO32" s="583"/>
      <c r="AJP32" s="583"/>
      <c r="AJQ32" s="583"/>
      <c r="AJR32" s="583"/>
      <c r="AJS32" s="583"/>
      <c r="AJT32" s="583"/>
      <c r="AJU32" s="583"/>
      <c r="AJV32" s="583"/>
      <c r="AJW32" s="583"/>
      <c r="AJX32" s="583"/>
      <c r="AJY32" s="583"/>
      <c r="AJZ32" s="583"/>
      <c r="AKA32" s="583"/>
      <c r="AKB32" s="583"/>
      <c r="AKC32" s="583"/>
      <c r="AKD32" s="583"/>
      <c r="AKE32" s="583"/>
      <c r="AKF32" s="583"/>
      <c r="AKG32" s="583"/>
      <c r="AKH32" s="583"/>
      <c r="AKI32" s="583"/>
      <c r="AKJ32" s="583"/>
      <c r="AKK32" s="583"/>
      <c r="AKL32" s="583"/>
      <c r="AKM32" s="583"/>
      <c r="AKN32" s="583"/>
      <c r="AKO32" s="583"/>
      <c r="AKP32" s="583"/>
      <c r="AKQ32" s="583"/>
      <c r="AKR32" s="583"/>
      <c r="AKS32" s="583"/>
      <c r="AKT32" s="583"/>
      <c r="AKU32" s="583"/>
      <c r="AKV32" s="583"/>
      <c r="AKW32" s="583"/>
      <c r="AKX32" s="583"/>
      <c r="AKY32" s="583"/>
      <c r="AKZ32" s="583"/>
      <c r="ALA32" s="583"/>
      <c r="ALB32" s="583"/>
      <c r="ALC32" s="583"/>
      <c r="ALD32" s="583"/>
      <c r="ALE32" s="583"/>
      <c r="ALF32" s="583"/>
      <c r="ALG32" s="583"/>
      <c r="ALH32" s="583"/>
      <c r="ALI32" s="583"/>
      <c r="ALJ32" s="583"/>
      <c r="ALK32" s="583"/>
      <c r="ALL32" s="583"/>
      <c r="ALM32" s="583"/>
      <c r="ALN32" s="583"/>
      <c r="ALO32" s="583"/>
      <c r="ALP32" s="583"/>
      <c r="ALQ32" s="583"/>
      <c r="ALR32" s="583"/>
      <c r="ALS32" s="583"/>
      <c r="ALT32" s="583"/>
      <c r="ALU32" s="583"/>
      <c r="ALV32" s="583"/>
      <c r="ALW32" s="583"/>
      <c r="ALX32" s="583"/>
      <c r="ALY32" s="583"/>
      <c r="ALZ32" s="583"/>
      <c r="AMA32" s="583"/>
      <c r="AMB32" s="583"/>
      <c r="AMC32" s="583"/>
      <c r="AMD32" s="583"/>
      <c r="AME32" s="583"/>
      <c r="AMF32" s="583"/>
      <c r="AMG32" s="583"/>
      <c r="AMH32" s="583"/>
      <c r="AMI32" s="583"/>
      <c r="AMJ32" s="583"/>
      <c r="AMK32" s="583"/>
      <c r="AML32" s="583"/>
      <c r="AMM32" s="583"/>
      <c r="AMN32" s="583"/>
      <c r="AMO32" s="583"/>
      <c r="AMP32" s="583"/>
      <c r="AMQ32" s="583"/>
      <c r="AMR32" s="583"/>
      <c r="AMS32" s="583"/>
      <c r="AMT32" s="583"/>
      <c r="AMU32" s="583"/>
      <c r="AMV32" s="583"/>
      <c r="AMW32" s="583"/>
      <c r="AMX32" s="583"/>
      <c r="AMY32" s="583"/>
      <c r="AMZ32" s="583"/>
      <c r="ANA32" s="583"/>
      <c r="ANB32" s="583"/>
      <c r="ANC32" s="583"/>
      <c r="AND32" s="583"/>
      <c r="ANE32" s="583"/>
      <c r="ANF32" s="583"/>
      <c r="ANG32" s="583"/>
      <c r="ANH32" s="583"/>
      <c r="ANI32" s="583"/>
      <c r="ANJ32" s="583"/>
      <c r="ANK32" s="583"/>
      <c r="ANL32" s="583"/>
      <c r="ANM32" s="583"/>
      <c r="ANN32" s="583"/>
      <c r="ANO32" s="583"/>
      <c r="ANP32" s="583"/>
      <c r="ANQ32" s="583"/>
      <c r="ANR32" s="583"/>
      <c r="ANS32" s="583"/>
      <c r="ANT32" s="583"/>
      <c r="ANU32" s="583"/>
      <c r="ANV32" s="583"/>
      <c r="ANW32" s="583"/>
      <c r="ANX32" s="583"/>
      <c r="ANY32" s="583"/>
      <c r="ANZ32" s="583"/>
      <c r="AOA32" s="583"/>
      <c r="AOB32" s="583"/>
      <c r="AOC32" s="583"/>
      <c r="AOD32" s="583"/>
      <c r="AOE32" s="583"/>
      <c r="AOF32" s="583"/>
      <c r="AOG32" s="583"/>
      <c r="AOH32" s="583"/>
      <c r="AOI32" s="583"/>
      <c r="AOJ32" s="583"/>
      <c r="AOK32" s="583"/>
      <c r="AOL32" s="583"/>
      <c r="AOM32" s="583"/>
      <c r="AON32" s="583"/>
      <c r="AOO32" s="583"/>
      <c r="AOP32" s="583"/>
      <c r="AOQ32" s="583"/>
      <c r="AOR32" s="583"/>
      <c r="AOS32" s="583"/>
      <c r="AOT32" s="583"/>
      <c r="AOU32" s="583"/>
      <c r="AOV32" s="583"/>
      <c r="AOW32" s="583"/>
      <c r="AOX32" s="583"/>
      <c r="AOY32" s="583"/>
      <c r="AOZ32" s="583"/>
      <c r="APA32" s="583"/>
      <c r="APB32" s="583"/>
      <c r="APC32" s="583"/>
      <c r="APD32" s="583"/>
      <c r="APE32" s="583"/>
      <c r="APF32" s="583"/>
      <c r="APG32" s="583"/>
      <c r="APH32" s="583"/>
      <c r="API32" s="583"/>
      <c r="APJ32" s="583"/>
      <c r="APK32" s="583"/>
      <c r="APL32" s="583"/>
      <c r="APM32" s="583"/>
      <c r="APN32" s="583"/>
      <c r="APO32" s="583"/>
      <c r="APP32" s="583"/>
      <c r="APQ32" s="583"/>
      <c r="APR32" s="583"/>
      <c r="APS32" s="583"/>
      <c r="APT32" s="583"/>
      <c r="APU32" s="583"/>
      <c r="APV32" s="583"/>
      <c r="APW32" s="583"/>
      <c r="APX32" s="583"/>
      <c r="APY32" s="583"/>
      <c r="APZ32" s="583"/>
      <c r="AQA32" s="583"/>
      <c r="AQB32" s="583"/>
      <c r="AQC32" s="583"/>
      <c r="AQD32" s="583"/>
      <c r="AQE32" s="583"/>
      <c r="AQF32" s="583"/>
      <c r="AQG32" s="583"/>
      <c r="AQH32" s="583"/>
      <c r="AQI32" s="583"/>
      <c r="AQJ32" s="583"/>
      <c r="AQK32" s="583"/>
      <c r="AQL32" s="583"/>
      <c r="AQM32" s="583"/>
      <c r="AQN32" s="583"/>
      <c r="AQO32" s="583"/>
      <c r="AQP32" s="583"/>
      <c r="AQQ32" s="583"/>
      <c r="AQR32" s="583"/>
      <c r="AQS32" s="583"/>
      <c r="AQT32" s="583"/>
      <c r="AQU32" s="583"/>
      <c r="AQV32" s="583"/>
      <c r="AQW32" s="583"/>
      <c r="AQX32" s="583"/>
      <c r="AQY32" s="583"/>
      <c r="AQZ32" s="583"/>
      <c r="ARA32" s="583"/>
      <c r="ARB32" s="583"/>
      <c r="ARC32" s="583"/>
      <c r="ARD32" s="583"/>
      <c r="ARE32" s="583"/>
      <c r="ARF32" s="583"/>
      <c r="ARG32" s="583"/>
      <c r="ARH32" s="583"/>
      <c r="ARI32" s="583"/>
      <c r="ARJ32" s="583"/>
      <c r="ARK32" s="583"/>
      <c r="ARL32" s="583"/>
      <c r="ARM32" s="583"/>
      <c r="ARN32" s="583"/>
      <c r="ARO32" s="583"/>
      <c r="ARP32" s="583"/>
      <c r="ARQ32" s="583"/>
      <c r="ARR32" s="583"/>
      <c r="ARS32" s="583"/>
      <c r="ART32" s="583"/>
      <c r="ARU32" s="583"/>
      <c r="ARV32" s="583"/>
      <c r="ARW32" s="583"/>
      <c r="ARX32" s="583"/>
      <c r="ARY32" s="583"/>
      <c r="ARZ32" s="583"/>
      <c r="ASA32" s="583"/>
      <c r="ASB32" s="583"/>
      <c r="ASC32" s="583"/>
      <c r="ASD32" s="583"/>
      <c r="ASE32" s="583"/>
      <c r="ASF32" s="583"/>
      <c r="ASG32" s="583"/>
      <c r="ASH32" s="583"/>
      <c r="ASI32" s="583"/>
      <c r="ASJ32" s="583"/>
      <c r="ASK32" s="583"/>
      <c r="ASL32" s="583"/>
      <c r="ASM32" s="583"/>
      <c r="ASN32" s="583"/>
      <c r="ASO32" s="583"/>
      <c r="ASP32" s="583"/>
      <c r="ASQ32" s="583"/>
      <c r="ASR32" s="583"/>
      <c r="ASS32" s="583"/>
      <c r="AST32" s="583"/>
      <c r="ASU32" s="583"/>
      <c r="ASV32" s="583"/>
      <c r="ASW32" s="583"/>
      <c r="ASX32" s="583"/>
      <c r="ASY32" s="583"/>
      <c r="ASZ32" s="583"/>
      <c r="ATA32" s="583"/>
      <c r="ATB32" s="583"/>
      <c r="ATC32" s="583"/>
      <c r="ATD32" s="583"/>
      <c r="ATE32" s="583"/>
      <c r="ATF32" s="583"/>
      <c r="ATG32" s="583"/>
      <c r="ATH32" s="583"/>
      <c r="ATI32" s="583"/>
      <c r="ATJ32" s="583"/>
      <c r="ATK32" s="583"/>
      <c r="ATL32" s="583"/>
      <c r="ATM32" s="583"/>
      <c r="ATN32" s="583"/>
      <c r="ATO32" s="583"/>
      <c r="ATP32" s="583"/>
      <c r="ATQ32" s="583"/>
      <c r="ATR32" s="583"/>
      <c r="ATS32" s="583"/>
      <c r="ATT32" s="583"/>
      <c r="ATU32" s="583"/>
      <c r="ATV32" s="583"/>
      <c r="ATW32" s="583"/>
      <c r="ATX32" s="583"/>
      <c r="ATY32" s="583"/>
      <c r="ATZ32" s="583"/>
      <c r="AUA32" s="583"/>
      <c r="AUB32" s="583"/>
      <c r="AUC32" s="583"/>
      <c r="AUD32" s="583"/>
      <c r="AUE32" s="583"/>
      <c r="AUF32" s="583"/>
      <c r="AUG32" s="583"/>
      <c r="AUH32" s="583"/>
      <c r="AUI32" s="583"/>
      <c r="AUJ32" s="583"/>
      <c r="AUK32" s="583"/>
      <c r="AUL32" s="583"/>
      <c r="AUM32" s="583"/>
      <c r="AUN32" s="583"/>
      <c r="AUO32" s="583"/>
      <c r="AUP32" s="583"/>
      <c r="AUQ32" s="583"/>
      <c r="AUR32" s="583"/>
      <c r="AUS32" s="583"/>
      <c r="AUT32" s="583"/>
      <c r="AUU32" s="583"/>
      <c r="AUV32" s="583"/>
      <c r="AUW32" s="583"/>
      <c r="AUX32" s="583"/>
      <c r="AUY32" s="583"/>
      <c r="AUZ32" s="583"/>
      <c r="AVA32" s="583"/>
      <c r="AVB32" s="583"/>
      <c r="AVC32" s="583"/>
      <c r="AVD32" s="583"/>
      <c r="AVE32" s="583"/>
      <c r="AVF32" s="583"/>
      <c r="AVG32" s="583"/>
      <c r="AVH32" s="583"/>
      <c r="AVI32" s="583"/>
      <c r="AVJ32" s="583"/>
      <c r="AVK32" s="583"/>
      <c r="AVL32" s="583"/>
      <c r="AVM32" s="583"/>
      <c r="AVN32" s="583"/>
      <c r="AVO32" s="583"/>
      <c r="AVP32" s="583"/>
      <c r="AVQ32" s="583"/>
      <c r="AVR32" s="583"/>
      <c r="AVS32" s="583"/>
      <c r="AVT32" s="583"/>
      <c r="AVU32" s="583"/>
      <c r="AVV32" s="583"/>
      <c r="AVW32" s="583"/>
      <c r="AVX32" s="583"/>
      <c r="AVY32" s="583"/>
      <c r="AVZ32" s="583"/>
      <c r="AWA32" s="583"/>
      <c r="AWB32" s="583"/>
      <c r="AWC32" s="583"/>
      <c r="AWD32" s="583"/>
      <c r="AWE32" s="583"/>
      <c r="AWF32" s="583"/>
      <c r="AWG32" s="583"/>
      <c r="AWH32" s="583"/>
      <c r="AWI32" s="583"/>
      <c r="AWJ32" s="583"/>
      <c r="AWK32" s="583"/>
      <c r="AWL32" s="583"/>
      <c r="AWM32" s="583"/>
      <c r="AWN32" s="583"/>
      <c r="AWO32" s="583"/>
      <c r="AWP32" s="583"/>
      <c r="AWQ32" s="583"/>
      <c r="AWR32" s="583"/>
      <c r="AWS32" s="583"/>
      <c r="AWT32" s="583"/>
      <c r="AWU32" s="583"/>
      <c r="AWV32" s="583"/>
      <c r="AWW32" s="583"/>
      <c r="AWX32" s="583"/>
      <c r="AWY32" s="583"/>
      <c r="AWZ32" s="583"/>
      <c r="AXA32" s="583"/>
      <c r="AXB32" s="583"/>
      <c r="AXC32" s="583"/>
      <c r="AXD32" s="583"/>
      <c r="AXE32" s="583"/>
      <c r="AXF32" s="583"/>
      <c r="AXG32" s="583"/>
      <c r="AXH32" s="583"/>
      <c r="AXI32" s="583"/>
      <c r="AXJ32" s="583"/>
      <c r="AXK32" s="583"/>
      <c r="AXL32" s="583"/>
      <c r="AXM32" s="583"/>
      <c r="AXN32" s="583"/>
      <c r="AXO32" s="583"/>
      <c r="AXP32" s="583"/>
      <c r="AXQ32" s="583"/>
      <c r="AXR32" s="583"/>
      <c r="AXS32" s="583"/>
      <c r="AXT32" s="583"/>
      <c r="AXU32" s="583"/>
      <c r="AXV32" s="583"/>
      <c r="AXW32" s="583"/>
      <c r="AXX32" s="583"/>
      <c r="AXY32" s="583"/>
      <c r="AXZ32" s="583"/>
      <c r="AYA32" s="583"/>
      <c r="AYB32" s="583"/>
      <c r="AYC32" s="583"/>
      <c r="AYD32" s="583"/>
      <c r="AYE32" s="583"/>
      <c r="AYF32" s="583"/>
      <c r="AYG32" s="583"/>
      <c r="AYH32" s="583"/>
      <c r="AYI32" s="583"/>
      <c r="AYJ32" s="583"/>
      <c r="AYK32" s="583"/>
      <c r="AYL32" s="583"/>
      <c r="AYM32" s="583"/>
      <c r="AYN32" s="583"/>
      <c r="AYO32" s="583"/>
      <c r="AYP32" s="583"/>
      <c r="AYQ32" s="583"/>
      <c r="AYR32" s="583"/>
      <c r="AYS32" s="583"/>
      <c r="AYT32" s="583"/>
      <c r="AYU32" s="583"/>
      <c r="AYV32" s="583"/>
      <c r="AYW32" s="583"/>
      <c r="AYX32" s="583"/>
      <c r="AYY32" s="583"/>
      <c r="AYZ32" s="583"/>
      <c r="AZA32" s="583"/>
      <c r="AZB32" s="583"/>
      <c r="AZC32" s="583"/>
      <c r="AZD32" s="583"/>
      <c r="AZE32" s="583"/>
      <c r="AZF32" s="583"/>
      <c r="AZG32" s="583"/>
      <c r="AZH32" s="583"/>
      <c r="AZI32" s="583"/>
      <c r="AZJ32" s="583"/>
      <c r="AZK32" s="583"/>
      <c r="AZL32" s="583"/>
      <c r="AZM32" s="583"/>
      <c r="AZN32" s="583"/>
      <c r="AZO32" s="583"/>
      <c r="AZP32" s="583"/>
      <c r="AZQ32" s="583"/>
      <c r="AZR32" s="583"/>
      <c r="AZS32" s="583"/>
      <c r="AZT32" s="583"/>
      <c r="AZU32" s="583"/>
      <c r="AZV32" s="583"/>
      <c r="AZW32" s="583"/>
      <c r="AZX32" s="583"/>
      <c r="AZY32" s="583"/>
      <c r="AZZ32" s="583"/>
      <c r="BAA32" s="583"/>
      <c r="BAB32" s="583"/>
      <c r="BAC32" s="583"/>
      <c r="BAD32" s="583"/>
      <c r="BAE32" s="583"/>
      <c r="BAF32" s="583"/>
      <c r="BAG32" s="583"/>
      <c r="BAH32" s="583"/>
      <c r="BAI32" s="583"/>
      <c r="BAJ32" s="583"/>
      <c r="BAK32" s="583"/>
      <c r="BAL32" s="583"/>
      <c r="BAM32" s="583"/>
      <c r="BAN32" s="583"/>
      <c r="BAO32" s="583"/>
      <c r="BAP32" s="583"/>
      <c r="BAQ32" s="583"/>
      <c r="BAR32" s="583"/>
      <c r="BAS32" s="583"/>
      <c r="BAT32" s="583"/>
      <c r="BAU32" s="583"/>
      <c r="BAV32" s="583"/>
      <c r="BAW32" s="583"/>
      <c r="BAX32" s="583"/>
      <c r="BAY32" s="583"/>
      <c r="BAZ32" s="583"/>
      <c r="BBA32" s="583"/>
      <c r="BBB32" s="583"/>
      <c r="BBC32" s="583"/>
      <c r="BBD32" s="583"/>
      <c r="BBE32" s="583"/>
      <c r="BBF32" s="583"/>
      <c r="BBG32" s="583"/>
      <c r="BBH32" s="583"/>
      <c r="BBI32" s="583"/>
      <c r="BBJ32" s="583"/>
      <c r="BBK32" s="583"/>
      <c r="BBL32" s="583"/>
      <c r="BBM32" s="583"/>
      <c r="BBN32" s="583"/>
      <c r="BBO32" s="583"/>
      <c r="BBP32" s="583"/>
      <c r="BBQ32" s="583"/>
      <c r="BBR32" s="583"/>
      <c r="BBS32" s="583"/>
      <c r="BBT32" s="583"/>
      <c r="BBU32" s="583"/>
      <c r="BBV32" s="583"/>
      <c r="BBW32" s="583"/>
      <c r="BBX32" s="583"/>
      <c r="BBY32" s="583"/>
      <c r="BBZ32" s="583"/>
      <c r="BCA32" s="583"/>
      <c r="BCB32" s="583"/>
      <c r="BCC32" s="583"/>
      <c r="BCD32" s="583"/>
      <c r="BCE32" s="583"/>
      <c r="BCF32" s="583"/>
      <c r="BCG32" s="583"/>
      <c r="BCH32" s="583"/>
      <c r="BCI32" s="583"/>
      <c r="BCJ32" s="583"/>
      <c r="BCK32" s="583"/>
      <c r="BCL32" s="583"/>
      <c r="BCM32" s="583"/>
      <c r="BCN32" s="583"/>
      <c r="BCO32" s="583"/>
      <c r="BCP32" s="583"/>
      <c r="BCQ32" s="583"/>
      <c r="BCR32" s="583"/>
      <c r="BCS32" s="583"/>
      <c r="BCT32" s="583"/>
      <c r="BCU32" s="583"/>
      <c r="BCV32" s="583"/>
      <c r="BCW32" s="583"/>
      <c r="BCX32" s="583"/>
      <c r="BCY32" s="583"/>
      <c r="BCZ32" s="583"/>
      <c r="BDA32" s="583"/>
      <c r="BDB32" s="583"/>
      <c r="BDC32" s="583"/>
      <c r="BDD32" s="583"/>
      <c r="BDE32" s="583"/>
      <c r="BDF32" s="583"/>
      <c r="BDG32" s="583"/>
      <c r="BDH32" s="583"/>
      <c r="BDI32" s="583"/>
      <c r="BDJ32" s="583"/>
      <c r="BDK32" s="583"/>
      <c r="BDL32" s="583"/>
      <c r="BDM32" s="583"/>
      <c r="BDN32" s="583"/>
      <c r="BDO32" s="583"/>
      <c r="BDP32" s="583"/>
      <c r="BDQ32" s="583"/>
      <c r="BDR32" s="583"/>
      <c r="BDS32" s="583"/>
      <c r="BDT32" s="583"/>
      <c r="BDU32" s="583"/>
      <c r="BDV32" s="583"/>
      <c r="BDW32" s="583"/>
      <c r="BDX32" s="583"/>
      <c r="BDY32" s="583"/>
      <c r="BDZ32" s="583"/>
      <c r="BEA32" s="583"/>
      <c r="BEB32" s="583"/>
      <c r="BEC32" s="583"/>
      <c r="BED32" s="583"/>
      <c r="BEE32" s="583"/>
      <c r="BEF32" s="583"/>
      <c r="BEG32" s="583"/>
      <c r="BEH32" s="583"/>
      <c r="BEI32" s="583"/>
      <c r="BEJ32" s="583"/>
      <c r="BEK32" s="583"/>
      <c r="BEL32" s="583"/>
      <c r="BEM32" s="583"/>
      <c r="BEN32" s="583"/>
      <c r="BEO32" s="583"/>
      <c r="BEP32" s="583"/>
      <c r="BEQ32" s="583"/>
      <c r="BER32" s="583"/>
      <c r="BES32" s="583"/>
      <c r="BET32" s="583"/>
      <c r="BEU32" s="583"/>
      <c r="BEV32" s="583"/>
      <c r="BEW32" s="583"/>
      <c r="BEX32" s="583"/>
      <c r="BEY32" s="583"/>
      <c r="BEZ32" s="583"/>
      <c r="BFA32" s="583"/>
      <c r="BFB32" s="583"/>
      <c r="BFC32" s="583"/>
      <c r="BFD32" s="583"/>
      <c r="BFE32" s="583"/>
      <c r="BFF32" s="583"/>
      <c r="BFG32" s="583"/>
      <c r="BFH32" s="583"/>
      <c r="BFI32" s="583"/>
      <c r="BFJ32" s="583"/>
      <c r="BFK32" s="583"/>
      <c r="BFL32" s="583"/>
      <c r="BFM32" s="583"/>
      <c r="BFN32" s="583"/>
      <c r="BFO32" s="583"/>
      <c r="BFP32" s="583"/>
      <c r="BFQ32" s="583"/>
      <c r="BFR32" s="583"/>
      <c r="BFS32" s="583"/>
      <c r="BFT32" s="583"/>
      <c r="BFU32" s="583"/>
      <c r="BFV32" s="583"/>
      <c r="BFW32" s="583"/>
      <c r="BFX32" s="583"/>
      <c r="BFY32" s="583"/>
      <c r="BFZ32" s="583"/>
      <c r="BGA32" s="583"/>
      <c r="BGB32" s="583"/>
      <c r="BGC32" s="583"/>
      <c r="BGD32" s="583"/>
      <c r="BGE32" s="583"/>
      <c r="BGF32" s="583"/>
      <c r="BGG32" s="583"/>
      <c r="BGH32" s="583"/>
      <c r="BGI32" s="583"/>
      <c r="BGJ32" s="583"/>
      <c r="BGK32" s="583"/>
      <c r="BGL32" s="583"/>
      <c r="BGM32" s="583"/>
      <c r="BGN32" s="583"/>
      <c r="BGO32" s="583"/>
      <c r="BGP32" s="583"/>
      <c r="BGQ32" s="583"/>
      <c r="BGR32" s="583"/>
      <c r="BGS32" s="583"/>
      <c r="BGT32" s="583"/>
      <c r="BGU32" s="583"/>
      <c r="BGV32" s="583"/>
      <c r="BGW32" s="583"/>
      <c r="BGX32" s="583"/>
      <c r="BGY32" s="583"/>
      <c r="BGZ32" s="583"/>
      <c r="BHA32" s="583"/>
      <c r="BHB32" s="583"/>
      <c r="BHC32" s="583"/>
      <c r="BHD32" s="583"/>
      <c r="BHE32" s="583"/>
      <c r="BHF32" s="583"/>
      <c r="BHG32" s="583"/>
      <c r="BHH32" s="583"/>
      <c r="BHI32" s="583"/>
      <c r="BHJ32" s="583"/>
      <c r="BHK32" s="583"/>
      <c r="BHL32" s="583"/>
      <c r="BHM32" s="583"/>
      <c r="BHN32" s="583"/>
      <c r="BHO32" s="583"/>
      <c r="BHP32" s="583"/>
      <c r="BHQ32" s="583"/>
      <c r="BHR32" s="583"/>
      <c r="BHS32" s="583"/>
      <c r="BHT32" s="583"/>
      <c r="BHU32" s="583"/>
      <c r="BHV32" s="583"/>
      <c r="BHW32" s="583"/>
      <c r="BHX32" s="583"/>
      <c r="BHY32" s="583"/>
      <c r="BHZ32" s="583"/>
      <c r="BIA32" s="583"/>
      <c r="BIB32" s="583"/>
      <c r="BIC32" s="583"/>
      <c r="BID32" s="583"/>
      <c r="BIE32" s="583"/>
      <c r="BIF32" s="583"/>
      <c r="BIG32" s="583"/>
      <c r="BIH32" s="583"/>
      <c r="BII32" s="583"/>
      <c r="BIJ32" s="583"/>
      <c r="BIK32" s="583"/>
      <c r="BIL32" s="583"/>
      <c r="BIM32" s="583"/>
      <c r="BIN32" s="583"/>
      <c r="BIO32" s="583"/>
      <c r="BIP32" s="583"/>
      <c r="BIQ32" s="583"/>
      <c r="BIR32" s="583"/>
      <c r="BIS32" s="583"/>
      <c r="BIT32" s="583"/>
      <c r="BIU32" s="583"/>
      <c r="BIV32" s="583"/>
      <c r="BIW32" s="583"/>
      <c r="BIX32" s="583"/>
      <c r="BIY32" s="583"/>
      <c r="BIZ32" s="583"/>
      <c r="BJA32" s="583"/>
      <c r="BJB32" s="583"/>
      <c r="BJC32" s="583"/>
      <c r="BJD32" s="583"/>
      <c r="BJE32" s="583"/>
      <c r="BJF32" s="583"/>
      <c r="BJG32" s="583"/>
      <c r="BJH32" s="583"/>
      <c r="BJI32" s="583"/>
      <c r="BJJ32" s="583"/>
      <c r="BJK32" s="583"/>
      <c r="BJL32" s="583"/>
      <c r="BJM32" s="583"/>
      <c r="BJN32" s="583"/>
      <c r="BJO32" s="583"/>
      <c r="BJP32" s="583"/>
      <c r="BJQ32" s="583"/>
      <c r="BJR32" s="583"/>
      <c r="BJS32" s="583"/>
      <c r="BJT32" s="583"/>
      <c r="BJU32" s="583"/>
      <c r="BJV32" s="583"/>
      <c r="BJW32" s="583"/>
      <c r="BJX32" s="583"/>
      <c r="BJY32" s="583"/>
      <c r="BJZ32" s="583"/>
      <c r="BKA32" s="583"/>
      <c r="BKB32" s="583"/>
      <c r="BKC32" s="583"/>
      <c r="BKD32" s="583"/>
      <c r="BKE32" s="583"/>
      <c r="BKF32" s="583"/>
      <c r="BKG32" s="583"/>
      <c r="BKH32" s="583"/>
      <c r="BKI32" s="583"/>
      <c r="BKJ32" s="583"/>
      <c r="BKK32" s="583"/>
      <c r="BKL32" s="583"/>
      <c r="BKM32" s="583"/>
      <c r="BKN32" s="583"/>
      <c r="BKO32" s="583"/>
      <c r="BKP32" s="583"/>
      <c r="BKQ32" s="583"/>
      <c r="BKR32" s="583"/>
      <c r="BKS32" s="583"/>
      <c r="BKT32" s="583"/>
      <c r="BKU32" s="583"/>
      <c r="BKV32" s="583"/>
      <c r="BKW32" s="583"/>
      <c r="BKX32" s="583"/>
      <c r="BKY32" s="583"/>
      <c r="BKZ32" s="583"/>
      <c r="BLA32" s="583"/>
      <c r="BLB32" s="583"/>
      <c r="BLC32" s="583"/>
      <c r="BLD32" s="583"/>
      <c r="BLE32" s="583"/>
      <c r="BLF32" s="583"/>
      <c r="BLG32" s="583"/>
      <c r="BLH32" s="583"/>
      <c r="BLI32" s="583"/>
      <c r="BLJ32" s="583"/>
      <c r="BLK32" s="583"/>
      <c r="BLL32" s="583"/>
      <c r="BLM32" s="583"/>
      <c r="BLN32" s="583"/>
      <c r="BLO32" s="583"/>
      <c r="BLP32" s="583"/>
      <c r="BLQ32" s="583"/>
      <c r="BLR32" s="583"/>
      <c r="BLS32" s="583"/>
      <c r="BLT32" s="583"/>
      <c r="BLU32" s="583"/>
      <c r="BLV32" s="583"/>
      <c r="BLW32" s="583"/>
      <c r="BLX32" s="583"/>
      <c r="BLY32" s="583"/>
      <c r="BLZ32" s="583"/>
      <c r="BMA32" s="583"/>
      <c r="BMB32" s="583"/>
      <c r="BMC32" s="583"/>
      <c r="BMD32" s="583"/>
      <c r="BME32" s="583"/>
      <c r="BMF32" s="583"/>
      <c r="BMG32" s="583"/>
      <c r="BMH32" s="583"/>
      <c r="BMI32" s="583"/>
      <c r="BMJ32" s="583"/>
      <c r="BMK32" s="583"/>
      <c r="BML32" s="583"/>
      <c r="BMM32" s="583"/>
      <c r="BMN32" s="583"/>
      <c r="BMO32" s="583"/>
      <c r="BMP32" s="583"/>
      <c r="BMQ32" s="583"/>
      <c r="BMR32" s="583"/>
      <c r="BMS32" s="583"/>
      <c r="BMT32" s="583"/>
      <c r="BMU32" s="583"/>
      <c r="BMV32" s="583"/>
      <c r="BMW32" s="583"/>
      <c r="BMX32" s="583"/>
      <c r="BMY32" s="583"/>
      <c r="BMZ32" s="583"/>
      <c r="BNA32" s="583"/>
      <c r="BNB32" s="583"/>
      <c r="BNC32" s="583"/>
      <c r="BND32" s="583"/>
      <c r="BNE32" s="583"/>
      <c r="BNF32" s="583"/>
      <c r="BNG32" s="583"/>
      <c r="BNH32" s="583"/>
      <c r="BNI32" s="583"/>
      <c r="BNJ32" s="583"/>
      <c r="BNK32" s="583"/>
      <c r="BNL32" s="583"/>
      <c r="BNM32" s="583"/>
      <c r="BNN32" s="583"/>
      <c r="BNO32" s="583"/>
      <c r="BNP32" s="583"/>
      <c r="BNQ32" s="583"/>
      <c r="BNR32" s="583"/>
      <c r="BNS32" s="583"/>
      <c r="BNT32" s="583"/>
      <c r="BNU32" s="583"/>
      <c r="BNV32" s="583"/>
      <c r="BNW32" s="583"/>
      <c r="BNX32" s="583"/>
      <c r="BNY32" s="583"/>
      <c r="BNZ32" s="583"/>
      <c r="BOA32" s="583"/>
      <c r="BOB32" s="583"/>
      <c r="BOC32" s="583"/>
      <c r="BOD32" s="583"/>
      <c r="BOE32" s="583"/>
      <c r="BOF32" s="583"/>
      <c r="BOG32" s="583"/>
      <c r="BOH32" s="583"/>
      <c r="BOI32" s="583"/>
      <c r="BOJ32" s="583"/>
      <c r="BOK32" s="583"/>
      <c r="BOL32" s="583"/>
      <c r="BOM32" s="583"/>
      <c r="BON32" s="583"/>
      <c r="BOO32" s="583"/>
      <c r="BOP32" s="583"/>
      <c r="BOQ32" s="583"/>
      <c r="BOR32" s="583"/>
      <c r="BOS32" s="583"/>
      <c r="BOT32" s="583"/>
      <c r="BOU32" s="583"/>
      <c r="BOV32" s="583"/>
      <c r="BOW32" s="583"/>
      <c r="BOX32" s="583"/>
      <c r="BOY32" s="583"/>
      <c r="BOZ32" s="583"/>
      <c r="BPA32" s="583"/>
      <c r="BPB32" s="583"/>
      <c r="BPC32" s="583"/>
      <c r="BPD32" s="583"/>
      <c r="BPE32" s="583"/>
      <c r="BPF32" s="583"/>
      <c r="BPG32" s="583"/>
      <c r="BPH32" s="583"/>
      <c r="BPI32" s="583"/>
      <c r="BPJ32" s="583"/>
      <c r="BPK32" s="583"/>
      <c r="BPL32" s="583"/>
      <c r="BPM32" s="583"/>
      <c r="BPN32" s="583"/>
      <c r="BPO32" s="583"/>
      <c r="BPP32" s="583"/>
      <c r="BPQ32" s="583"/>
      <c r="BPR32" s="583"/>
      <c r="BPS32" s="583"/>
      <c r="BPT32" s="583"/>
      <c r="BPU32" s="583"/>
      <c r="BPV32" s="583"/>
      <c r="BPW32" s="583"/>
      <c r="BPX32" s="583"/>
      <c r="BPY32" s="583"/>
      <c r="BPZ32" s="583"/>
      <c r="BQA32" s="583"/>
      <c r="BQB32" s="583"/>
      <c r="BQC32" s="583"/>
      <c r="BQD32" s="583"/>
      <c r="BQE32" s="583"/>
      <c r="BQF32" s="583"/>
      <c r="BQG32" s="583"/>
      <c r="BQH32" s="583"/>
      <c r="BQI32" s="583"/>
      <c r="BQJ32" s="583"/>
      <c r="BQK32" s="583"/>
      <c r="BQL32" s="583"/>
      <c r="BQM32" s="583"/>
      <c r="BQN32" s="583"/>
      <c r="BQO32" s="583"/>
      <c r="BQP32" s="583"/>
      <c r="BQQ32" s="583"/>
      <c r="BQR32" s="583"/>
      <c r="BQS32" s="583"/>
      <c r="BQT32" s="583"/>
      <c r="BQU32" s="583"/>
      <c r="BQV32" s="583"/>
      <c r="BQW32" s="583"/>
      <c r="BQX32" s="583"/>
      <c r="BQY32" s="583"/>
      <c r="BQZ32" s="583"/>
      <c r="BRA32" s="583"/>
      <c r="BRB32" s="583"/>
      <c r="BRC32" s="583"/>
      <c r="BRD32" s="583"/>
      <c r="BRE32" s="583"/>
      <c r="BRF32" s="583"/>
      <c r="BRG32" s="583"/>
      <c r="BRH32" s="583"/>
      <c r="BRI32" s="583"/>
      <c r="BRJ32" s="583"/>
      <c r="BRK32" s="583"/>
      <c r="BRL32" s="583"/>
      <c r="BRM32" s="583"/>
      <c r="BRN32" s="583"/>
      <c r="BRO32" s="583"/>
      <c r="BRP32" s="583"/>
      <c r="BRQ32" s="583"/>
      <c r="BRR32" s="583"/>
      <c r="BRS32" s="583"/>
      <c r="BRT32" s="583"/>
      <c r="BRU32" s="583"/>
      <c r="BRV32" s="583"/>
      <c r="BRW32" s="583"/>
      <c r="BRX32" s="583"/>
      <c r="BRY32" s="583"/>
      <c r="BRZ32" s="583"/>
      <c r="BSA32" s="583"/>
      <c r="BSB32" s="583"/>
      <c r="BSC32" s="583"/>
      <c r="BSD32" s="583"/>
      <c r="BSE32" s="583"/>
      <c r="BSF32" s="583"/>
      <c r="BSG32" s="583"/>
      <c r="BSH32" s="583"/>
      <c r="BSI32" s="583"/>
      <c r="BSJ32" s="583"/>
      <c r="BSK32" s="583"/>
      <c r="BSL32" s="583"/>
      <c r="BSM32" s="583"/>
      <c r="BSN32" s="583"/>
      <c r="BSO32" s="583"/>
      <c r="BSP32" s="583"/>
      <c r="BSQ32" s="583"/>
      <c r="BSR32" s="583"/>
      <c r="BSS32" s="583"/>
      <c r="BST32" s="583"/>
      <c r="BSU32" s="583"/>
      <c r="BSV32" s="583"/>
      <c r="BSW32" s="583"/>
      <c r="BSX32" s="583"/>
      <c r="BSY32" s="583"/>
      <c r="BSZ32" s="583"/>
      <c r="BTA32" s="583"/>
      <c r="BTB32" s="583"/>
      <c r="BTC32" s="583"/>
      <c r="BTD32" s="583"/>
      <c r="BTE32" s="583"/>
      <c r="BTF32" s="583"/>
      <c r="BTG32" s="583"/>
      <c r="BTH32" s="583"/>
      <c r="BTI32" s="583"/>
      <c r="BTJ32" s="583"/>
      <c r="BTK32" s="583"/>
      <c r="BTL32" s="583"/>
      <c r="BTM32" s="583"/>
      <c r="BTN32" s="583"/>
      <c r="BTO32" s="583"/>
      <c r="BTP32" s="583"/>
      <c r="BTQ32" s="583"/>
      <c r="BTR32" s="583"/>
      <c r="BTS32" s="583"/>
      <c r="BTT32" s="583"/>
      <c r="BTU32" s="583"/>
      <c r="BTV32" s="583"/>
      <c r="BTW32" s="583"/>
      <c r="BTX32" s="583"/>
      <c r="BTY32" s="583"/>
      <c r="BTZ32" s="583"/>
      <c r="BUA32" s="583"/>
      <c r="BUB32" s="583"/>
      <c r="BUC32" s="583"/>
      <c r="BUD32" s="583"/>
      <c r="BUE32" s="583"/>
      <c r="BUF32" s="583"/>
      <c r="BUG32" s="583"/>
      <c r="BUH32" s="583"/>
      <c r="BUI32" s="583"/>
      <c r="BUJ32" s="583"/>
      <c r="BUK32" s="583"/>
      <c r="BUL32" s="583"/>
      <c r="BUM32" s="583"/>
      <c r="BUN32" s="583"/>
      <c r="BUO32" s="583"/>
      <c r="BUP32" s="583"/>
      <c r="BUQ32" s="583"/>
      <c r="BUR32" s="583"/>
      <c r="BUS32" s="583"/>
      <c r="BUT32" s="583"/>
      <c r="BUU32" s="583"/>
      <c r="BUV32" s="583"/>
      <c r="BUW32" s="583"/>
      <c r="BUX32" s="583"/>
      <c r="BUY32" s="583"/>
      <c r="BUZ32" s="583"/>
      <c r="BVA32" s="583"/>
      <c r="BVB32" s="583"/>
      <c r="BVC32" s="583"/>
      <c r="BVD32" s="583"/>
      <c r="BVE32" s="583"/>
      <c r="BVF32" s="583"/>
      <c r="BVG32" s="583"/>
      <c r="BVH32" s="583"/>
      <c r="BVI32" s="583"/>
      <c r="BVJ32" s="583"/>
      <c r="BVK32" s="583"/>
      <c r="BVL32" s="583"/>
      <c r="BVM32" s="583"/>
      <c r="BVN32" s="583"/>
      <c r="BVO32" s="583"/>
      <c r="BVP32" s="583"/>
      <c r="BVQ32" s="583"/>
      <c r="BVR32" s="583"/>
      <c r="BVS32" s="583"/>
      <c r="BVT32" s="583"/>
      <c r="BVU32" s="583"/>
      <c r="BVV32" s="583"/>
      <c r="BVW32" s="583"/>
      <c r="BVX32" s="583"/>
      <c r="BVY32" s="583"/>
      <c r="BVZ32" s="583"/>
      <c r="BWA32" s="583"/>
      <c r="BWB32" s="583"/>
      <c r="BWC32" s="583"/>
      <c r="BWD32" s="583"/>
      <c r="BWE32" s="583"/>
      <c r="BWF32" s="583"/>
      <c r="BWG32" s="583"/>
      <c r="BWH32" s="583"/>
      <c r="BWI32" s="583"/>
      <c r="BWJ32" s="583"/>
      <c r="BWK32" s="583"/>
      <c r="BWL32" s="583"/>
      <c r="BWM32" s="583"/>
      <c r="BWN32" s="583"/>
      <c r="BWO32" s="583"/>
      <c r="BWP32" s="583"/>
      <c r="BWQ32" s="583"/>
      <c r="BWR32" s="583"/>
      <c r="BWS32" s="583"/>
      <c r="BWT32" s="583"/>
      <c r="BWU32" s="583"/>
      <c r="BWV32" s="583"/>
      <c r="BWW32" s="583"/>
      <c r="BWX32" s="583"/>
      <c r="BWY32" s="583"/>
      <c r="BWZ32" s="583"/>
      <c r="BXA32" s="583"/>
      <c r="BXB32" s="583"/>
      <c r="BXC32" s="583"/>
      <c r="BXD32" s="583"/>
      <c r="BXE32" s="583"/>
      <c r="BXF32" s="583"/>
      <c r="BXG32" s="583"/>
      <c r="BXH32" s="583"/>
      <c r="BXI32" s="583"/>
      <c r="BXJ32" s="583"/>
      <c r="BXK32" s="583"/>
      <c r="BXL32" s="583"/>
      <c r="BXM32" s="583"/>
      <c r="BXN32" s="583"/>
      <c r="BXO32" s="583"/>
      <c r="BXP32" s="583"/>
      <c r="BXQ32" s="583"/>
      <c r="BXR32" s="583"/>
      <c r="BXS32" s="583"/>
      <c r="BXT32" s="583"/>
      <c r="BXU32" s="583"/>
      <c r="BXV32" s="583"/>
      <c r="BXW32" s="583"/>
      <c r="BXX32" s="583"/>
      <c r="BXY32" s="583"/>
      <c r="BXZ32" s="583"/>
      <c r="BYA32" s="583"/>
      <c r="BYB32" s="583"/>
      <c r="BYC32" s="583"/>
      <c r="BYD32" s="583"/>
      <c r="BYE32" s="583"/>
      <c r="BYF32" s="583"/>
      <c r="BYG32" s="583"/>
      <c r="BYH32" s="583"/>
      <c r="BYI32" s="583"/>
      <c r="BYJ32" s="583"/>
      <c r="BYK32" s="583"/>
      <c r="BYL32" s="583"/>
      <c r="BYM32" s="583"/>
      <c r="BYN32" s="583"/>
      <c r="BYO32" s="583"/>
      <c r="BYP32" s="583"/>
      <c r="BYQ32" s="583"/>
      <c r="BYR32" s="583"/>
      <c r="BYS32" s="583"/>
      <c r="BYT32" s="583"/>
      <c r="BYU32" s="583"/>
      <c r="BYV32" s="583"/>
      <c r="BYW32" s="583"/>
      <c r="BYX32" s="583"/>
      <c r="BYY32" s="583"/>
      <c r="BYZ32" s="583"/>
      <c r="BZA32" s="583"/>
      <c r="BZB32" s="583"/>
      <c r="BZC32" s="583"/>
      <c r="BZD32" s="583"/>
      <c r="BZE32" s="583"/>
      <c r="BZF32" s="583"/>
      <c r="BZG32" s="583"/>
      <c r="BZH32" s="583"/>
      <c r="BZI32" s="583"/>
      <c r="BZJ32" s="583"/>
      <c r="BZK32" s="583"/>
      <c r="BZL32" s="583"/>
      <c r="BZM32" s="583"/>
      <c r="BZN32" s="583"/>
      <c r="BZO32" s="583"/>
      <c r="BZP32" s="583"/>
      <c r="BZQ32" s="583"/>
      <c r="BZR32" s="583"/>
      <c r="BZS32" s="583"/>
      <c r="BZT32" s="583"/>
      <c r="BZU32" s="583"/>
      <c r="BZV32" s="583"/>
      <c r="BZW32" s="583"/>
      <c r="BZX32" s="583"/>
      <c r="BZY32" s="583"/>
      <c r="BZZ32" s="583"/>
      <c r="CAA32" s="583"/>
      <c r="CAB32" s="583"/>
      <c r="CAC32" s="583"/>
      <c r="CAD32" s="583"/>
      <c r="CAE32" s="583"/>
      <c r="CAF32" s="583"/>
      <c r="CAG32" s="583"/>
      <c r="CAH32" s="583"/>
      <c r="CAI32" s="583"/>
      <c r="CAJ32" s="583"/>
      <c r="CAK32" s="583"/>
      <c r="CAL32" s="583"/>
      <c r="CAM32" s="583"/>
      <c r="CAN32" s="583"/>
      <c r="CAO32" s="583"/>
      <c r="CAP32" s="583"/>
      <c r="CAQ32" s="583"/>
      <c r="CAR32" s="583"/>
      <c r="CAS32" s="583"/>
      <c r="CAT32" s="583"/>
      <c r="CAU32" s="583"/>
      <c r="CAV32" s="583"/>
      <c r="CAW32" s="583"/>
      <c r="CAX32" s="583"/>
      <c r="CAY32" s="583"/>
      <c r="CAZ32" s="583"/>
      <c r="CBA32" s="583"/>
      <c r="CBB32" s="583"/>
      <c r="CBC32" s="583"/>
      <c r="CBD32" s="583"/>
      <c r="CBE32" s="583"/>
      <c r="CBF32" s="583"/>
      <c r="CBG32" s="583"/>
      <c r="CBH32" s="583"/>
      <c r="CBI32" s="583"/>
      <c r="CBJ32" s="583"/>
      <c r="CBK32" s="583"/>
      <c r="CBL32" s="583"/>
      <c r="CBM32" s="583"/>
      <c r="CBN32" s="583"/>
      <c r="CBO32" s="583"/>
      <c r="CBP32" s="583"/>
      <c r="CBQ32" s="583"/>
      <c r="CBR32" s="583"/>
      <c r="CBS32" s="583"/>
      <c r="CBT32" s="583"/>
      <c r="CBU32" s="583"/>
      <c r="CBV32" s="583"/>
      <c r="CBW32" s="583"/>
      <c r="CBX32" s="583"/>
      <c r="CBY32" s="583"/>
      <c r="CBZ32" s="583"/>
    </row>
    <row r="33" spans="1:2106" ht="15.75" customHeight="1">
      <c r="A33" s="611"/>
      <c r="B33" s="620"/>
      <c r="C33" s="613">
        <f t="shared" si="0"/>
        <v>0</v>
      </c>
      <c r="D33" s="613">
        <f>IF(B33&gt;0,VLOOKUP(A33,'Lista Suspensa'!$A$1:$F$92,3,),0)</f>
        <v>0</v>
      </c>
      <c r="E33" s="613">
        <f>IF(OR(B33&gt;0,C33&gt;0),VLOOKUP(A33,'Lista Suspensa'!$A$1:$F$90,4,),0)</f>
        <v>0</v>
      </c>
      <c r="F33" s="613">
        <f>IF(OR(B33&gt;0,C33&gt;0),VLOOKUP(A33,'Lista Suspensa'!$A$1:$F$90,5,),0)</f>
        <v>0</v>
      </c>
      <c r="G33" s="402">
        <f>IF(OR(B33&gt;0,C33&gt;0),VLOOKUP(A33,'Lista Suspensa'!$A$1:$F$90,6,),0)</f>
        <v>0</v>
      </c>
      <c r="H33" s="617"/>
      <c r="I33" s="613">
        <f t="shared" si="12"/>
        <v>0</v>
      </c>
      <c r="J33" s="613">
        <f>IF(H33&gt;0,VLOOKUP(A33,'Lista Suspensa'!$A$1:$F$92,3,),0)</f>
        <v>0</v>
      </c>
      <c r="K33" s="613">
        <f>IF(OR(H33&gt;0,I33&gt;0),VLOOKUP(A33,'Lista Suspensa'!$A$1:$F$90,4,),0)</f>
        <v>0</v>
      </c>
      <c r="L33" s="613">
        <f>IF(OR(H33&gt;0,I33&gt;0),VLOOKUP(A33,'Lista Suspensa'!$A$1:$F$90,5,),0)</f>
        <v>0</v>
      </c>
      <c r="M33" s="402">
        <f>IF(OR(H33&gt;0,I33&gt;0),VLOOKUP(A33,'Lista Suspensa'!$A$1:$F$90,6,),0)</f>
        <v>0</v>
      </c>
      <c r="N33" s="626"/>
      <c r="O33" s="613">
        <f t="shared" si="1"/>
        <v>0</v>
      </c>
      <c r="P33" s="613">
        <f>IF(N33&gt;0,VLOOKUP(A33,'Lista Suspensa'!$A$1:$F$92,3,),0)</f>
        <v>0</v>
      </c>
      <c r="Q33" s="613">
        <f>IF(OR(N33&gt;0,O33&gt;0),VLOOKUP(A33,'Lista Suspensa'!$A$1:$F$90,4,),0)</f>
        <v>0</v>
      </c>
      <c r="R33" s="613">
        <f>IF(OR(N33&gt;0,O33&gt;0),VLOOKUP(A33,'Lista Suspensa'!$A$1:$F$90,5,),0)</f>
        <v>0</v>
      </c>
      <c r="S33" s="402">
        <f>IF(OR(N33&gt;0,O33&gt;0),VLOOKUP(A33,'Lista Suspensa'!$A$1:$F$90,6,),0)</f>
        <v>0</v>
      </c>
      <c r="T33" s="626"/>
      <c r="U33" s="613">
        <f t="shared" si="2"/>
        <v>0</v>
      </c>
      <c r="V33" s="613">
        <f>IF(T33&gt;0,VLOOKUP(A33,'Lista Suspensa'!$A$1:$F$92,3,),0)</f>
        <v>0</v>
      </c>
      <c r="W33" s="613">
        <f>IF(OR(T33&gt;0,U33&gt;0),VLOOKUP(A33,'Lista Suspensa'!$A$1:$F$90,4,),0)</f>
        <v>0</v>
      </c>
      <c r="X33" s="613">
        <f>IF(OR(T33&gt;0,U33&gt;0),VLOOKUP(A33,'Lista Suspensa'!$A$1:$F$90,5,),0)</f>
        <v>0</v>
      </c>
      <c r="Y33" s="402">
        <f>IF(OR(T33&gt;0,U33&gt;0),VLOOKUP(A33,'Lista Suspensa'!$A$1:$F$90,6,),0)</f>
        <v>0</v>
      </c>
      <c r="Z33" s="620"/>
      <c r="AA33" s="613">
        <f t="shared" si="3"/>
        <v>0</v>
      </c>
      <c r="AB33" s="613">
        <f>IF(Z33&gt;0,VLOOKUP(A33,'Lista Suspensa'!$A$1:$F$92,3,),0)</f>
        <v>0</v>
      </c>
      <c r="AC33" s="613">
        <f>IF(OR(Z33&gt;0,AA33&gt;0),VLOOKUP(A33,'Lista Suspensa'!$A$1:$F$90,4,),0)</f>
        <v>0</v>
      </c>
      <c r="AD33" s="613">
        <f>IF(OR(Z33&gt;0,AA33&gt;0),VLOOKUP(A33,'Lista Suspensa'!$A$1:$F$90,5,),0)</f>
        <v>0</v>
      </c>
      <c r="AE33" s="402">
        <f>IF(OR(Z33&gt;0,AA33&gt;0),VLOOKUP(A33,'Lista Suspensa'!$A$1:$F$90,6,),0)</f>
        <v>0</v>
      </c>
      <c r="AF33" s="620"/>
      <c r="AG33" s="613">
        <f t="shared" si="13"/>
        <v>0</v>
      </c>
      <c r="AH33" s="613">
        <f>IF(AF33&gt;0,VLOOKUP(A33,'Lista Suspensa'!$A$1:$F$92,3,),0)</f>
        <v>0</v>
      </c>
      <c r="AI33" s="613">
        <f>IF(OR(AF33&gt;0,AG33&gt;0),VLOOKUP(A33,'Lista Suspensa'!$A$1:$F$90,4,),0)</f>
        <v>0</v>
      </c>
      <c r="AJ33" s="613">
        <f>IF(OR(AF33&gt;0,AG33&gt;0),VLOOKUP(A33,'Lista Suspensa'!$A$1:$F$90,5,),0)</f>
        <v>0</v>
      </c>
      <c r="AK33" s="402">
        <f>IF(OR(AF33&gt;0,AG33&gt;0),VLOOKUP(A33,'Lista Suspensa'!$A$1:$F$90,6,),0)</f>
        <v>0</v>
      </c>
      <c r="AL33" s="626"/>
      <c r="AM33" s="613">
        <f t="shared" si="4"/>
        <v>0</v>
      </c>
      <c r="AN33" s="613">
        <f>IF(AL33&gt;0,VLOOKUP(A33,'Lista Suspensa'!$A$1:$F$92,3,),0)</f>
        <v>0</v>
      </c>
      <c r="AO33" s="613">
        <f>IF(OR(AL33&gt;0,AM33&gt;0),VLOOKUP(A33,'Lista Suspensa'!$A$1:$F$90,4,),0)</f>
        <v>0</v>
      </c>
      <c r="AP33" s="613">
        <f>IF(OR(AL33&gt;0,AM33&gt;0),VLOOKUP(A33,'Lista Suspensa'!$A$1:$F$90,5,),0)</f>
        <v>0</v>
      </c>
      <c r="AQ33" s="402">
        <f>IF(OR(AL33&gt;0,AM33&gt;0),VLOOKUP(A33,'Lista Suspensa'!$A$1:$F$90,6,),0)</f>
        <v>0</v>
      </c>
      <c r="AR33" s="626"/>
      <c r="AS33" s="613">
        <f t="shared" si="14"/>
        <v>0</v>
      </c>
      <c r="AT33" s="613">
        <f>IF(AR33&gt;0,VLOOKUP(A33,'Lista Suspensa'!$A$1:$F$92,3,),0)</f>
        <v>0</v>
      </c>
      <c r="AU33" s="613">
        <f>IF(OR(AR33&gt;0,AS33&gt;0),VLOOKUP(A33,'Lista Suspensa'!$A$1:$F$90,4,),0)</f>
        <v>0</v>
      </c>
      <c r="AV33" s="613">
        <f>IF(OR(AR33&gt;0,AS33&gt;0),VLOOKUP(A33,'Lista Suspensa'!$A$1:$F$90,5,),0)</f>
        <v>0</v>
      </c>
      <c r="AW33" s="37">
        <f>IF(OR(AR33&gt;0,AS33&gt;0),VLOOKUP(A33,'Lista Suspensa'!$A$1:$F$90,6,),0)</f>
        <v>0</v>
      </c>
      <c r="AX33" s="626"/>
      <c r="AY33" s="613">
        <f t="shared" si="5"/>
        <v>0</v>
      </c>
      <c r="AZ33" s="613">
        <f>IF(AX33&gt;0,VLOOKUP(A33,'Lista Suspensa'!$A$1:$F$92,3,),0)</f>
        <v>0</v>
      </c>
      <c r="BA33" s="613">
        <f>IF(OR(AX33&gt;0,AY33&gt;0),VLOOKUP(A33,'Lista Suspensa'!$A$1:$F$90,4,),0)</f>
        <v>0</v>
      </c>
      <c r="BB33" s="613">
        <f>IF(OR(AX33&gt;0,AY33&gt;0),VLOOKUP(A33,'Lista Suspensa'!$A$1:$F$90,5,),0)</f>
        <v>0</v>
      </c>
      <c r="BC33" s="37">
        <f>IF(OR(AX33&gt;0,AY33&gt;0),VLOOKUP(A33,'Lista Suspensa'!$A$1:$F$90,6,),0)</f>
        <v>0</v>
      </c>
      <c r="BD33" s="626"/>
      <c r="BE33" s="613">
        <f t="shared" si="6"/>
        <v>0</v>
      </c>
      <c r="BF33" s="613">
        <f>IF(BD33&gt;0,VLOOKUP(A33,'Lista Suspensa'!$A$1:$F$92,3,),0)</f>
        <v>0</v>
      </c>
      <c r="BG33" s="613">
        <f>IF(OR(BD33&gt;0,BE33&gt;0),VLOOKUP(A33,'Lista Suspensa'!$A$1:$F$90,4,),0)</f>
        <v>0</v>
      </c>
      <c r="BH33" s="613">
        <f>IF(OR(BD33&gt;0,BE33&gt;0),VLOOKUP(A33,'Lista Suspensa'!$A$1:$F$90,5,),0)</f>
        <v>0</v>
      </c>
      <c r="BI33" s="37">
        <f>IF(OR(BD33&gt;0,BE33&gt;0),VLOOKUP(A33,'Lista Suspensa'!$A$1:$F$90,6,),0)</f>
        <v>0</v>
      </c>
      <c r="BJ33" s="626"/>
      <c r="BK33" s="613">
        <f t="shared" si="7"/>
        <v>0</v>
      </c>
      <c r="BL33" s="613">
        <f>IF(BJ33&gt;0,VLOOKUP(A33,'Lista Suspensa'!$A$1:$F$92,3,),0)</f>
        <v>0</v>
      </c>
      <c r="BM33" s="613">
        <f>IF(OR(BJ33&gt;0,BK33&gt;0),VLOOKUP(A33,'Lista Suspensa'!$A$1:$F$90,4,),0)</f>
        <v>0</v>
      </c>
      <c r="BN33" s="613">
        <f>IF(OR(BJ33&gt;0,BK33&gt;0),VLOOKUP(A33,'Lista Suspensa'!$A$1:$F$90,5,),0)</f>
        <v>0</v>
      </c>
      <c r="BO33" s="37">
        <f>IF(OR(BJ33&gt;0,BK33&gt;0),VLOOKUP(A33,'Lista Suspensa'!$A$1:$F$90,6,),0)</f>
        <v>0</v>
      </c>
      <c r="BP33" s="626"/>
      <c r="BQ33" s="613">
        <f t="shared" si="8"/>
        <v>0</v>
      </c>
      <c r="BR33" s="613">
        <f>IF(BP33&gt;0,VLOOKUP(A33,'Lista Suspensa'!$A$1:$F$92,3,),0)</f>
        <v>0</v>
      </c>
      <c r="BS33" s="613">
        <f>IF(OR(BP33&gt;0,BQ33&gt;0),VLOOKUP(A33,'Lista Suspensa'!$A$1:$F$90,4,),0)</f>
        <v>0</v>
      </c>
      <c r="BT33" s="613">
        <f>IF(OR(BP33&gt;0,BQ33&gt;0),VLOOKUP(A33,'Lista Suspensa'!$A$1:$F$90,5,),0)</f>
        <v>0</v>
      </c>
      <c r="BU33" s="37">
        <f>IF(OR(BP33&gt;0,BQ33&gt;0),VLOOKUP(A33,'Lista Suspensa'!$A$1:$F$90,6,),0)</f>
        <v>0</v>
      </c>
      <c r="BV33" s="626"/>
      <c r="BW33" s="613">
        <f t="shared" si="9"/>
        <v>0</v>
      </c>
      <c r="BX33" s="613">
        <f>IF(BV33&gt;0,VLOOKUP(A33,'Lista Suspensa'!$A$1:$F$92,3,),0)</f>
        <v>0</v>
      </c>
      <c r="BY33" s="613">
        <f>IF(OR(BV33&gt;0,BW33&gt;0),VLOOKUP(A33,'Lista Suspensa'!$A$1:$F$90,4,),0)</f>
        <v>0</v>
      </c>
      <c r="BZ33" s="613">
        <f>IF(OR(BV33&gt;0,BW33&gt;0),VLOOKUP(A33,'Lista Suspensa'!$A$1:$F$90,5,),0)</f>
        <v>0</v>
      </c>
      <c r="CA33" s="37">
        <f>IF(OR(BV33&gt;0,BW33&gt;0),VLOOKUP(A33,'Lista Suspensa'!$A$1:$F$90,6,),0)</f>
        <v>0</v>
      </c>
      <c r="CB33" s="626"/>
      <c r="CC33" s="613">
        <f t="shared" si="10"/>
        <v>0</v>
      </c>
      <c r="CD33" s="613">
        <f>IF(CB33&gt;0,VLOOKUP(A33,'Lista Suspensa'!$A$1:$F$92,3,),0)</f>
        <v>0</v>
      </c>
      <c r="CE33" s="613">
        <f>IF(OR(CB33&gt;0,CC33&gt;0),VLOOKUP(A33,'Lista Suspensa'!$A$1:$F$90,4,),0)</f>
        <v>0</v>
      </c>
      <c r="CF33" s="613">
        <f>IF(OR(CB33&gt;0,CC33&gt;0),VLOOKUP(A33,'Lista Suspensa'!$A$1:$F$90,5,),0)</f>
        <v>0</v>
      </c>
      <c r="CG33" s="37">
        <f>IF(OR(CB33&gt;0,CC33&gt;0),VLOOKUP(A33,'Lista Suspensa'!$A$1:$F$90,6,),0)</f>
        <v>0</v>
      </c>
      <c r="CH33" s="626"/>
      <c r="CI33" s="613">
        <f t="shared" si="11"/>
        <v>0</v>
      </c>
      <c r="CJ33" s="613">
        <f>IF(CH33&gt;0,VLOOKUP(A33,'Lista Suspensa'!$A$1:$F$92,3,),0)</f>
        <v>0</v>
      </c>
      <c r="CK33" s="613">
        <f>IF(OR(CH33&gt;0,CI33&gt;0),VLOOKUP(A33,'Lista Suspensa'!$A$1:$F$90,4,),0)</f>
        <v>0</v>
      </c>
      <c r="CL33" s="613">
        <f>IF(OR(CH33&gt;0,CI33&gt;0),VLOOKUP(A33,'Lista Suspensa'!$A$1:$F$90,5,),0)</f>
        <v>0</v>
      </c>
      <c r="CM33" s="636">
        <f>IF(OR(CH33&gt;0,CI33&gt;0),VLOOKUP(A33,'Lista Suspensa'!$A$1:$F$90,6,),0)</f>
        <v>0</v>
      </c>
      <c r="CN33" s="645"/>
      <c r="CO33" s="403">
        <f t="shared" si="15"/>
        <v>0</v>
      </c>
      <c r="CP33" s="756">
        <f>IF(CN33&gt;0,VLOOKUP(A33,'Lista Suspensa'!$A$1:$F$92,3,),0)</f>
        <v>0</v>
      </c>
      <c r="CQ33" s="641">
        <f>IF(OR(CN33&gt;0,CO33&gt;0),VLOOKUP(A33,'Lista Suspensa'!$A$1:$F$90,6,),0)</f>
        <v>0</v>
      </c>
      <c r="CR33" s="628"/>
      <c r="CS33" s="628"/>
      <c r="CT33" s="628"/>
      <c r="CU33" s="628"/>
      <c r="CV33" s="628"/>
      <c r="CW33" s="628"/>
      <c r="CX33" s="628"/>
      <c r="CY33" s="628"/>
      <c r="CZ33" s="628"/>
      <c r="DA33" s="628"/>
      <c r="DB33" s="628"/>
      <c r="DC33" s="628"/>
      <c r="DD33" s="628"/>
      <c r="DE33" s="628"/>
      <c r="DF33" s="628"/>
      <c r="DG33" s="628"/>
      <c r="DH33" s="628"/>
    </row>
    <row r="34" spans="1:2106" s="588" customFormat="1" ht="15.75" customHeight="1" thickBot="1">
      <c r="A34" s="614"/>
      <c r="B34" s="618"/>
      <c r="C34" s="616">
        <f t="shared" si="0"/>
        <v>0</v>
      </c>
      <c r="D34" s="616">
        <f>IF(B34&gt;0,VLOOKUP(A34,'Lista Suspensa'!$A$1:$F$92,3,),0)</f>
        <v>0</v>
      </c>
      <c r="E34" s="616">
        <f>IF(OR(B34&gt;0,C34&gt;0),VLOOKUP(A34,'Lista Suspensa'!$A$1:$F$90,4,),0)</f>
        <v>0</v>
      </c>
      <c r="F34" s="616">
        <f>IF(OR(B34&gt;0,C34&gt;0),VLOOKUP(A34,'Lista Suspensa'!$A$1:$F$90,5,),0)</f>
        <v>0</v>
      </c>
      <c r="G34" s="587">
        <f>IF(OR(B34&gt;0,C34&gt;0),VLOOKUP(A34,'Lista Suspensa'!$A$1:$F$90,6,),0)</f>
        <v>0</v>
      </c>
      <c r="H34" s="618"/>
      <c r="I34" s="623">
        <f t="shared" si="12"/>
        <v>0</v>
      </c>
      <c r="J34" s="616">
        <f>IF(H34&gt;0,VLOOKUP(A34,'Lista Suspensa'!$A$1:$F$92,3,),0)</f>
        <v>0</v>
      </c>
      <c r="K34" s="616">
        <f>IF(OR(H34&gt;0,I34&gt;0),VLOOKUP(A34,'Lista Suspensa'!$A$1:$F$90,4,),0)</f>
        <v>0</v>
      </c>
      <c r="L34" s="616">
        <f>IF(OR(H34&gt;0,I34&gt;0),VLOOKUP(A34,'Lista Suspensa'!$A$1:$F$90,5,),0)</f>
        <v>0</v>
      </c>
      <c r="M34" s="587">
        <f>IF(OR(H34&gt;0,I34&gt;0),VLOOKUP(A34,'Lista Suspensa'!$A$1:$F$90,6,),0)</f>
        <v>0</v>
      </c>
      <c r="N34" s="627"/>
      <c r="O34" s="623">
        <f t="shared" si="1"/>
        <v>0</v>
      </c>
      <c r="P34" s="616">
        <f>IF(N34&gt;0,VLOOKUP(A34,'Lista Suspensa'!$A$1:$F$92,3,),0)</f>
        <v>0</v>
      </c>
      <c r="Q34" s="616">
        <f>IF(OR(N34&gt;0,O34&gt;0),VLOOKUP(A34,'Lista Suspensa'!$A$1:$F$90,4,),0)</f>
        <v>0</v>
      </c>
      <c r="R34" s="616">
        <f>IF(OR(N34&gt;0,O34&gt;0),VLOOKUP(A34,'Lista Suspensa'!$A$1:$F$90,5,),0)</f>
        <v>0</v>
      </c>
      <c r="S34" s="587">
        <f>IF(OR(N34&gt;0,O34&gt;0),VLOOKUP(A34,'Lista Suspensa'!$A$1:$F$90,6,),0)</f>
        <v>0</v>
      </c>
      <c r="T34" s="627"/>
      <c r="U34" s="623">
        <f t="shared" si="2"/>
        <v>0</v>
      </c>
      <c r="V34" s="616">
        <f>IF(T34&gt;0,VLOOKUP(A34,'Lista Suspensa'!$A$1:$F$92,3,),0)</f>
        <v>0</v>
      </c>
      <c r="W34" s="616">
        <f>IF(OR(T34&gt;0,U34&gt;0),VLOOKUP(A34,'Lista Suspensa'!$A$1:$F$90,4,),0)</f>
        <v>0</v>
      </c>
      <c r="X34" s="616">
        <f>IF(OR(T34&gt;0,U34&gt;0),VLOOKUP(A34,'Lista Suspensa'!$A$1:$F$90,5,),0)</f>
        <v>0</v>
      </c>
      <c r="Y34" s="587">
        <f>IF(OR(T34&gt;0,U34&gt;0),VLOOKUP(A34,'Lista Suspensa'!$A$1:$F$90,6,),0)</f>
        <v>0</v>
      </c>
      <c r="Z34" s="618"/>
      <c r="AA34" s="623">
        <f t="shared" si="3"/>
        <v>0</v>
      </c>
      <c r="AB34" s="616">
        <f>IF(Z34&gt;0,VLOOKUP(A34,'Lista Suspensa'!$A$1:$F$92,3,),0)</f>
        <v>0</v>
      </c>
      <c r="AC34" s="616">
        <f>IF(OR(Z34&gt;0,AA34&gt;0),VLOOKUP(A34,'Lista Suspensa'!$A$1:$F$90,4,),0)</f>
        <v>0</v>
      </c>
      <c r="AD34" s="616">
        <f>IF(OR(Z34&gt;0,AA34&gt;0),VLOOKUP(A34,'Lista Suspensa'!$A$1:$F$90,5,),0)</f>
        <v>0</v>
      </c>
      <c r="AE34" s="587">
        <f>IF(OR(Z34&gt;0,AA34&gt;0),VLOOKUP(A34,'Lista Suspensa'!$A$1:$F$90,6,),0)</f>
        <v>0</v>
      </c>
      <c r="AF34" s="618"/>
      <c r="AG34" s="623">
        <f t="shared" si="13"/>
        <v>0</v>
      </c>
      <c r="AH34" s="616">
        <f>IF(AF34&gt;0,VLOOKUP(A34,'Lista Suspensa'!$A$1:$F$92,3,),0)</f>
        <v>0</v>
      </c>
      <c r="AI34" s="616">
        <f>IF(OR(AF34&gt;0,AG34&gt;0),VLOOKUP(A34,'Lista Suspensa'!$A$1:$F$90,4,),0)</f>
        <v>0</v>
      </c>
      <c r="AJ34" s="616">
        <f>IF(OR(AF34&gt;0,AG34&gt;0),VLOOKUP(A34,'Lista Suspensa'!$A$1:$F$90,5,),0)</f>
        <v>0</v>
      </c>
      <c r="AK34" s="587">
        <f>IF(OR(AF34&gt;0,AG34&gt;0),VLOOKUP(A34,'Lista Suspensa'!$A$1:$F$90,6,),0)</f>
        <v>0</v>
      </c>
      <c r="AL34" s="627"/>
      <c r="AM34" s="623">
        <f t="shared" si="4"/>
        <v>0</v>
      </c>
      <c r="AN34" s="616">
        <f>IF(AL34&gt;0,VLOOKUP(A34,'Lista Suspensa'!$A$1:$F$92,3,),0)</f>
        <v>0</v>
      </c>
      <c r="AO34" s="616">
        <f>IF(OR(AL34&gt;0,AM34&gt;0),VLOOKUP(A34,'Lista Suspensa'!$A$1:$F$90,4,),0)</f>
        <v>0</v>
      </c>
      <c r="AP34" s="616">
        <f>IF(OR(AL34&gt;0,AM34&gt;0),VLOOKUP(A34,'Lista Suspensa'!$A$1:$F$90,5,),0)</f>
        <v>0</v>
      </c>
      <c r="AQ34" s="587">
        <f>IF(OR(AL34&gt;0,AM34&gt;0),VLOOKUP(A34,'Lista Suspensa'!$A$1:$F$90,6,),0)</f>
        <v>0</v>
      </c>
      <c r="AR34" s="627"/>
      <c r="AS34" s="623">
        <f t="shared" si="14"/>
        <v>0</v>
      </c>
      <c r="AT34" s="616">
        <f>IF(AR34&gt;0,VLOOKUP(A34,'Lista Suspensa'!$A$1:$F$92,3,),0)</f>
        <v>0</v>
      </c>
      <c r="AU34" s="616">
        <f>IF(OR(AR34&gt;0,AS34&gt;0),VLOOKUP(A34,'Lista Suspensa'!$A$1:$F$90,4,),0)</f>
        <v>0</v>
      </c>
      <c r="AV34" s="616">
        <f>IF(OR(AR34&gt;0,AS34&gt;0),VLOOKUP(A34,'Lista Suspensa'!$A$1:$F$90,5,),0)</f>
        <v>0</v>
      </c>
      <c r="AW34" s="586">
        <f>IF(OR(AR34&gt;0,AS34&gt;0),VLOOKUP(A34,'Lista Suspensa'!$A$1:$F$90,6,),0)</f>
        <v>0</v>
      </c>
      <c r="AX34" s="627"/>
      <c r="AY34" s="623">
        <f t="shared" si="5"/>
        <v>0</v>
      </c>
      <c r="AZ34" s="616">
        <f>IF(AX34&gt;0,VLOOKUP(A34,'Lista Suspensa'!$A$1:$F$92,3,),0)</f>
        <v>0</v>
      </c>
      <c r="BA34" s="616">
        <f>IF(OR(AX34&gt;0,AY34&gt;0),VLOOKUP(A34,'Lista Suspensa'!$A$1:$F$90,4,),0)</f>
        <v>0</v>
      </c>
      <c r="BB34" s="616">
        <f>IF(OR(AX34&gt;0,AY34&gt;0),VLOOKUP(A34,'Lista Suspensa'!$A$1:$F$90,5,),0)</f>
        <v>0</v>
      </c>
      <c r="BC34" s="586">
        <f>IF(OR(AX34&gt;0,AY34&gt;0),VLOOKUP(A34,'Lista Suspensa'!$A$1:$F$90,6,),0)</f>
        <v>0</v>
      </c>
      <c r="BD34" s="627"/>
      <c r="BE34" s="623">
        <f t="shared" si="6"/>
        <v>0</v>
      </c>
      <c r="BF34" s="616">
        <f>IF(BD34&gt;0,VLOOKUP(A34,'Lista Suspensa'!$A$1:$F$92,3,),0)</f>
        <v>0</v>
      </c>
      <c r="BG34" s="616">
        <f>IF(OR(BD34&gt;0,BE34&gt;0),VLOOKUP(A34,'Lista Suspensa'!$A$1:$F$90,4,),0)</f>
        <v>0</v>
      </c>
      <c r="BH34" s="616">
        <f>IF(OR(BD34&gt;0,BE34&gt;0),VLOOKUP(A34,'Lista Suspensa'!$A$1:$F$90,5,),0)</f>
        <v>0</v>
      </c>
      <c r="BI34" s="586">
        <f>IF(OR(BD34&gt;0,BE34&gt;0),VLOOKUP(A34,'Lista Suspensa'!$A$1:$F$90,6,),0)</f>
        <v>0</v>
      </c>
      <c r="BJ34" s="627"/>
      <c r="BK34" s="623">
        <f t="shared" si="7"/>
        <v>0</v>
      </c>
      <c r="BL34" s="616">
        <f>IF(BJ34&gt;0,VLOOKUP(A34,'Lista Suspensa'!$A$1:$F$92,3,),0)</f>
        <v>0</v>
      </c>
      <c r="BM34" s="616">
        <f>IF(OR(BJ34&gt;0,BK34&gt;0),VLOOKUP(A34,'Lista Suspensa'!$A$1:$F$90,4,),0)</f>
        <v>0</v>
      </c>
      <c r="BN34" s="616">
        <f>IF(OR(BJ34&gt;0,BK34&gt;0),VLOOKUP(A34,'Lista Suspensa'!$A$1:$F$90,5,),0)</f>
        <v>0</v>
      </c>
      <c r="BO34" s="586">
        <f>IF(OR(BJ34&gt;0,BK34&gt;0),VLOOKUP(A34,'Lista Suspensa'!$A$1:$F$90,6,),0)</f>
        <v>0</v>
      </c>
      <c r="BP34" s="627"/>
      <c r="BQ34" s="623">
        <f t="shared" si="8"/>
        <v>0</v>
      </c>
      <c r="BR34" s="616">
        <f>IF(BP34&gt;0,VLOOKUP(A34,'Lista Suspensa'!$A$1:$F$92,3,),0)</f>
        <v>0</v>
      </c>
      <c r="BS34" s="616">
        <f>IF(OR(BP34&gt;0,BQ34&gt;0),VLOOKUP(A34,'Lista Suspensa'!$A$1:$F$90,4,),0)</f>
        <v>0</v>
      </c>
      <c r="BT34" s="616">
        <f>IF(OR(BP34&gt;0,BQ34&gt;0),VLOOKUP(A34,'Lista Suspensa'!$A$1:$F$90,5,),0)</f>
        <v>0</v>
      </c>
      <c r="BU34" s="586">
        <f>IF(OR(BP34&gt;0,BQ34&gt;0),VLOOKUP(A34,'Lista Suspensa'!$A$1:$F$90,6,),0)</f>
        <v>0</v>
      </c>
      <c r="BV34" s="627"/>
      <c r="BW34" s="623">
        <f t="shared" si="9"/>
        <v>0</v>
      </c>
      <c r="BX34" s="616">
        <f>IF(BV34&gt;0,VLOOKUP(A34,'Lista Suspensa'!$A$1:$F$92,3,),0)</f>
        <v>0</v>
      </c>
      <c r="BY34" s="616">
        <f>IF(OR(BV34&gt;0,BW34&gt;0),VLOOKUP(A34,'Lista Suspensa'!$A$1:$F$90,4,),0)</f>
        <v>0</v>
      </c>
      <c r="BZ34" s="616">
        <f>IF(OR(BV34&gt;0,BW34&gt;0),VLOOKUP(A34,'Lista Suspensa'!$A$1:$F$90,5,),0)</f>
        <v>0</v>
      </c>
      <c r="CA34" s="586">
        <f>IF(OR(BV34&gt;0,BW34&gt;0),VLOOKUP(A34,'Lista Suspensa'!$A$1:$F$90,6,),0)</f>
        <v>0</v>
      </c>
      <c r="CB34" s="627"/>
      <c r="CC34" s="623">
        <f t="shared" si="10"/>
        <v>0</v>
      </c>
      <c r="CD34" s="616">
        <f>IF(CB34&gt;0,VLOOKUP(A34,'Lista Suspensa'!$A$1:$F$92,3,),0)</f>
        <v>0</v>
      </c>
      <c r="CE34" s="616">
        <f>IF(OR(CB34&gt;0,CC34&gt;0),VLOOKUP(A34,'Lista Suspensa'!$A$1:$F$90,4,),0)</f>
        <v>0</v>
      </c>
      <c r="CF34" s="616">
        <f>IF(OR(CB34&gt;0,CC34&gt;0),VLOOKUP(A34,'Lista Suspensa'!$A$1:$F$90,5,),0)</f>
        <v>0</v>
      </c>
      <c r="CG34" s="586">
        <f>IF(OR(CB34&gt;0,CC34&gt;0),VLOOKUP(A34,'Lista Suspensa'!$A$1:$F$90,6,),0)</f>
        <v>0</v>
      </c>
      <c r="CH34" s="627"/>
      <c r="CI34" s="623">
        <f t="shared" si="11"/>
        <v>0</v>
      </c>
      <c r="CJ34" s="616">
        <f>IF(CH34&gt;0,VLOOKUP(A34,'Lista Suspensa'!$A$1:$F$92,3,),0)</f>
        <v>0</v>
      </c>
      <c r="CK34" s="616">
        <f>IF(OR(CH34&gt;0,CI34&gt;0),VLOOKUP(A34,'Lista Suspensa'!$A$1:$F$90,4,),0)</f>
        <v>0</v>
      </c>
      <c r="CL34" s="616">
        <f>IF(OR(CH34&gt;0,CI34&gt;0),VLOOKUP(A34,'Lista Suspensa'!$A$1:$F$90,5,),0)</f>
        <v>0</v>
      </c>
      <c r="CM34" s="637">
        <f>IF(OR(CH34&gt;0,CI34&gt;0),VLOOKUP(A34,'Lista Suspensa'!$A$1:$F$90,6,),0)</f>
        <v>0</v>
      </c>
      <c r="CN34" s="647"/>
      <c r="CO34" s="403">
        <f t="shared" si="15"/>
        <v>0</v>
      </c>
      <c r="CP34" s="756">
        <f>IF(CN34&gt;0,VLOOKUP(A34,'Lista Suspensa'!$A$1:$F$92,3,),0)</f>
        <v>0</v>
      </c>
      <c r="CQ34" s="648">
        <f>IF(OR(CN34&gt;0,CO34&gt;0),VLOOKUP(A34,'Lista Suspensa'!$A$1:$F$90,6,),0)</f>
        <v>0</v>
      </c>
      <c r="CR34" s="628"/>
      <c r="CS34" s="628"/>
      <c r="CT34" s="628"/>
      <c r="CU34" s="628"/>
      <c r="CV34" s="628"/>
      <c r="CW34" s="628"/>
      <c r="CX34" s="628"/>
      <c r="CY34" s="628"/>
      <c r="CZ34" s="628"/>
      <c r="DA34" s="628"/>
      <c r="DB34" s="628"/>
      <c r="DC34" s="628"/>
      <c r="DD34" s="628"/>
      <c r="DE34" s="628"/>
      <c r="DF34" s="628"/>
      <c r="DG34" s="628"/>
      <c r="DH34" s="628"/>
      <c r="DI34" s="583"/>
      <c r="DJ34" s="583"/>
      <c r="DK34" s="583"/>
      <c r="DL34" s="583"/>
      <c r="DM34" s="583"/>
      <c r="DN34" s="583"/>
      <c r="DO34" s="583"/>
      <c r="DP34" s="583"/>
      <c r="DQ34" s="583"/>
      <c r="DR34" s="583"/>
      <c r="DS34" s="583"/>
      <c r="DT34" s="583"/>
      <c r="DU34" s="583"/>
      <c r="DV34" s="583"/>
      <c r="DW34" s="583"/>
      <c r="DX34" s="583"/>
      <c r="DY34" s="583"/>
      <c r="DZ34" s="583"/>
      <c r="EA34" s="583"/>
      <c r="EB34" s="583"/>
      <c r="EC34" s="583"/>
      <c r="ED34" s="583"/>
      <c r="EE34" s="583"/>
      <c r="EF34" s="583"/>
      <c r="EG34" s="583"/>
      <c r="EH34" s="583"/>
      <c r="EI34" s="583"/>
      <c r="EJ34" s="583"/>
      <c r="EK34" s="583"/>
      <c r="EL34" s="583"/>
      <c r="EM34" s="583"/>
      <c r="EN34" s="583"/>
      <c r="EO34" s="583"/>
      <c r="EP34" s="583"/>
      <c r="EQ34" s="583"/>
      <c r="ER34" s="583"/>
      <c r="ES34" s="583"/>
      <c r="ET34" s="583"/>
      <c r="EU34" s="583"/>
      <c r="EV34" s="583"/>
      <c r="EW34" s="583"/>
      <c r="EX34" s="583"/>
      <c r="EY34" s="583"/>
      <c r="EZ34" s="583"/>
      <c r="FA34" s="583"/>
      <c r="FB34" s="583"/>
      <c r="FC34" s="583"/>
      <c r="FD34" s="583"/>
      <c r="FE34" s="583"/>
      <c r="FF34" s="583"/>
      <c r="FG34" s="583"/>
      <c r="FH34" s="583"/>
      <c r="FI34" s="583"/>
      <c r="FJ34" s="583"/>
      <c r="FK34" s="583"/>
      <c r="FL34" s="583"/>
      <c r="FM34" s="583"/>
      <c r="FN34" s="583"/>
      <c r="FO34" s="583"/>
      <c r="FP34" s="583"/>
      <c r="FQ34" s="583"/>
      <c r="FR34" s="583"/>
      <c r="FS34" s="583"/>
      <c r="FT34" s="583"/>
      <c r="FU34" s="583"/>
      <c r="FV34" s="583"/>
      <c r="FW34" s="583"/>
      <c r="FX34" s="583"/>
      <c r="FY34" s="583"/>
      <c r="FZ34" s="583"/>
      <c r="GA34" s="583"/>
      <c r="GB34" s="583"/>
      <c r="GC34" s="583"/>
      <c r="GD34" s="583"/>
      <c r="GE34" s="583"/>
      <c r="GF34" s="583"/>
      <c r="GG34" s="583"/>
      <c r="GH34" s="583"/>
      <c r="GI34" s="583"/>
      <c r="GJ34" s="583"/>
      <c r="GK34" s="583"/>
      <c r="GL34" s="583"/>
      <c r="GM34" s="583"/>
      <c r="GN34" s="583"/>
      <c r="GO34" s="583"/>
      <c r="GP34" s="583"/>
      <c r="GQ34" s="583"/>
      <c r="GR34" s="583"/>
      <c r="GS34" s="583"/>
      <c r="GT34" s="583"/>
      <c r="GU34" s="583"/>
      <c r="GV34" s="583"/>
      <c r="GW34" s="583"/>
      <c r="GX34" s="583"/>
      <c r="GY34" s="583"/>
      <c r="GZ34" s="583"/>
      <c r="HA34" s="583"/>
      <c r="HB34" s="583"/>
      <c r="HC34" s="583"/>
      <c r="HD34" s="583"/>
      <c r="HE34" s="583"/>
      <c r="HF34" s="583"/>
      <c r="HG34" s="583"/>
      <c r="HH34" s="583"/>
      <c r="HI34" s="583"/>
      <c r="HJ34" s="583"/>
      <c r="HK34" s="583"/>
      <c r="HL34" s="583"/>
      <c r="HM34" s="583"/>
      <c r="HN34" s="583"/>
      <c r="HO34" s="583"/>
      <c r="HP34" s="583"/>
      <c r="HQ34" s="583"/>
      <c r="HR34" s="583"/>
      <c r="HS34" s="583"/>
      <c r="HT34" s="583"/>
      <c r="HU34" s="583"/>
      <c r="HV34" s="583"/>
      <c r="HW34" s="583"/>
      <c r="HX34" s="583"/>
      <c r="HY34" s="583"/>
      <c r="HZ34" s="583"/>
      <c r="IA34" s="583"/>
      <c r="IB34" s="583"/>
      <c r="IC34" s="583"/>
      <c r="ID34" s="583"/>
      <c r="IE34" s="583"/>
      <c r="IF34" s="583"/>
      <c r="IG34" s="583"/>
      <c r="IH34" s="583"/>
      <c r="II34" s="583"/>
      <c r="IJ34" s="583"/>
      <c r="IK34" s="583"/>
      <c r="IL34" s="583"/>
      <c r="IM34" s="583"/>
      <c r="IN34" s="583"/>
      <c r="IO34" s="583"/>
      <c r="IP34" s="583"/>
      <c r="IQ34" s="583"/>
      <c r="IR34" s="583"/>
      <c r="IS34" s="583"/>
      <c r="IT34" s="583"/>
      <c r="IU34" s="583"/>
      <c r="IV34" s="583"/>
      <c r="IW34" s="583"/>
      <c r="IX34" s="583"/>
      <c r="IY34" s="583"/>
      <c r="IZ34" s="583"/>
      <c r="JA34" s="583"/>
      <c r="JB34" s="583"/>
      <c r="JC34" s="583"/>
      <c r="JD34" s="583"/>
      <c r="JE34" s="583"/>
      <c r="JF34" s="583"/>
      <c r="JG34" s="583"/>
      <c r="JH34" s="583"/>
      <c r="JI34" s="583"/>
      <c r="JJ34" s="583"/>
      <c r="JK34" s="583"/>
      <c r="JL34" s="583"/>
      <c r="JM34" s="583"/>
      <c r="JN34" s="583"/>
      <c r="JO34" s="583"/>
      <c r="JP34" s="583"/>
      <c r="JQ34" s="583"/>
      <c r="JR34" s="583"/>
      <c r="JS34" s="583"/>
      <c r="JT34" s="583"/>
      <c r="JU34" s="583"/>
      <c r="JV34" s="583"/>
      <c r="JW34" s="583"/>
      <c r="JX34" s="583"/>
      <c r="JY34" s="583"/>
      <c r="JZ34" s="583"/>
      <c r="KA34" s="583"/>
      <c r="KB34" s="583"/>
      <c r="KC34" s="583"/>
      <c r="KD34" s="583"/>
      <c r="KE34" s="583"/>
      <c r="KF34" s="583"/>
      <c r="KG34" s="583"/>
      <c r="KH34" s="583"/>
      <c r="KI34" s="583"/>
      <c r="KJ34" s="583"/>
      <c r="KK34" s="583"/>
      <c r="KL34" s="583"/>
      <c r="KM34" s="583"/>
      <c r="KN34" s="583"/>
      <c r="KO34" s="583"/>
      <c r="KP34" s="583"/>
      <c r="KQ34" s="583"/>
      <c r="KR34" s="583"/>
      <c r="KS34" s="583"/>
      <c r="KT34" s="583"/>
      <c r="KU34" s="583"/>
      <c r="KV34" s="583"/>
      <c r="KW34" s="583"/>
      <c r="KX34" s="583"/>
      <c r="KY34" s="583"/>
      <c r="KZ34" s="583"/>
      <c r="LA34" s="583"/>
      <c r="LB34" s="583"/>
      <c r="LC34" s="583"/>
      <c r="LD34" s="583"/>
      <c r="LE34" s="583"/>
      <c r="LF34" s="583"/>
      <c r="LG34" s="583"/>
      <c r="LH34" s="583"/>
      <c r="LI34" s="583"/>
      <c r="LJ34" s="583"/>
      <c r="LK34" s="583"/>
      <c r="LL34" s="583"/>
      <c r="LM34" s="583"/>
      <c r="LN34" s="583"/>
      <c r="LO34" s="583"/>
      <c r="LP34" s="583"/>
      <c r="LQ34" s="583"/>
      <c r="LR34" s="583"/>
      <c r="LS34" s="583"/>
      <c r="LT34" s="583"/>
      <c r="LU34" s="583"/>
      <c r="LV34" s="583"/>
      <c r="LW34" s="583"/>
      <c r="LX34" s="583"/>
      <c r="LY34" s="583"/>
      <c r="LZ34" s="583"/>
      <c r="MA34" s="583"/>
      <c r="MB34" s="583"/>
      <c r="MC34" s="583"/>
      <c r="MD34" s="583"/>
      <c r="ME34" s="583"/>
      <c r="MF34" s="583"/>
      <c r="MG34" s="583"/>
      <c r="MH34" s="583"/>
      <c r="MI34" s="583"/>
      <c r="MJ34" s="583"/>
      <c r="MK34" s="583"/>
      <c r="ML34" s="583"/>
      <c r="MM34" s="583"/>
      <c r="MN34" s="583"/>
      <c r="MO34" s="583"/>
      <c r="MP34" s="583"/>
      <c r="MQ34" s="583"/>
      <c r="MR34" s="583"/>
      <c r="MS34" s="583"/>
      <c r="MT34" s="583"/>
      <c r="MU34" s="583"/>
      <c r="MV34" s="583"/>
      <c r="MW34" s="583"/>
      <c r="MX34" s="583"/>
      <c r="MY34" s="583"/>
      <c r="MZ34" s="583"/>
      <c r="NA34" s="583"/>
      <c r="NB34" s="583"/>
      <c r="NC34" s="583"/>
      <c r="ND34" s="583"/>
      <c r="NE34" s="583"/>
      <c r="NF34" s="583"/>
      <c r="NG34" s="583"/>
      <c r="NH34" s="583"/>
      <c r="NI34" s="583"/>
      <c r="NJ34" s="583"/>
      <c r="NK34" s="583"/>
      <c r="NL34" s="583"/>
      <c r="NM34" s="583"/>
      <c r="NN34" s="583"/>
      <c r="NO34" s="583"/>
      <c r="NP34" s="583"/>
      <c r="NQ34" s="583"/>
      <c r="NR34" s="583"/>
      <c r="NS34" s="583"/>
      <c r="NT34" s="583"/>
      <c r="NU34" s="583"/>
      <c r="NV34" s="583"/>
      <c r="NW34" s="583"/>
      <c r="NX34" s="583"/>
      <c r="NY34" s="583"/>
      <c r="NZ34" s="583"/>
      <c r="OA34" s="583"/>
      <c r="OB34" s="583"/>
      <c r="OC34" s="583"/>
      <c r="OD34" s="583"/>
      <c r="OE34" s="583"/>
      <c r="OF34" s="583"/>
      <c r="OG34" s="583"/>
      <c r="OH34" s="583"/>
      <c r="OI34" s="583"/>
      <c r="OJ34" s="583"/>
      <c r="OK34" s="583"/>
      <c r="OL34" s="583"/>
      <c r="OM34" s="583"/>
      <c r="ON34" s="583"/>
      <c r="OO34" s="583"/>
      <c r="OP34" s="583"/>
      <c r="OQ34" s="583"/>
      <c r="OR34" s="583"/>
      <c r="OS34" s="583"/>
      <c r="OT34" s="583"/>
      <c r="OU34" s="583"/>
      <c r="OV34" s="583"/>
      <c r="OW34" s="583"/>
      <c r="OX34" s="583"/>
      <c r="OY34" s="583"/>
      <c r="OZ34" s="583"/>
      <c r="PA34" s="583"/>
      <c r="PB34" s="583"/>
      <c r="PC34" s="583"/>
      <c r="PD34" s="583"/>
      <c r="PE34" s="583"/>
      <c r="PF34" s="583"/>
      <c r="PG34" s="583"/>
      <c r="PH34" s="583"/>
      <c r="PI34" s="583"/>
      <c r="PJ34" s="583"/>
      <c r="PK34" s="583"/>
      <c r="PL34" s="583"/>
      <c r="PM34" s="583"/>
      <c r="PN34" s="583"/>
      <c r="PO34" s="583"/>
      <c r="PP34" s="583"/>
      <c r="PQ34" s="583"/>
      <c r="PR34" s="583"/>
      <c r="PS34" s="583"/>
      <c r="PT34" s="583"/>
      <c r="PU34" s="583"/>
      <c r="PV34" s="583"/>
      <c r="PW34" s="583"/>
      <c r="PX34" s="583"/>
      <c r="PY34" s="583"/>
      <c r="PZ34" s="583"/>
      <c r="QA34" s="583"/>
      <c r="QB34" s="583"/>
      <c r="QC34" s="583"/>
      <c r="QD34" s="583"/>
      <c r="QE34" s="583"/>
      <c r="QF34" s="583"/>
      <c r="QG34" s="583"/>
      <c r="QH34" s="583"/>
      <c r="QI34" s="583"/>
      <c r="QJ34" s="583"/>
      <c r="QK34" s="583"/>
      <c r="QL34" s="583"/>
      <c r="QM34" s="583"/>
      <c r="QN34" s="583"/>
      <c r="QO34" s="583"/>
      <c r="QP34" s="583"/>
      <c r="QQ34" s="583"/>
      <c r="QR34" s="583"/>
      <c r="QS34" s="583"/>
      <c r="QT34" s="583"/>
      <c r="QU34" s="583"/>
      <c r="QV34" s="583"/>
      <c r="QW34" s="583"/>
      <c r="QX34" s="583"/>
      <c r="QY34" s="583"/>
      <c r="QZ34" s="583"/>
      <c r="RA34" s="583"/>
      <c r="RB34" s="583"/>
      <c r="RC34" s="583"/>
      <c r="RD34" s="583"/>
      <c r="RE34" s="583"/>
      <c r="RF34" s="583"/>
      <c r="RG34" s="583"/>
      <c r="RH34" s="583"/>
      <c r="RI34" s="583"/>
      <c r="RJ34" s="583"/>
      <c r="RK34" s="583"/>
      <c r="RL34" s="583"/>
      <c r="RM34" s="583"/>
      <c r="RN34" s="583"/>
      <c r="RO34" s="583"/>
      <c r="RP34" s="583"/>
      <c r="RQ34" s="583"/>
      <c r="RR34" s="583"/>
      <c r="RS34" s="583"/>
      <c r="RT34" s="583"/>
      <c r="RU34" s="583"/>
      <c r="RV34" s="583"/>
      <c r="RW34" s="583"/>
      <c r="RX34" s="583"/>
      <c r="RY34" s="583"/>
      <c r="RZ34" s="583"/>
      <c r="SA34" s="583"/>
      <c r="SB34" s="583"/>
      <c r="SC34" s="583"/>
      <c r="SD34" s="583"/>
      <c r="SE34" s="583"/>
      <c r="SF34" s="583"/>
      <c r="SG34" s="583"/>
      <c r="SH34" s="583"/>
      <c r="SI34" s="583"/>
      <c r="SJ34" s="583"/>
      <c r="SK34" s="583"/>
      <c r="SL34" s="583"/>
      <c r="SM34" s="583"/>
      <c r="SN34" s="583"/>
      <c r="SO34" s="583"/>
      <c r="SP34" s="583"/>
      <c r="SQ34" s="583"/>
      <c r="SR34" s="583"/>
      <c r="SS34" s="583"/>
      <c r="ST34" s="583"/>
      <c r="SU34" s="583"/>
      <c r="SV34" s="583"/>
      <c r="SW34" s="583"/>
      <c r="SX34" s="583"/>
      <c r="SY34" s="583"/>
      <c r="SZ34" s="583"/>
      <c r="TA34" s="583"/>
      <c r="TB34" s="583"/>
      <c r="TC34" s="583"/>
      <c r="TD34" s="583"/>
      <c r="TE34" s="583"/>
      <c r="TF34" s="583"/>
      <c r="TG34" s="583"/>
      <c r="TH34" s="583"/>
      <c r="TI34" s="583"/>
      <c r="TJ34" s="583"/>
      <c r="TK34" s="583"/>
      <c r="TL34" s="583"/>
      <c r="TM34" s="583"/>
      <c r="TN34" s="583"/>
      <c r="TO34" s="583"/>
      <c r="TP34" s="583"/>
      <c r="TQ34" s="583"/>
      <c r="TR34" s="583"/>
      <c r="TS34" s="583"/>
      <c r="TT34" s="583"/>
      <c r="TU34" s="583"/>
      <c r="TV34" s="583"/>
      <c r="TW34" s="583"/>
      <c r="TX34" s="583"/>
      <c r="TY34" s="583"/>
      <c r="TZ34" s="583"/>
      <c r="UA34" s="583"/>
      <c r="UB34" s="583"/>
      <c r="UC34" s="583"/>
      <c r="UD34" s="583"/>
      <c r="UE34" s="583"/>
      <c r="UF34" s="583"/>
      <c r="UG34" s="583"/>
      <c r="UH34" s="583"/>
      <c r="UI34" s="583"/>
      <c r="UJ34" s="583"/>
      <c r="UK34" s="583"/>
      <c r="UL34" s="583"/>
      <c r="UM34" s="583"/>
      <c r="UN34" s="583"/>
      <c r="UO34" s="583"/>
      <c r="UP34" s="583"/>
      <c r="UQ34" s="583"/>
      <c r="UR34" s="583"/>
      <c r="US34" s="583"/>
      <c r="UT34" s="583"/>
      <c r="UU34" s="583"/>
      <c r="UV34" s="583"/>
      <c r="UW34" s="583"/>
      <c r="UX34" s="583"/>
      <c r="UY34" s="583"/>
      <c r="UZ34" s="583"/>
      <c r="VA34" s="583"/>
      <c r="VB34" s="583"/>
      <c r="VC34" s="583"/>
      <c r="VD34" s="583"/>
      <c r="VE34" s="583"/>
      <c r="VF34" s="583"/>
      <c r="VG34" s="583"/>
      <c r="VH34" s="583"/>
      <c r="VI34" s="583"/>
      <c r="VJ34" s="583"/>
      <c r="VK34" s="583"/>
      <c r="VL34" s="583"/>
      <c r="VM34" s="583"/>
      <c r="VN34" s="583"/>
      <c r="VO34" s="583"/>
      <c r="VP34" s="583"/>
      <c r="VQ34" s="583"/>
      <c r="VR34" s="583"/>
      <c r="VS34" s="583"/>
      <c r="VT34" s="583"/>
      <c r="VU34" s="583"/>
      <c r="VV34" s="583"/>
      <c r="VW34" s="583"/>
      <c r="VX34" s="583"/>
      <c r="VY34" s="583"/>
      <c r="VZ34" s="583"/>
      <c r="WA34" s="583"/>
      <c r="WB34" s="583"/>
      <c r="WC34" s="583"/>
      <c r="WD34" s="583"/>
      <c r="WE34" s="583"/>
      <c r="WF34" s="583"/>
      <c r="WG34" s="583"/>
      <c r="WH34" s="583"/>
      <c r="WI34" s="583"/>
      <c r="WJ34" s="583"/>
      <c r="WK34" s="583"/>
      <c r="WL34" s="583"/>
      <c r="WM34" s="583"/>
      <c r="WN34" s="583"/>
      <c r="WO34" s="583"/>
      <c r="WP34" s="583"/>
      <c r="WQ34" s="583"/>
      <c r="WR34" s="583"/>
      <c r="WS34" s="583"/>
      <c r="WT34" s="583"/>
      <c r="WU34" s="583"/>
      <c r="WV34" s="583"/>
      <c r="WW34" s="583"/>
      <c r="WX34" s="583"/>
      <c r="WY34" s="583"/>
      <c r="WZ34" s="583"/>
      <c r="XA34" s="583"/>
      <c r="XB34" s="583"/>
      <c r="XC34" s="583"/>
      <c r="XD34" s="583"/>
      <c r="XE34" s="583"/>
      <c r="XF34" s="583"/>
      <c r="XG34" s="583"/>
      <c r="XH34" s="583"/>
      <c r="XI34" s="583"/>
      <c r="XJ34" s="583"/>
      <c r="XK34" s="583"/>
      <c r="XL34" s="583"/>
      <c r="XM34" s="583"/>
      <c r="XN34" s="583"/>
      <c r="XO34" s="583"/>
      <c r="XP34" s="583"/>
      <c r="XQ34" s="583"/>
      <c r="XR34" s="583"/>
      <c r="XS34" s="583"/>
      <c r="XT34" s="583"/>
      <c r="XU34" s="583"/>
      <c r="XV34" s="583"/>
      <c r="XW34" s="583"/>
      <c r="XX34" s="583"/>
      <c r="XY34" s="583"/>
      <c r="XZ34" s="583"/>
      <c r="YA34" s="583"/>
      <c r="YB34" s="583"/>
      <c r="YC34" s="583"/>
      <c r="YD34" s="583"/>
      <c r="YE34" s="583"/>
      <c r="YF34" s="583"/>
      <c r="YG34" s="583"/>
      <c r="YH34" s="583"/>
      <c r="YI34" s="583"/>
      <c r="YJ34" s="583"/>
      <c r="YK34" s="583"/>
      <c r="YL34" s="583"/>
      <c r="YM34" s="583"/>
      <c r="YN34" s="583"/>
      <c r="YO34" s="583"/>
      <c r="YP34" s="583"/>
      <c r="YQ34" s="583"/>
      <c r="YR34" s="583"/>
      <c r="YS34" s="583"/>
      <c r="YT34" s="583"/>
      <c r="YU34" s="583"/>
      <c r="YV34" s="583"/>
      <c r="YW34" s="583"/>
      <c r="YX34" s="583"/>
      <c r="YY34" s="583"/>
      <c r="YZ34" s="583"/>
      <c r="ZA34" s="583"/>
      <c r="ZB34" s="583"/>
      <c r="ZC34" s="583"/>
      <c r="ZD34" s="583"/>
      <c r="ZE34" s="583"/>
      <c r="ZF34" s="583"/>
      <c r="ZG34" s="583"/>
      <c r="ZH34" s="583"/>
      <c r="ZI34" s="583"/>
      <c r="ZJ34" s="583"/>
      <c r="ZK34" s="583"/>
      <c r="ZL34" s="583"/>
      <c r="ZM34" s="583"/>
      <c r="ZN34" s="583"/>
      <c r="ZO34" s="583"/>
      <c r="ZP34" s="583"/>
      <c r="ZQ34" s="583"/>
      <c r="ZR34" s="583"/>
      <c r="ZS34" s="583"/>
      <c r="ZT34" s="583"/>
      <c r="ZU34" s="583"/>
      <c r="ZV34" s="583"/>
      <c r="ZW34" s="583"/>
      <c r="ZX34" s="583"/>
      <c r="ZY34" s="583"/>
      <c r="ZZ34" s="583"/>
      <c r="AAA34" s="583"/>
      <c r="AAB34" s="583"/>
      <c r="AAC34" s="583"/>
      <c r="AAD34" s="583"/>
      <c r="AAE34" s="583"/>
      <c r="AAF34" s="583"/>
      <c r="AAG34" s="583"/>
      <c r="AAH34" s="583"/>
      <c r="AAI34" s="583"/>
      <c r="AAJ34" s="583"/>
      <c r="AAK34" s="583"/>
      <c r="AAL34" s="583"/>
      <c r="AAM34" s="583"/>
      <c r="AAN34" s="583"/>
      <c r="AAO34" s="583"/>
      <c r="AAP34" s="583"/>
      <c r="AAQ34" s="583"/>
      <c r="AAR34" s="583"/>
      <c r="AAS34" s="583"/>
      <c r="AAT34" s="583"/>
      <c r="AAU34" s="583"/>
      <c r="AAV34" s="583"/>
      <c r="AAW34" s="583"/>
      <c r="AAX34" s="583"/>
      <c r="AAY34" s="583"/>
      <c r="AAZ34" s="583"/>
      <c r="ABA34" s="583"/>
      <c r="ABB34" s="583"/>
      <c r="ABC34" s="583"/>
      <c r="ABD34" s="583"/>
      <c r="ABE34" s="583"/>
      <c r="ABF34" s="583"/>
      <c r="ABG34" s="583"/>
      <c r="ABH34" s="583"/>
      <c r="ABI34" s="583"/>
      <c r="ABJ34" s="583"/>
      <c r="ABK34" s="583"/>
      <c r="ABL34" s="583"/>
      <c r="ABM34" s="583"/>
      <c r="ABN34" s="583"/>
      <c r="ABO34" s="583"/>
      <c r="ABP34" s="583"/>
      <c r="ABQ34" s="583"/>
      <c r="ABR34" s="583"/>
      <c r="ABS34" s="583"/>
      <c r="ABT34" s="583"/>
      <c r="ABU34" s="583"/>
      <c r="ABV34" s="583"/>
      <c r="ABW34" s="583"/>
      <c r="ABX34" s="583"/>
      <c r="ABY34" s="583"/>
      <c r="ABZ34" s="583"/>
      <c r="ACA34" s="583"/>
      <c r="ACB34" s="583"/>
      <c r="ACC34" s="583"/>
      <c r="ACD34" s="583"/>
      <c r="ACE34" s="583"/>
      <c r="ACF34" s="583"/>
      <c r="ACG34" s="583"/>
      <c r="ACH34" s="583"/>
      <c r="ACI34" s="583"/>
      <c r="ACJ34" s="583"/>
      <c r="ACK34" s="583"/>
      <c r="ACL34" s="583"/>
      <c r="ACM34" s="583"/>
      <c r="ACN34" s="583"/>
      <c r="ACO34" s="583"/>
      <c r="ACP34" s="583"/>
      <c r="ACQ34" s="583"/>
      <c r="ACR34" s="583"/>
      <c r="ACS34" s="583"/>
      <c r="ACT34" s="583"/>
      <c r="ACU34" s="583"/>
      <c r="ACV34" s="583"/>
      <c r="ACW34" s="583"/>
      <c r="ACX34" s="583"/>
      <c r="ACY34" s="583"/>
      <c r="ACZ34" s="583"/>
      <c r="ADA34" s="583"/>
      <c r="ADB34" s="583"/>
      <c r="ADC34" s="583"/>
      <c r="ADD34" s="583"/>
      <c r="ADE34" s="583"/>
      <c r="ADF34" s="583"/>
      <c r="ADG34" s="583"/>
      <c r="ADH34" s="583"/>
      <c r="ADI34" s="583"/>
      <c r="ADJ34" s="583"/>
      <c r="ADK34" s="583"/>
      <c r="ADL34" s="583"/>
      <c r="ADM34" s="583"/>
      <c r="ADN34" s="583"/>
      <c r="ADO34" s="583"/>
      <c r="ADP34" s="583"/>
      <c r="ADQ34" s="583"/>
      <c r="ADR34" s="583"/>
      <c r="ADS34" s="583"/>
      <c r="ADT34" s="583"/>
      <c r="ADU34" s="583"/>
      <c r="ADV34" s="583"/>
      <c r="ADW34" s="583"/>
      <c r="ADX34" s="583"/>
      <c r="ADY34" s="583"/>
      <c r="ADZ34" s="583"/>
      <c r="AEA34" s="583"/>
      <c r="AEB34" s="583"/>
      <c r="AEC34" s="583"/>
      <c r="AED34" s="583"/>
      <c r="AEE34" s="583"/>
      <c r="AEF34" s="583"/>
      <c r="AEG34" s="583"/>
      <c r="AEH34" s="583"/>
      <c r="AEI34" s="583"/>
      <c r="AEJ34" s="583"/>
      <c r="AEK34" s="583"/>
      <c r="AEL34" s="583"/>
      <c r="AEM34" s="583"/>
      <c r="AEN34" s="583"/>
      <c r="AEO34" s="583"/>
      <c r="AEP34" s="583"/>
      <c r="AEQ34" s="583"/>
      <c r="AER34" s="583"/>
      <c r="AES34" s="583"/>
      <c r="AET34" s="583"/>
      <c r="AEU34" s="583"/>
      <c r="AEV34" s="583"/>
      <c r="AEW34" s="583"/>
      <c r="AEX34" s="583"/>
      <c r="AEY34" s="583"/>
      <c r="AEZ34" s="583"/>
      <c r="AFA34" s="583"/>
      <c r="AFB34" s="583"/>
      <c r="AFC34" s="583"/>
      <c r="AFD34" s="583"/>
      <c r="AFE34" s="583"/>
      <c r="AFF34" s="583"/>
      <c r="AFG34" s="583"/>
      <c r="AFH34" s="583"/>
      <c r="AFI34" s="583"/>
      <c r="AFJ34" s="583"/>
      <c r="AFK34" s="583"/>
      <c r="AFL34" s="583"/>
      <c r="AFM34" s="583"/>
      <c r="AFN34" s="583"/>
      <c r="AFO34" s="583"/>
      <c r="AFP34" s="583"/>
      <c r="AFQ34" s="583"/>
      <c r="AFR34" s="583"/>
      <c r="AFS34" s="583"/>
      <c r="AFT34" s="583"/>
      <c r="AFU34" s="583"/>
      <c r="AFV34" s="583"/>
      <c r="AFW34" s="583"/>
      <c r="AFX34" s="583"/>
      <c r="AFY34" s="583"/>
      <c r="AFZ34" s="583"/>
      <c r="AGA34" s="583"/>
      <c r="AGB34" s="583"/>
      <c r="AGC34" s="583"/>
      <c r="AGD34" s="583"/>
      <c r="AGE34" s="583"/>
      <c r="AGF34" s="583"/>
      <c r="AGG34" s="583"/>
      <c r="AGH34" s="583"/>
      <c r="AGI34" s="583"/>
      <c r="AGJ34" s="583"/>
      <c r="AGK34" s="583"/>
      <c r="AGL34" s="583"/>
      <c r="AGM34" s="583"/>
      <c r="AGN34" s="583"/>
      <c r="AGO34" s="583"/>
      <c r="AGP34" s="583"/>
      <c r="AGQ34" s="583"/>
      <c r="AGR34" s="583"/>
      <c r="AGS34" s="583"/>
      <c r="AGT34" s="583"/>
      <c r="AGU34" s="583"/>
      <c r="AGV34" s="583"/>
      <c r="AGW34" s="583"/>
      <c r="AGX34" s="583"/>
      <c r="AGY34" s="583"/>
      <c r="AGZ34" s="583"/>
      <c r="AHA34" s="583"/>
      <c r="AHB34" s="583"/>
      <c r="AHC34" s="583"/>
      <c r="AHD34" s="583"/>
      <c r="AHE34" s="583"/>
      <c r="AHF34" s="583"/>
      <c r="AHG34" s="583"/>
      <c r="AHH34" s="583"/>
      <c r="AHI34" s="583"/>
      <c r="AHJ34" s="583"/>
      <c r="AHK34" s="583"/>
      <c r="AHL34" s="583"/>
      <c r="AHM34" s="583"/>
      <c r="AHN34" s="583"/>
      <c r="AHO34" s="583"/>
      <c r="AHP34" s="583"/>
      <c r="AHQ34" s="583"/>
      <c r="AHR34" s="583"/>
      <c r="AHS34" s="583"/>
      <c r="AHT34" s="583"/>
      <c r="AHU34" s="583"/>
      <c r="AHV34" s="583"/>
      <c r="AHW34" s="583"/>
      <c r="AHX34" s="583"/>
      <c r="AHY34" s="583"/>
      <c r="AHZ34" s="583"/>
      <c r="AIA34" s="583"/>
      <c r="AIB34" s="583"/>
      <c r="AIC34" s="583"/>
      <c r="AID34" s="583"/>
      <c r="AIE34" s="583"/>
      <c r="AIF34" s="583"/>
      <c r="AIG34" s="583"/>
      <c r="AIH34" s="583"/>
      <c r="AII34" s="583"/>
      <c r="AIJ34" s="583"/>
      <c r="AIK34" s="583"/>
      <c r="AIL34" s="583"/>
      <c r="AIM34" s="583"/>
      <c r="AIN34" s="583"/>
      <c r="AIO34" s="583"/>
      <c r="AIP34" s="583"/>
      <c r="AIQ34" s="583"/>
      <c r="AIR34" s="583"/>
      <c r="AIS34" s="583"/>
      <c r="AIT34" s="583"/>
      <c r="AIU34" s="583"/>
      <c r="AIV34" s="583"/>
      <c r="AIW34" s="583"/>
      <c r="AIX34" s="583"/>
      <c r="AIY34" s="583"/>
      <c r="AIZ34" s="583"/>
      <c r="AJA34" s="583"/>
      <c r="AJB34" s="583"/>
      <c r="AJC34" s="583"/>
      <c r="AJD34" s="583"/>
      <c r="AJE34" s="583"/>
      <c r="AJF34" s="583"/>
      <c r="AJG34" s="583"/>
      <c r="AJH34" s="583"/>
      <c r="AJI34" s="583"/>
      <c r="AJJ34" s="583"/>
      <c r="AJK34" s="583"/>
      <c r="AJL34" s="583"/>
      <c r="AJM34" s="583"/>
      <c r="AJN34" s="583"/>
      <c r="AJO34" s="583"/>
      <c r="AJP34" s="583"/>
      <c r="AJQ34" s="583"/>
      <c r="AJR34" s="583"/>
      <c r="AJS34" s="583"/>
      <c r="AJT34" s="583"/>
      <c r="AJU34" s="583"/>
      <c r="AJV34" s="583"/>
      <c r="AJW34" s="583"/>
      <c r="AJX34" s="583"/>
      <c r="AJY34" s="583"/>
      <c r="AJZ34" s="583"/>
      <c r="AKA34" s="583"/>
      <c r="AKB34" s="583"/>
      <c r="AKC34" s="583"/>
      <c r="AKD34" s="583"/>
      <c r="AKE34" s="583"/>
      <c r="AKF34" s="583"/>
      <c r="AKG34" s="583"/>
      <c r="AKH34" s="583"/>
      <c r="AKI34" s="583"/>
      <c r="AKJ34" s="583"/>
      <c r="AKK34" s="583"/>
      <c r="AKL34" s="583"/>
      <c r="AKM34" s="583"/>
      <c r="AKN34" s="583"/>
      <c r="AKO34" s="583"/>
      <c r="AKP34" s="583"/>
      <c r="AKQ34" s="583"/>
      <c r="AKR34" s="583"/>
      <c r="AKS34" s="583"/>
      <c r="AKT34" s="583"/>
      <c r="AKU34" s="583"/>
      <c r="AKV34" s="583"/>
      <c r="AKW34" s="583"/>
      <c r="AKX34" s="583"/>
      <c r="AKY34" s="583"/>
      <c r="AKZ34" s="583"/>
      <c r="ALA34" s="583"/>
      <c r="ALB34" s="583"/>
      <c r="ALC34" s="583"/>
      <c r="ALD34" s="583"/>
      <c r="ALE34" s="583"/>
      <c r="ALF34" s="583"/>
      <c r="ALG34" s="583"/>
      <c r="ALH34" s="583"/>
      <c r="ALI34" s="583"/>
      <c r="ALJ34" s="583"/>
      <c r="ALK34" s="583"/>
      <c r="ALL34" s="583"/>
      <c r="ALM34" s="583"/>
      <c r="ALN34" s="583"/>
      <c r="ALO34" s="583"/>
      <c r="ALP34" s="583"/>
      <c r="ALQ34" s="583"/>
      <c r="ALR34" s="583"/>
      <c r="ALS34" s="583"/>
      <c r="ALT34" s="583"/>
      <c r="ALU34" s="583"/>
      <c r="ALV34" s="583"/>
      <c r="ALW34" s="583"/>
      <c r="ALX34" s="583"/>
      <c r="ALY34" s="583"/>
      <c r="ALZ34" s="583"/>
      <c r="AMA34" s="583"/>
      <c r="AMB34" s="583"/>
      <c r="AMC34" s="583"/>
      <c r="AMD34" s="583"/>
      <c r="AME34" s="583"/>
      <c r="AMF34" s="583"/>
      <c r="AMG34" s="583"/>
      <c r="AMH34" s="583"/>
      <c r="AMI34" s="583"/>
      <c r="AMJ34" s="583"/>
      <c r="AMK34" s="583"/>
      <c r="AML34" s="583"/>
      <c r="AMM34" s="583"/>
      <c r="AMN34" s="583"/>
      <c r="AMO34" s="583"/>
      <c r="AMP34" s="583"/>
      <c r="AMQ34" s="583"/>
      <c r="AMR34" s="583"/>
      <c r="AMS34" s="583"/>
      <c r="AMT34" s="583"/>
      <c r="AMU34" s="583"/>
      <c r="AMV34" s="583"/>
      <c r="AMW34" s="583"/>
      <c r="AMX34" s="583"/>
      <c r="AMY34" s="583"/>
      <c r="AMZ34" s="583"/>
      <c r="ANA34" s="583"/>
      <c r="ANB34" s="583"/>
      <c r="ANC34" s="583"/>
      <c r="AND34" s="583"/>
      <c r="ANE34" s="583"/>
      <c r="ANF34" s="583"/>
      <c r="ANG34" s="583"/>
      <c r="ANH34" s="583"/>
      <c r="ANI34" s="583"/>
      <c r="ANJ34" s="583"/>
      <c r="ANK34" s="583"/>
      <c r="ANL34" s="583"/>
      <c r="ANM34" s="583"/>
      <c r="ANN34" s="583"/>
      <c r="ANO34" s="583"/>
      <c r="ANP34" s="583"/>
      <c r="ANQ34" s="583"/>
      <c r="ANR34" s="583"/>
      <c r="ANS34" s="583"/>
      <c r="ANT34" s="583"/>
      <c r="ANU34" s="583"/>
      <c r="ANV34" s="583"/>
      <c r="ANW34" s="583"/>
      <c r="ANX34" s="583"/>
      <c r="ANY34" s="583"/>
      <c r="ANZ34" s="583"/>
      <c r="AOA34" s="583"/>
      <c r="AOB34" s="583"/>
      <c r="AOC34" s="583"/>
      <c r="AOD34" s="583"/>
      <c r="AOE34" s="583"/>
      <c r="AOF34" s="583"/>
      <c r="AOG34" s="583"/>
      <c r="AOH34" s="583"/>
      <c r="AOI34" s="583"/>
      <c r="AOJ34" s="583"/>
      <c r="AOK34" s="583"/>
      <c r="AOL34" s="583"/>
      <c r="AOM34" s="583"/>
      <c r="AON34" s="583"/>
      <c r="AOO34" s="583"/>
      <c r="AOP34" s="583"/>
      <c r="AOQ34" s="583"/>
      <c r="AOR34" s="583"/>
      <c r="AOS34" s="583"/>
      <c r="AOT34" s="583"/>
      <c r="AOU34" s="583"/>
      <c r="AOV34" s="583"/>
      <c r="AOW34" s="583"/>
      <c r="AOX34" s="583"/>
      <c r="AOY34" s="583"/>
      <c r="AOZ34" s="583"/>
      <c r="APA34" s="583"/>
      <c r="APB34" s="583"/>
      <c r="APC34" s="583"/>
      <c r="APD34" s="583"/>
      <c r="APE34" s="583"/>
      <c r="APF34" s="583"/>
      <c r="APG34" s="583"/>
      <c r="APH34" s="583"/>
      <c r="API34" s="583"/>
      <c r="APJ34" s="583"/>
      <c r="APK34" s="583"/>
      <c r="APL34" s="583"/>
      <c r="APM34" s="583"/>
      <c r="APN34" s="583"/>
      <c r="APO34" s="583"/>
      <c r="APP34" s="583"/>
      <c r="APQ34" s="583"/>
      <c r="APR34" s="583"/>
      <c r="APS34" s="583"/>
      <c r="APT34" s="583"/>
      <c r="APU34" s="583"/>
      <c r="APV34" s="583"/>
      <c r="APW34" s="583"/>
      <c r="APX34" s="583"/>
      <c r="APY34" s="583"/>
      <c r="APZ34" s="583"/>
      <c r="AQA34" s="583"/>
      <c r="AQB34" s="583"/>
      <c r="AQC34" s="583"/>
      <c r="AQD34" s="583"/>
      <c r="AQE34" s="583"/>
      <c r="AQF34" s="583"/>
      <c r="AQG34" s="583"/>
      <c r="AQH34" s="583"/>
      <c r="AQI34" s="583"/>
      <c r="AQJ34" s="583"/>
      <c r="AQK34" s="583"/>
      <c r="AQL34" s="583"/>
      <c r="AQM34" s="583"/>
      <c r="AQN34" s="583"/>
      <c r="AQO34" s="583"/>
      <c r="AQP34" s="583"/>
      <c r="AQQ34" s="583"/>
      <c r="AQR34" s="583"/>
      <c r="AQS34" s="583"/>
      <c r="AQT34" s="583"/>
      <c r="AQU34" s="583"/>
      <c r="AQV34" s="583"/>
      <c r="AQW34" s="583"/>
      <c r="AQX34" s="583"/>
      <c r="AQY34" s="583"/>
      <c r="AQZ34" s="583"/>
      <c r="ARA34" s="583"/>
      <c r="ARB34" s="583"/>
      <c r="ARC34" s="583"/>
      <c r="ARD34" s="583"/>
      <c r="ARE34" s="583"/>
      <c r="ARF34" s="583"/>
      <c r="ARG34" s="583"/>
      <c r="ARH34" s="583"/>
      <c r="ARI34" s="583"/>
      <c r="ARJ34" s="583"/>
      <c r="ARK34" s="583"/>
      <c r="ARL34" s="583"/>
      <c r="ARM34" s="583"/>
      <c r="ARN34" s="583"/>
      <c r="ARO34" s="583"/>
      <c r="ARP34" s="583"/>
      <c r="ARQ34" s="583"/>
      <c r="ARR34" s="583"/>
      <c r="ARS34" s="583"/>
      <c r="ART34" s="583"/>
      <c r="ARU34" s="583"/>
      <c r="ARV34" s="583"/>
      <c r="ARW34" s="583"/>
      <c r="ARX34" s="583"/>
      <c r="ARY34" s="583"/>
      <c r="ARZ34" s="583"/>
      <c r="ASA34" s="583"/>
      <c r="ASB34" s="583"/>
      <c r="ASC34" s="583"/>
      <c r="ASD34" s="583"/>
      <c r="ASE34" s="583"/>
      <c r="ASF34" s="583"/>
      <c r="ASG34" s="583"/>
      <c r="ASH34" s="583"/>
      <c r="ASI34" s="583"/>
      <c r="ASJ34" s="583"/>
      <c r="ASK34" s="583"/>
      <c r="ASL34" s="583"/>
      <c r="ASM34" s="583"/>
      <c r="ASN34" s="583"/>
      <c r="ASO34" s="583"/>
      <c r="ASP34" s="583"/>
      <c r="ASQ34" s="583"/>
      <c r="ASR34" s="583"/>
      <c r="ASS34" s="583"/>
      <c r="AST34" s="583"/>
      <c r="ASU34" s="583"/>
      <c r="ASV34" s="583"/>
      <c r="ASW34" s="583"/>
      <c r="ASX34" s="583"/>
      <c r="ASY34" s="583"/>
      <c r="ASZ34" s="583"/>
      <c r="ATA34" s="583"/>
      <c r="ATB34" s="583"/>
      <c r="ATC34" s="583"/>
      <c r="ATD34" s="583"/>
      <c r="ATE34" s="583"/>
      <c r="ATF34" s="583"/>
      <c r="ATG34" s="583"/>
      <c r="ATH34" s="583"/>
      <c r="ATI34" s="583"/>
      <c r="ATJ34" s="583"/>
      <c r="ATK34" s="583"/>
      <c r="ATL34" s="583"/>
      <c r="ATM34" s="583"/>
      <c r="ATN34" s="583"/>
      <c r="ATO34" s="583"/>
      <c r="ATP34" s="583"/>
      <c r="ATQ34" s="583"/>
      <c r="ATR34" s="583"/>
      <c r="ATS34" s="583"/>
      <c r="ATT34" s="583"/>
      <c r="ATU34" s="583"/>
      <c r="ATV34" s="583"/>
      <c r="ATW34" s="583"/>
      <c r="ATX34" s="583"/>
      <c r="ATY34" s="583"/>
      <c r="ATZ34" s="583"/>
      <c r="AUA34" s="583"/>
      <c r="AUB34" s="583"/>
      <c r="AUC34" s="583"/>
      <c r="AUD34" s="583"/>
      <c r="AUE34" s="583"/>
      <c r="AUF34" s="583"/>
      <c r="AUG34" s="583"/>
      <c r="AUH34" s="583"/>
      <c r="AUI34" s="583"/>
      <c r="AUJ34" s="583"/>
      <c r="AUK34" s="583"/>
      <c r="AUL34" s="583"/>
      <c r="AUM34" s="583"/>
      <c r="AUN34" s="583"/>
      <c r="AUO34" s="583"/>
      <c r="AUP34" s="583"/>
      <c r="AUQ34" s="583"/>
      <c r="AUR34" s="583"/>
      <c r="AUS34" s="583"/>
      <c r="AUT34" s="583"/>
      <c r="AUU34" s="583"/>
      <c r="AUV34" s="583"/>
      <c r="AUW34" s="583"/>
      <c r="AUX34" s="583"/>
      <c r="AUY34" s="583"/>
      <c r="AUZ34" s="583"/>
      <c r="AVA34" s="583"/>
      <c r="AVB34" s="583"/>
      <c r="AVC34" s="583"/>
      <c r="AVD34" s="583"/>
      <c r="AVE34" s="583"/>
      <c r="AVF34" s="583"/>
      <c r="AVG34" s="583"/>
      <c r="AVH34" s="583"/>
      <c r="AVI34" s="583"/>
      <c r="AVJ34" s="583"/>
      <c r="AVK34" s="583"/>
      <c r="AVL34" s="583"/>
      <c r="AVM34" s="583"/>
      <c r="AVN34" s="583"/>
      <c r="AVO34" s="583"/>
      <c r="AVP34" s="583"/>
      <c r="AVQ34" s="583"/>
      <c r="AVR34" s="583"/>
      <c r="AVS34" s="583"/>
      <c r="AVT34" s="583"/>
      <c r="AVU34" s="583"/>
      <c r="AVV34" s="583"/>
      <c r="AVW34" s="583"/>
      <c r="AVX34" s="583"/>
      <c r="AVY34" s="583"/>
      <c r="AVZ34" s="583"/>
      <c r="AWA34" s="583"/>
      <c r="AWB34" s="583"/>
      <c r="AWC34" s="583"/>
      <c r="AWD34" s="583"/>
      <c r="AWE34" s="583"/>
      <c r="AWF34" s="583"/>
      <c r="AWG34" s="583"/>
      <c r="AWH34" s="583"/>
      <c r="AWI34" s="583"/>
      <c r="AWJ34" s="583"/>
      <c r="AWK34" s="583"/>
      <c r="AWL34" s="583"/>
      <c r="AWM34" s="583"/>
      <c r="AWN34" s="583"/>
      <c r="AWO34" s="583"/>
      <c r="AWP34" s="583"/>
      <c r="AWQ34" s="583"/>
      <c r="AWR34" s="583"/>
      <c r="AWS34" s="583"/>
      <c r="AWT34" s="583"/>
      <c r="AWU34" s="583"/>
      <c r="AWV34" s="583"/>
      <c r="AWW34" s="583"/>
      <c r="AWX34" s="583"/>
      <c r="AWY34" s="583"/>
      <c r="AWZ34" s="583"/>
      <c r="AXA34" s="583"/>
      <c r="AXB34" s="583"/>
      <c r="AXC34" s="583"/>
      <c r="AXD34" s="583"/>
      <c r="AXE34" s="583"/>
      <c r="AXF34" s="583"/>
      <c r="AXG34" s="583"/>
      <c r="AXH34" s="583"/>
      <c r="AXI34" s="583"/>
      <c r="AXJ34" s="583"/>
      <c r="AXK34" s="583"/>
      <c r="AXL34" s="583"/>
      <c r="AXM34" s="583"/>
      <c r="AXN34" s="583"/>
      <c r="AXO34" s="583"/>
      <c r="AXP34" s="583"/>
      <c r="AXQ34" s="583"/>
      <c r="AXR34" s="583"/>
      <c r="AXS34" s="583"/>
      <c r="AXT34" s="583"/>
      <c r="AXU34" s="583"/>
      <c r="AXV34" s="583"/>
      <c r="AXW34" s="583"/>
      <c r="AXX34" s="583"/>
      <c r="AXY34" s="583"/>
      <c r="AXZ34" s="583"/>
      <c r="AYA34" s="583"/>
      <c r="AYB34" s="583"/>
      <c r="AYC34" s="583"/>
      <c r="AYD34" s="583"/>
      <c r="AYE34" s="583"/>
      <c r="AYF34" s="583"/>
      <c r="AYG34" s="583"/>
      <c r="AYH34" s="583"/>
      <c r="AYI34" s="583"/>
      <c r="AYJ34" s="583"/>
      <c r="AYK34" s="583"/>
      <c r="AYL34" s="583"/>
      <c r="AYM34" s="583"/>
      <c r="AYN34" s="583"/>
      <c r="AYO34" s="583"/>
      <c r="AYP34" s="583"/>
      <c r="AYQ34" s="583"/>
      <c r="AYR34" s="583"/>
      <c r="AYS34" s="583"/>
      <c r="AYT34" s="583"/>
      <c r="AYU34" s="583"/>
      <c r="AYV34" s="583"/>
      <c r="AYW34" s="583"/>
      <c r="AYX34" s="583"/>
      <c r="AYY34" s="583"/>
      <c r="AYZ34" s="583"/>
      <c r="AZA34" s="583"/>
      <c r="AZB34" s="583"/>
      <c r="AZC34" s="583"/>
      <c r="AZD34" s="583"/>
      <c r="AZE34" s="583"/>
      <c r="AZF34" s="583"/>
      <c r="AZG34" s="583"/>
      <c r="AZH34" s="583"/>
      <c r="AZI34" s="583"/>
      <c r="AZJ34" s="583"/>
      <c r="AZK34" s="583"/>
      <c r="AZL34" s="583"/>
      <c r="AZM34" s="583"/>
      <c r="AZN34" s="583"/>
      <c r="AZO34" s="583"/>
      <c r="AZP34" s="583"/>
      <c r="AZQ34" s="583"/>
      <c r="AZR34" s="583"/>
      <c r="AZS34" s="583"/>
      <c r="AZT34" s="583"/>
      <c r="AZU34" s="583"/>
      <c r="AZV34" s="583"/>
      <c r="AZW34" s="583"/>
      <c r="AZX34" s="583"/>
      <c r="AZY34" s="583"/>
      <c r="AZZ34" s="583"/>
      <c r="BAA34" s="583"/>
      <c r="BAB34" s="583"/>
      <c r="BAC34" s="583"/>
      <c r="BAD34" s="583"/>
      <c r="BAE34" s="583"/>
      <c r="BAF34" s="583"/>
      <c r="BAG34" s="583"/>
      <c r="BAH34" s="583"/>
      <c r="BAI34" s="583"/>
      <c r="BAJ34" s="583"/>
      <c r="BAK34" s="583"/>
      <c r="BAL34" s="583"/>
      <c r="BAM34" s="583"/>
      <c r="BAN34" s="583"/>
      <c r="BAO34" s="583"/>
      <c r="BAP34" s="583"/>
      <c r="BAQ34" s="583"/>
      <c r="BAR34" s="583"/>
      <c r="BAS34" s="583"/>
      <c r="BAT34" s="583"/>
      <c r="BAU34" s="583"/>
      <c r="BAV34" s="583"/>
      <c r="BAW34" s="583"/>
      <c r="BAX34" s="583"/>
      <c r="BAY34" s="583"/>
      <c r="BAZ34" s="583"/>
      <c r="BBA34" s="583"/>
      <c r="BBB34" s="583"/>
      <c r="BBC34" s="583"/>
      <c r="BBD34" s="583"/>
      <c r="BBE34" s="583"/>
      <c r="BBF34" s="583"/>
      <c r="BBG34" s="583"/>
      <c r="BBH34" s="583"/>
      <c r="BBI34" s="583"/>
      <c r="BBJ34" s="583"/>
      <c r="BBK34" s="583"/>
      <c r="BBL34" s="583"/>
      <c r="BBM34" s="583"/>
      <c r="BBN34" s="583"/>
      <c r="BBO34" s="583"/>
      <c r="BBP34" s="583"/>
      <c r="BBQ34" s="583"/>
      <c r="BBR34" s="583"/>
      <c r="BBS34" s="583"/>
      <c r="BBT34" s="583"/>
      <c r="BBU34" s="583"/>
      <c r="BBV34" s="583"/>
      <c r="BBW34" s="583"/>
      <c r="BBX34" s="583"/>
      <c r="BBY34" s="583"/>
      <c r="BBZ34" s="583"/>
      <c r="BCA34" s="583"/>
      <c r="BCB34" s="583"/>
      <c r="BCC34" s="583"/>
      <c r="BCD34" s="583"/>
      <c r="BCE34" s="583"/>
      <c r="BCF34" s="583"/>
      <c r="BCG34" s="583"/>
      <c r="BCH34" s="583"/>
      <c r="BCI34" s="583"/>
      <c r="BCJ34" s="583"/>
      <c r="BCK34" s="583"/>
      <c r="BCL34" s="583"/>
      <c r="BCM34" s="583"/>
      <c r="BCN34" s="583"/>
      <c r="BCO34" s="583"/>
      <c r="BCP34" s="583"/>
      <c r="BCQ34" s="583"/>
      <c r="BCR34" s="583"/>
      <c r="BCS34" s="583"/>
      <c r="BCT34" s="583"/>
      <c r="BCU34" s="583"/>
      <c r="BCV34" s="583"/>
      <c r="BCW34" s="583"/>
      <c r="BCX34" s="583"/>
      <c r="BCY34" s="583"/>
      <c r="BCZ34" s="583"/>
      <c r="BDA34" s="583"/>
      <c r="BDB34" s="583"/>
      <c r="BDC34" s="583"/>
      <c r="BDD34" s="583"/>
      <c r="BDE34" s="583"/>
      <c r="BDF34" s="583"/>
      <c r="BDG34" s="583"/>
      <c r="BDH34" s="583"/>
      <c r="BDI34" s="583"/>
      <c r="BDJ34" s="583"/>
      <c r="BDK34" s="583"/>
      <c r="BDL34" s="583"/>
      <c r="BDM34" s="583"/>
      <c r="BDN34" s="583"/>
      <c r="BDO34" s="583"/>
      <c r="BDP34" s="583"/>
      <c r="BDQ34" s="583"/>
      <c r="BDR34" s="583"/>
      <c r="BDS34" s="583"/>
      <c r="BDT34" s="583"/>
      <c r="BDU34" s="583"/>
      <c r="BDV34" s="583"/>
      <c r="BDW34" s="583"/>
      <c r="BDX34" s="583"/>
      <c r="BDY34" s="583"/>
      <c r="BDZ34" s="583"/>
      <c r="BEA34" s="583"/>
      <c r="BEB34" s="583"/>
      <c r="BEC34" s="583"/>
      <c r="BED34" s="583"/>
      <c r="BEE34" s="583"/>
      <c r="BEF34" s="583"/>
      <c r="BEG34" s="583"/>
      <c r="BEH34" s="583"/>
      <c r="BEI34" s="583"/>
      <c r="BEJ34" s="583"/>
      <c r="BEK34" s="583"/>
      <c r="BEL34" s="583"/>
      <c r="BEM34" s="583"/>
      <c r="BEN34" s="583"/>
      <c r="BEO34" s="583"/>
      <c r="BEP34" s="583"/>
      <c r="BEQ34" s="583"/>
      <c r="BER34" s="583"/>
      <c r="BES34" s="583"/>
      <c r="BET34" s="583"/>
      <c r="BEU34" s="583"/>
      <c r="BEV34" s="583"/>
      <c r="BEW34" s="583"/>
      <c r="BEX34" s="583"/>
      <c r="BEY34" s="583"/>
      <c r="BEZ34" s="583"/>
      <c r="BFA34" s="583"/>
      <c r="BFB34" s="583"/>
      <c r="BFC34" s="583"/>
      <c r="BFD34" s="583"/>
      <c r="BFE34" s="583"/>
      <c r="BFF34" s="583"/>
      <c r="BFG34" s="583"/>
      <c r="BFH34" s="583"/>
      <c r="BFI34" s="583"/>
      <c r="BFJ34" s="583"/>
      <c r="BFK34" s="583"/>
      <c r="BFL34" s="583"/>
      <c r="BFM34" s="583"/>
      <c r="BFN34" s="583"/>
      <c r="BFO34" s="583"/>
      <c r="BFP34" s="583"/>
      <c r="BFQ34" s="583"/>
      <c r="BFR34" s="583"/>
      <c r="BFS34" s="583"/>
      <c r="BFT34" s="583"/>
      <c r="BFU34" s="583"/>
      <c r="BFV34" s="583"/>
      <c r="BFW34" s="583"/>
      <c r="BFX34" s="583"/>
      <c r="BFY34" s="583"/>
      <c r="BFZ34" s="583"/>
      <c r="BGA34" s="583"/>
      <c r="BGB34" s="583"/>
      <c r="BGC34" s="583"/>
      <c r="BGD34" s="583"/>
      <c r="BGE34" s="583"/>
      <c r="BGF34" s="583"/>
      <c r="BGG34" s="583"/>
      <c r="BGH34" s="583"/>
      <c r="BGI34" s="583"/>
      <c r="BGJ34" s="583"/>
      <c r="BGK34" s="583"/>
      <c r="BGL34" s="583"/>
      <c r="BGM34" s="583"/>
      <c r="BGN34" s="583"/>
      <c r="BGO34" s="583"/>
      <c r="BGP34" s="583"/>
      <c r="BGQ34" s="583"/>
      <c r="BGR34" s="583"/>
      <c r="BGS34" s="583"/>
      <c r="BGT34" s="583"/>
      <c r="BGU34" s="583"/>
      <c r="BGV34" s="583"/>
      <c r="BGW34" s="583"/>
      <c r="BGX34" s="583"/>
      <c r="BGY34" s="583"/>
      <c r="BGZ34" s="583"/>
      <c r="BHA34" s="583"/>
      <c r="BHB34" s="583"/>
      <c r="BHC34" s="583"/>
      <c r="BHD34" s="583"/>
      <c r="BHE34" s="583"/>
      <c r="BHF34" s="583"/>
      <c r="BHG34" s="583"/>
      <c r="BHH34" s="583"/>
      <c r="BHI34" s="583"/>
      <c r="BHJ34" s="583"/>
      <c r="BHK34" s="583"/>
      <c r="BHL34" s="583"/>
      <c r="BHM34" s="583"/>
      <c r="BHN34" s="583"/>
      <c r="BHO34" s="583"/>
      <c r="BHP34" s="583"/>
      <c r="BHQ34" s="583"/>
      <c r="BHR34" s="583"/>
      <c r="BHS34" s="583"/>
      <c r="BHT34" s="583"/>
      <c r="BHU34" s="583"/>
      <c r="BHV34" s="583"/>
      <c r="BHW34" s="583"/>
      <c r="BHX34" s="583"/>
      <c r="BHY34" s="583"/>
      <c r="BHZ34" s="583"/>
      <c r="BIA34" s="583"/>
      <c r="BIB34" s="583"/>
      <c r="BIC34" s="583"/>
      <c r="BID34" s="583"/>
      <c r="BIE34" s="583"/>
      <c r="BIF34" s="583"/>
      <c r="BIG34" s="583"/>
      <c r="BIH34" s="583"/>
      <c r="BII34" s="583"/>
      <c r="BIJ34" s="583"/>
      <c r="BIK34" s="583"/>
      <c r="BIL34" s="583"/>
      <c r="BIM34" s="583"/>
      <c r="BIN34" s="583"/>
      <c r="BIO34" s="583"/>
      <c r="BIP34" s="583"/>
      <c r="BIQ34" s="583"/>
      <c r="BIR34" s="583"/>
      <c r="BIS34" s="583"/>
      <c r="BIT34" s="583"/>
      <c r="BIU34" s="583"/>
      <c r="BIV34" s="583"/>
      <c r="BIW34" s="583"/>
      <c r="BIX34" s="583"/>
      <c r="BIY34" s="583"/>
      <c r="BIZ34" s="583"/>
      <c r="BJA34" s="583"/>
      <c r="BJB34" s="583"/>
      <c r="BJC34" s="583"/>
      <c r="BJD34" s="583"/>
      <c r="BJE34" s="583"/>
      <c r="BJF34" s="583"/>
      <c r="BJG34" s="583"/>
      <c r="BJH34" s="583"/>
      <c r="BJI34" s="583"/>
      <c r="BJJ34" s="583"/>
      <c r="BJK34" s="583"/>
      <c r="BJL34" s="583"/>
      <c r="BJM34" s="583"/>
      <c r="BJN34" s="583"/>
      <c r="BJO34" s="583"/>
      <c r="BJP34" s="583"/>
      <c r="BJQ34" s="583"/>
      <c r="BJR34" s="583"/>
      <c r="BJS34" s="583"/>
      <c r="BJT34" s="583"/>
      <c r="BJU34" s="583"/>
      <c r="BJV34" s="583"/>
      <c r="BJW34" s="583"/>
      <c r="BJX34" s="583"/>
      <c r="BJY34" s="583"/>
      <c r="BJZ34" s="583"/>
      <c r="BKA34" s="583"/>
      <c r="BKB34" s="583"/>
      <c r="BKC34" s="583"/>
      <c r="BKD34" s="583"/>
      <c r="BKE34" s="583"/>
      <c r="BKF34" s="583"/>
      <c r="BKG34" s="583"/>
      <c r="BKH34" s="583"/>
      <c r="BKI34" s="583"/>
      <c r="BKJ34" s="583"/>
      <c r="BKK34" s="583"/>
      <c r="BKL34" s="583"/>
      <c r="BKM34" s="583"/>
      <c r="BKN34" s="583"/>
      <c r="BKO34" s="583"/>
      <c r="BKP34" s="583"/>
      <c r="BKQ34" s="583"/>
      <c r="BKR34" s="583"/>
      <c r="BKS34" s="583"/>
      <c r="BKT34" s="583"/>
      <c r="BKU34" s="583"/>
      <c r="BKV34" s="583"/>
      <c r="BKW34" s="583"/>
      <c r="BKX34" s="583"/>
      <c r="BKY34" s="583"/>
      <c r="BKZ34" s="583"/>
      <c r="BLA34" s="583"/>
      <c r="BLB34" s="583"/>
      <c r="BLC34" s="583"/>
      <c r="BLD34" s="583"/>
      <c r="BLE34" s="583"/>
      <c r="BLF34" s="583"/>
      <c r="BLG34" s="583"/>
      <c r="BLH34" s="583"/>
      <c r="BLI34" s="583"/>
      <c r="BLJ34" s="583"/>
      <c r="BLK34" s="583"/>
      <c r="BLL34" s="583"/>
      <c r="BLM34" s="583"/>
      <c r="BLN34" s="583"/>
      <c r="BLO34" s="583"/>
      <c r="BLP34" s="583"/>
      <c r="BLQ34" s="583"/>
      <c r="BLR34" s="583"/>
      <c r="BLS34" s="583"/>
      <c r="BLT34" s="583"/>
      <c r="BLU34" s="583"/>
      <c r="BLV34" s="583"/>
      <c r="BLW34" s="583"/>
      <c r="BLX34" s="583"/>
      <c r="BLY34" s="583"/>
      <c r="BLZ34" s="583"/>
      <c r="BMA34" s="583"/>
      <c r="BMB34" s="583"/>
      <c r="BMC34" s="583"/>
      <c r="BMD34" s="583"/>
      <c r="BME34" s="583"/>
      <c r="BMF34" s="583"/>
      <c r="BMG34" s="583"/>
      <c r="BMH34" s="583"/>
      <c r="BMI34" s="583"/>
      <c r="BMJ34" s="583"/>
      <c r="BMK34" s="583"/>
      <c r="BML34" s="583"/>
      <c r="BMM34" s="583"/>
      <c r="BMN34" s="583"/>
      <c r="BMO34" s="583"/>
      <c r="BMP34" s="583"/>
      <c r="BMQ34" s="583"/>
      <c r="BMR34" s="583"/>
      <c r="BMS34" s="583"/>
      <c r="BMT34" s="583"/>
      <c r="BMU34" s="583"/>
      <c r="BMV34" s="583"/>
      <c r="BMW34" s="583"/>
      <c r="BMX34" s="583"/>
      <c r="BMY34" s="583"/>
      <c r="BMZ34" s="583"/>
      <c r="BNA34" s="583"/>
      <c r="BNB34" s="583"/>
      <c r="BNC34" s="583"/>
      <c r="BND34" s="583"/>
      <c r="BNE34" s="583"/>
      <c r="BNF34" s="583"/>
      <c r="BNG34" s="583"/>
      <c r="BNH34" s="583"/>
      <c r="BNI34" s="583"/>
      <c r="BNJ34" s="583"/>
      <c r="BNK34" s="583"/>
      <c r="BNL34" s="583"/>
      <c r="BNM34" s="583"/>
      <c r="BNN34" s="583"/>
      <c r="BNO34" s="583"/>
      <c r="BNP34" s="583"/>
      <c r="BNQ34" s="583"/>
      <c r="BNR34" s="583"/>
      <c r="BNS34" s="583"/>
      <c r="BNT34" s="583"/>
      <c r="BNU34" s="583"/>
      <c r="BNV34" s="583"/>
      <c r="BNW34" s="583"/>
      <c r="BNX34" s="583"/>
      <c r="BNY34" s="583"/>
      <c r="BNZ34" s="583"/>
      <c r="BOA34" s="583"/>
      <c r="BOB34" s="583"/>
      <c r="BOC34" s="583"/>
      <c r="BOD34" s="583"/>
      <c r="BOE34" s="583"/>
      <c r="BOF34" s="583"/>
      <c r="BOG34" s="583"/>
      <c r="BOH34" s="583"/>
      <c r="BOI34" s="583"/>
      <c r="BOJ34" s="583"/>
      <c r="BOK34" s="583"/>
      <c r="BOL34" s="583"/>
      <c r="BOM34" s="583"/>
      <c r="BON34" s="583"/>
      <c r="BOO34" s="583"/>
      <c r="BOP34" s="583"/>
      <c r="BOQ34" s="583"/>
      <c r="BOR34" s="583"/>
      <c r="BOS34" s="583"/>
      <c r="BOT34" s="583"/>
      <c r="BOU34" s="583"/>
      <c r="BOV34" s="583"/>
      <c r="BOW34" s="583"/>
      <c r="BOX34" s="583"/>
      <c r="BOY34" s="583"/>
      <c r="BOZ34" s="583"/>
      <c r="BPA34" s="583"/>
      <c r="BPB34" s="583"/>
      <c r="BPC34" s="583"/>
      <c r="BPD34" s="583"/>
      <c r="BPE34" s="583"/>
      <c r="BPF34" s="583"/>
      <c r="BPG34" s="583"/>
      <c r="BPH34" s="583"/>
      <c r="BPI34" s="583"/>
      <c r="BPJ34" s="583"/>
      <c r="BPK34" s="583"/>
      <c r="BPL34" s="583"/>
      <c r="BPM34" s="583"/>
      <c r="BPN34" s="583"/>
      <c r="BPO34" s="583"/>
      <c r="BPP34" s="583"/>
      <c r="BPQ34" s="583"/>
      <c r="BPR34" s="583"/>
      <c r="BPS34" s="583"/>
      <c r="BPT34" s="583"/>
      <c r="BPU34" s="583"/>
      <c r="BPV34" s="583"/>
      <c r="BPW34" s="583"/>
      <c r="BPX34" s="583"/>
      <c r="BPY34" s="583"/>
      <c r="BPZ34" s="583"/>
      <c r="BQA34" s="583"/>
      <c r="BQB34" s="583"/>
      <c r="BQC34" s="583"/>
      <c r="BQD34" s="583"/>
      <c r="BQE34" s="583"/>
      <c r="BQF34" s="583"/>
      <c r="BQG34" s="583"/>
      <c r="BQH34" s="583"/>
      <c r="BQI34" s="583"/>
      <c r="BQJ34" s="583"/>
      <c r="BQK34" s="583"/>
      <c r="BQL34" s="583"/>
      <c r="BQM34" s="583"/>
      <c r="BQN34" s="583"/>
      <c r="BQO34" s="583"/>
      <c r="BQP34" s="583"/>
      <c r="BQQ34" s="583"/>
      <c r="BQR34" s="583"/>
      <c r="BQS34" s="583"/>
      <c r="BQT34" s="583"/>
      <c r="BQU34" s="583"/>
      <c r="BQV34" s="583"/>
      <c r="BQW34" s="583"/>
      <c r="BQX34" s="583"/>
      <c r="BQY34" s="583"/>
      <c r="BQZ34" s="583"/>
      <c r="BRA34" s="583"/>
      <c r="BRB34" s="583"/>
      <c r="BRC34" s="583"/>
      <c r="BRD34" s="583"/>
      <c r="BRE34" s="583"/>
      <c r="BRF34" s="583"/>
      <c r="BRG34" s="583"/>
      <c r="BRH34" s="583"/>
      <c r="BRI34" s="583"/>
      <c r="BRJ34" s="583"/>
      <c r="BRK34" s="583"/>
      <c r="BRL34" s="583"/>
      <c r="BRM34" s="583"/>
      <c r="BRN34" s="583"/>
      <c r="BRO34" s="583"/>
      <c r="BRP34" s="583"/>
      <c r="BRQ34" s="583"/>
      <c r="BRR34" s="583"/>
      <c r="BRS34" s="583"/>
      <c r="BRT34" s="583"/>
      <c r="BRU34" s="583"/>
      <c r="BRV34" s="583"/>
      <c r="BRW34" s="583"/>
      <c r="BRX34" s="583"/>
      <c r="BRY34" s="583"/>
      <c r="BRZ34" s="583"/>
      <c r="BSA34" s="583"/>
      <c r="BSB34" s="583"/>
      <c r="BSC34" s="583"/>
      <c r="BSD34" s="583"/>
      <c r="BSE34" s="583"/>
      <c r="BSF34" s="583"/>
      <c r="BSG34" s="583"/>
      <c r="BSH34" s="583"/>
      <c r="BSI34" s="583"/>
      <c r="BSJ34" s="583"/>
      <c r="BSK34" s="583"/>
      <c r="BSL34" s="583"/>
      <c r="BSM34" s="583"/>
      <c r="BSN34" s="583"/>
      <c r="BSO34" s="583"/>
      <c r="BSP34" s="583"/>
      <c r="BSQ34" s="583"/>
      <c r="BSR34" s="583"/>
      <c r="BSS34" s="583"/>
      <c r="BST34" s="583"/>
      <c r="BSU34" s="583"/>
      <c r="BSV34" s="583"/>
      <c r="BSW34" s="583"/>
      <c r="BSX34" s="583"/>
      <c r="BSY34" s="583"/>
      <c r="BSZ34" s="583"/>
      <c r="BTA34" s="583"/>
      <c r="BTB34" s="583"/>
      <c r="BTC34" s="583"/>
      <c r="BTD34" s="583"/>
      <c r="BTE34" s="583"/>
      <c r="BTF34" s="583"/>
      <c r="BTG34" s="583"/>
      <c r="BTH34" s="583"/>
      <c r="BTI34" s="583"/>
      <c r="BTJ34" s="583"/>
      <c r="BTK34" s="583"/>
      <c r="BTL34" s="583"/>
      <c r="BTM34" s="583"/>
      <c r="BTN34" s="583"/>
      <c r="BTO34" s="583"/>
      <c r="BTP34" s="583"/>
      <c r="BTQ34" s="583"/>
      <c r="BTR34" s="583"/>
      <c r="BTS34" s="583"/>
      <c r="BTT34" s="583"/>
      <c r="BTU34" s="583"/>
      <c r="BTV34" s="583"/>
      <c r="BTW34" s="583"/>
      <c r="BTX34" s="583"/>
      <c r="BTY34" s="583"/>
      <c r="BTZ34" s="583"/>
      <c r="BUA34" s="583"/>
      <c r="BUB34" s="583"/>
      <c r="BUC34" s="583"/>
      <c r="BUD34" s="583"/>
      <c r="BUE34" s="583"/>
      <c r="BUF34" s="583"/>
      <c r="BUG34" s="583"/>
      <c r="BUH34" s="583"/>
      <c r="BUI34" s="583"/>
      <c r="BUJ34" s="583"/>
      <c r="BUK34" s="583"/>
      <c r="BUL34" s="583"/>
      <c r="BUM34" s="583"/>
      <c r="BUN34" s="583"/>
      <c r="BUO34" s="583"/>
      <c r="BUP34" s="583"/>
      <c r="BUQ34" s="583"/>
      <c r="BUR34" s="583"/>
      <c r="BUS34" s="583"/>
      <c r="BUT34" s="583"/>
      <c r="BUU34" s="583"/>
      <c r="BUV34" s="583"/>
      <c r="BUW34" s="583"/>
      <c r="BUX34" s="583"/>
      <c r="BUY34" s="583"/>
      <c r="BUZ34" s="583"/>
      <c r="BVA34" s="583"/>
      <c r="BVB34" s="583"/>
      <c r="BVC34" s="583"/>
      <c r="BVD34" s="583"/>
      <c r="BVE34" s="583"/>
      <c r="BVF34" s="583"/>
      <c r="BVG34" s="583"/>
      <c r="BVH34" s="583"/>
      <c r="BVI34" s="583"/>
      <c r="BVJ34" s="583"/>
      <c r="BVK34" s="583"/>
      <c r="BVL34" s="583"/>
      <c r="BVM34" s="583"/>
      <c r="BVN34" s="583"/>
      <c r="BVO34" s="583"/>
      <c r="BVP34" s="583"/>
      <c r="BVQ34" s="583"/>
      <c r="BVR34" s="583"/>
      <c r="BVS34" s="583"/>
      <c r="BVT34" s="583"/>
      <c r="BVU34" s="583"/>
      <c r="BVV34" s="583"/>
      <c r="BVW34" s="583"/>
      <c r="BVX34" s="583"/>
      <c r="BVY34" s="583"/>
      <c r="BVZ34" s="583"/>
      <c r="BWA34" s="583"/>
      <c r="BWB34" s="583"/>
      <c r="BWC34" s="583"/>
      <c r="BWD34" s="583"/>
      <c r="BWE34" s="583"/>
      <c r="BWF34" s="583"/>
      <c r="BWG34" s="583"/>
      <c r="BWH34" s="583"/>
      <c r="BWI34" s="583"/>
      <c r="BWJ34" s="583"/>
      <c r="BWK34" s="583"/>
      <c r="BWL34" s="583"/>
      <c r="BWM34" s="583"/>
      <c r="BWN34" s="583"/>
      <c r="BWO34" s="583"/>
      <c r="BWP34" s="583"/>
      <c r="BWQ34" s="583"/>
      <c r="BWR34" s="583"/>
      <c r="BWS34" s="583"/>
      <c r="BWT34" s="583"/>
      <c r="BWU34" s="583"/>
      <c r="BWV34" s="583"/>
      <c r="BWW34" s="583"/>
      <c r="BWX34" s="583"/>
      <c r="BWY34" s="583"/>
      <c r="BWZ34" s="583"/>
      <c r="BXA34" s="583"/>
      <c r="BXB34" s="583"/>
      <c r="BXC34" s="583"/>
      <c r="BXD34" s="583"/>
      <c r="BXE34" s="583"/>
      <c r="BXF34" s="583"/>
      <c r="BXG34" s="583"/>
      <c r="BXH34" s="583"/>
      <c r="BXI34" s="583"/>
      <c r="BXJ34" s="583"/>
      <c r="BXK34" s="583"/>
      <c r="BXL34" s="583"/>
      <c r="BXM34" s="583"/>
      <c r="BXN34" s="583"/>
      <c r="BXO34" s="583"/>
      <c r="BXP34" s="583"/>
      <c r="BXQ34" s="583"/>
      <c r="BXR34" s="583"/>
      <c r="BXS34" s="583"/>
      <c r="BXT34" s="583"/>
      <c r="BXU34" s="583"/>
      <c r="BXV34" s="583"/>
      <c r="BXW34" s="583"/>
      <c r="BXX34" s="583"/>
      <c r="BXY34" s="583"/>
      <c r="BXZ34" s="583"/>
      <c r="BYA34" s="583"/>
      <c r="BYB34" s="583"/>
      <c r="BYC34" s="583"/>
      <c r="BYD34" s="583"/>
      <c r="BYE34" s="583"/>
      <c r="BYF34" s="583"/>
      <c r="BYG34" s="583"/>
      <c r="BYH34" s="583"/>
      <c r="BYI34" s="583"/>
      <c r="BYJ34" s="583"/>
      <c r="BYK34" s="583"/>
      <c r="BYL34" s="583"/>
      <c r="BYM34" s="583"/>
      <c r="BYN34" s="583"/>
      <c r="BYO34" s="583"/>
      <c r="BYP34" s="583"/>
      <c r="BYQ34" s="583"/>
      <c r="BYR34" s="583"/>
      <c r="BYS34" s="583"/>
      <c r="BYT34" s="583"/>
      <c r="BYU34" s="583"/>
      <c r="BYV34" s="583"/>
      <c r="BYW34" s="583"/>
      <c r="BYX34" s="583"/>
      <c r="BYY34" s="583"/>
      <c r="BYZ34" s="583"/>
      <c r="BZA34" s="583"/>
      <c r="BZB34" s="583"/>
      <c r="BZC34" s="583"/>
      <c r="BZD34" s="583"/>
      <c r="BZE34" s="583"/>
      <c r="BZF34" s="583"/>
      <c r="BZG34" s="583"/>
      <c r="BZH34" s="583"/>
      <c r="BZI34" s="583"/>
      <c r="BZJ34" s="583"/>
      <c r="BZK34" s="583"/>
      <c r="BZL34" s="583"/>
      <c r="BZM34" s="583"/>
      <c r="BZN34" s="583"/>
      <c r="BZO34" s="583"/>
      <c r="BZP34" s="583"/>
      <c r="BZQ34" s="583"/>
      <c r="BZR34" s="583"/>
      <c r="BZS34" s="583"/>
      <c r="BZT34" s="583"/>
      <c r="BZU34" s="583"/>
      <c r="BZV34" s="583"/>
      <c r="BZW34" s="583"/>
      <c r="BZX34" s="583"/>
      <c r="BZY34" s="583"/>
      <c r="BZZ34" s="583"/>
      <c r="CAA34" s="583"/>
      <c r="CAB34" s="583"/>
      <c r="CAC34" s="583"/>
      <c r="CAD34" s="583"/>
      <c r="CAE34" s="583"/>
      <c r="CAF34" s="583"/>
      <c r="CAG34" s="583"/>
      <c r="CAH34" s="583"/>
      <c r="CAI34" s="583"/>
      <c r="CAJ34" s="583"/>
      <c r="CAK34" s="583"/>
      <c r="CAL34" s="583"/>
      <c r="CAM34" s="583"/>
      <c r="CAN34" s="583"/>
      <c r="CAO34" s="583"/>
      <c r="CAP34" s="583"/>
      <c r="CAQ34" s="583"/>
      <c r="CAR34" s="583"/>
      <c r="CAS34" s="583"/>
      <c r="CAT34" s="583"/>
      <c r="CAU34" s="583"/>
      <c r="CAV34" s="583"/>
      <c r="CAW34" s="583"/>
      <c r="CAX34" s="583"/>
      <c r="CAY34" s="583"/>
      <c r="CAZ34" s="583"/>
      <c r="CBA34" s="583"/>
      <c r="CBB34" s="583"/>
      <c r="CBC34" s="583"/>
      <c r="CBD34" s="583"/>
      <c r="CBE34" s="583"/>
      <c r="CBF34" s="583"/>
      <c r="CBG34" s="583"/>
      <c r="CBH34" s="583"/>
      <c r="CBI34" s="583"/>
      <c r="CBJ34" s="583"/>
      <c r="CBK34" s="583"/>
      <c r="CBL34" s="583"/>
      <c r="CBM34" s="583"/>
      <c r="CBN34" s="583"/>
      <c r="CBO34" s="583"/>
      <c r="CBP34" s="583"/>
      <c r="CBQ34" s="583"/>
      <c r="CBR34" s="583"/>
      <c r="CBS34" s="583"/>
      <c r="CBT34" s="583"/>
      <c r="CBU34" s="583"/>
      <c r="CBV34" s="583"/>
      <c r="CBW34" s="583"/>
      <c r="CBX34" s="583"/>
      <c r="CBY34" s="583"/>
      <c r="CBZ34" s="583"/>
    </row>
    <row r="35" spans="1:2106" ht="15.75" customHeight="1">
      <c r="A35" s="38"/>
      <c r="B35" s="404"/>
      <c r="C35" s="39"/>
      <c r="D35" s="39"/>
      <c r="E35" s="39"/>
      <c r="F35" s="405"/>
      <c r="G35" s="406"/>
      <c r="H35" s="40"/>
      <c r="I35" s="39"/>
      <c r="J35" s="39"/>
      <c r="K35" s="405"/>
      <c r="L35" s="405"/>
      <c r="M35" s="41"/>
      <c r="N35" s="40"/>
      <c r="O35" s="39"/>
      <c r="P35" s="405"/>
      <c r="Q35" s="405"/>
      <c r="R35" s="39"/>
      <c r="S35" s="41"/>
      <c r="T35" s="40"/>
      <c r="U35" s="405"/>
      <c r="V35" s="405"/>
      <c r="W35" s="39"/>
      <c r="X35" s="39"/>
      <c r="Y35" s="41"/>
      <c r="Z35" s="404"/>
      <c r="AA35" s="405"/>
      <c r="AB35" s="39"/>
      <c r="AC35" s="39"/>
      <c r="AD35" s="39"/>
      <c r="AE35" s="41"/>
      <c r="AF35" s="404"/>
      <c r="AG35" s="39"/>
      <c r="AH35" s="39"/>
      <c r="AI35" s="39"/>
      <c r="AJ35" s="405"/>
      <c r="AK35" s="41"/>
      <c r="AL35" s="40"/>
      <c r="AM35" s="39"/>
      <c r="AN35" s="39"/>
      <c r="AO35" s="405"/>
      <c r="AP35" s="405"/>
      <c r="AQ35" s="41"/>
      <c r="AR35" s="40"/>
      <c r="AS35" s="39"/>
      <c r="AT35" s="42"/>
      <c r="AU35" s="42"/>
      <c r="AV35" s="42"/>
      <c r="AW35" s="43"/>
      <c r="AX35" s="44"/>
      <c r="AY35" s="42"/>
      <c r="AZ35" s="42"/>
      <c r="BA35" s="42"/>
      <c r="BB35" s="42"/>
      <c r="BC35" s="43"/>
      <c r="BD35" s="44"/>
      <c r="BE35" s="42"/>
      <c r="BF35" s="42"/>
      <c r="BG35" s="42"/>
      <c r="BH35" s="42"/>
      <c r="BI35" s="43"/>
      <c r="BJ35" s="44"/>
      <c r="BK35" s="42"/>
      <c r="BL35" s="42"/>
      <c r="BM35" s="42"/>
      <c r="BN35" s="42"/>
      <c r="BO35" s="43"/>
      <c r="BP35" s="44"/>
      <c r="BQ35" s="42"/>
      <c r="BR35" s="42"/>
      <c r="BS35" s="42"/>
      <c r="BT35" s="42"/>
      <c r="BU35" s="43"/>
      <c r="BV35" s="44"/>
      <c r="BW35" s="42"/>
      <c r="BX35" s="42"/>
      <c r="BY35" s="42"/>
      <c r="BZ35" s="42"/>
      <c r="CA35" s="43"/>
      <c r="CB35" s="44"/>
      <c r="CC35" s="42"/>
      <c r="CD35" s="42"/>
      <c r="CE35" s="42"/>
      <c r="CF35" s="42"/>
      <c r="CG35" s="43"/>
      <c r="CH35" s="44"/>
      <c r="CI35" s="42"/>
      <c r="CJ35" s="42"/>
      <c r="CK35" s="42"/>
      <c r="CL35" s="42"/>
      <c r="CM35" s="43"/>
      <c r="CN35" s="45"/>
      <c r="CO35" s="46"/>
      <c r="CP35" s="757"/>
      <c r="CQ35" s="47"/>
      <c r="CR35" s="628"/>
      <c r="CS35" s="628"/>
      <c r="CT35" s="628"/>
      <c r="CU35" s="628"/>
      <c r="CV35" s="628"/>
      <c r="CW35" s="628"/>
      <c r="CX35" s="628"/>
      <c r="CY35" s="628"/>
      <c r="CZ35" s="628"/>
      <c r="DA35" s="628"/>
      <c r="DB35" s="628"/>
      <c r="DC35" s="628"/>
      <c r="DD35" s="628"/>
      <c r="DE35" s="628"/>
      <c r="DF35" s="628"/>
      <c r="DG35" s="628"/>
      <c r="DH35" s="628"/>
    </row>
    <row r="36" spans="1:2106" s="384" customFormat="1" ht="26.25" customHeight="1" thickBot="1">
      <c r="A36" s="378" t="s">
        <v>96</v>
      </c>
      <c r="B36" s="50"/>
      <c r="C36" s="48">
        <f>ROUND(SUM(C5:C34),2)</f>
        <v>11.95</v>
      </c>
      <c r="D36" s="49"/>
      <c r="E36" s="48">
        <f>ROUND(((($C$5*(E5/100))+($C$6*(E6/100))+($C$7*(E7/100))+($C$8*(E8/100))+($C$9*(E9/100))+($C$10*(E10/100))+($C$11*(E11/100))+($C$12*(E12/100))+($C$13*(E13/100))+($C$14*(E14/100))+($C$15*(E15/100))+($C$16*(E16/100))+($C$17*(E17/100))+($C$18*(E18/100))+($C$19*(E19/100))+($C$20*(E20/100))+($C$21*(E21/100))+($C$22*(E22/100))+($C$23*(E23/100))+($C$24*(E24/100))+($C$25*(E25/100))+($C$26*(E26/100))+($C$27*(E27/100))+($C$28*(E28/100))+($C$29*(E29/100))+($C$30*(E30/100))+($C$31*(E31/100))+($C$32*(E32/100))+($C$33*(E33/100))+($C$34*(E34/100)))*100)/C36,2)</f>
        <v>23.29</v>
      </c>
      <c r="F36" s="48">
        <f>ROUND(((($C$5*(F5/100))+($C$6*(F6/100))+($C$7*(F7/100))+($C$8*(F8/100))+($C$9*(F9/100))+($C$10*(F10/100))+($C$11*(F11/100))+($C$12*(F12/100))+($C$13*(F13/100))+($C$14*(F14/100))+($C$15*(F15/100))+($C$16*(F16/100))+($C$17*(F17/100))+($C$18*(F18/100))+($C$19*(F19/100))+($C$20*(F20/100))+($C$21*(F21/100))+($C$22*(F22/100))+($C$23*(F23/100))+($C$24*(F24/100))+($C$25*(F25/100))+($C$26*(F26/100))+($C$27*(F27/100))+($C$28*(F28/100))+($C$29*(F29/100))+($C$30*(F30/100))+($C$31*(F31/100))+($C$32*(F32/100))+($C$33*(F33/100))+($C$34*(F34/100)))*100)/$C$36,2)</f>
        <v>78.040000000000006</v>
      </c>
      <c r="G36" s="379">
        <f>ROUND((((C5*(G5/100))+(C6*(G6/100))+(C7*(G7/100))+(C8*(G8/100))+(C9*(G9/100))+(C10*(G10/100))+(C11*(G11/100))+(C12*(G12/100))+(C13*(G13/100))+(C14*(G14/100))+(C15*(G15/100))+(C16*(G16/100))+(C17*(G17/100))+(C18*(G18/100))+(C19*(G19/100))+(C20*(G20/100))+(C21*(G21/100))+(C22*(G22/100))+(C23*(G23/100))+(C24*(G24/100))+(C25*(G25/100))+(C26*(G26/100))+(C27*(G27/100))+(C28*(G28/100))+(C29*(G29/100))+(C30*(G30/100))+(C31*(G31/100))+(C32*(G32/100))+(C33*(G33/100))+(C34*(G34/100)))*100)/C36,5)</f>
        <v>1.0471200000000001</v>
      </c>
      <c r="H36" s="50"/>
      <c r="I36" s="48">
        <f>ROUND(SUM(I5:I34),2)</f>
        <v>11.95</v>
      </c>
      <c r="J36" s="48"/>
      <c r="K36" s="48">
        <f>ROUND(((($I$5*(K5/100))+($I$6*(K6/100))+($I$7*(K7/100))+($I$8*(K8/100))+($I$9*(K9/100))+($I$10*(K10/100))+($I$11*(K11/100))+($I$12*(K12/100))+($I$13*(K13/100))+($I$14*(K14/100))+($I$15*(K15/100))+($I$16*(K16/100))+($I$17*(K17/100))+($I$18*(K18/100))+($I$19*(K19/100))+($I$20*(K20/100))+($I$21*(K21/100))+($I$22*(K22/100))+($I$23*(K23/100))+($I$24*(K24/100))+($I$25*(K25/100))+($I$26*(K26/100))+($I$27*(K27/100))+($I$28*(K28/100))+($I$29*(K29/100))+($I$30*(K30/100))+($I$31*(K31/100))+($I$32*(K32/100))+($I$33*(K33/100))+($I$34*(K34/100)))*100)/I36,2)</f>
        <v>23.29</v>
      </c>
      <c r="L36" s="48">
        <f>ROUND(((($I$5*(L5/100))+($I$6*(L6/100))+($I$7*(L7/100))+($I$8*(L8/100))+($I$9*(L9/100))+($I$10*(L10/100))+($I$11*(L11/100))+($I$12*(L12/100))+($I$13*(L13/100))+($I$14*(L14/100))+($I$15*(L15/100))+($I$16*(L16/100))+($I$17*(L17/100))+($I$18*(L18/100))+($I$19*(L19/100))+($I$20*(L20/100))+($I$21*(L21/100))+($I$22*(L22/100))+($I$23*(L23/100))+($I$24*(L24/100))+($I$25*(L25/100))+($I$26*(L26/100))+($I$27*(L27/100))+($I$28*(L28/100))+($I$29*(L29/100))+($I$30*(L30/100))+($I$31*(L31/100))+($I$32*(L32/100))+($I$33*(L33/100))+($I$34*(L34/100)))*100)/$I$36,2)</f>
        <v>78.040000000000006</v>
      </c>
      <c r="M36" s="380">
        <f>ROUND((((I5*(M5/100))+(I6*(M6/100))+(I7*(M7/100))+(I8*(M8/100))+(I9*(M9/100))+(I10*(M10/100))+(I11*(M11/100))+(I12*(M12/100))+(I13*(M13/100))+(I14*(M14/100))+(I15*(M15/100))+(I16*(M16/100))+(I17*(M17/100))+(I18*(M18/100))+(I19*(M19/100))+(I20*(M20/100))+(I21*(M21/100))+(I22*(M22/100))+(I23*(M23/100))+(I24*(M24/100))+(I25*(M25/100))+(I26*(M26/100))+(I27*(M27/100))+(I28*(M28/100))+(I29*(M29/100))+(I30*(M30/100))+(I31*(M31/100))+(I32*(M32/100))+(I33*(M33/100))+(I34*(M34/100)))*100)/I36,5)</f>
        <v>1.0471200000000001</v>
      </c>
      <c r="N36" s="50"/>
      <c r="O36" s="48">
        <f>ROUND(SUM(O5:O34),2)</f>
        <v>11.95</v>
      </c>
      <c r="P36" s="48"/>
      <c r="Q36" s="48">
        <f>ROUND(((($O$5*(Q5/100))+($O$6*(Q6/100))+($O$7*(Q7/100))+($O$8*(Q8/100))+($O$9*(Q9/100))+($O$10*(Q10/100))+($O$11*(Q11/100))+($O$12*(Q12/100))+($O$13*(Q13/100))+($O$14*(Q14/100))+($O$15*(Q15/100))+($O$16*(Q16/100))+($O$17*(Q17/100))+($O$18*(Q18/100))+($O$19*(Q19/100))+($O$20*(Q20/100))+($O$21*(Q21/100))+($O$22*(Q22/100))+($O$23*(Q23/100))+($O$24*(Q24/100))+($O$25*(Q25/100))+($O$26*(Q26/100))+($O$27*(Q27/100))+($O$28*(Q28/100))+($O$29*(Q29/100))+($O$30*(Q30/100))+($O$31*(Q31/100))+($O$32*(Q32/100))+($O$33*(Q33/100))+($O$34*(Q34/100)))*100)/O36,2)</f>
        <v>23.29</v>
      </c>
      <c r="R36" s="48">
        <f>ROUND(((($O$5*(R5/100))+($O$6*(R6/100))+($O$7*(R7/100))+($O$8*(R8/100))+($O$9*(R9/100))+($O$10*(R10/100))+($O$11*(R11/100))+($O$12*(R12/100))+($O$13*(R13/100))+($O$14*(R14/100))+($O$15*(R15/100))+($O$16*(R16/100))+($O$17*(R17/100))+($O$18*(R18/100))+($O$19*(R19/100))+($O$20*(R20/100))+($O$21*(R21/100))+($O$22*(R22/100))+($O$23*(R23/100))+($O$24*(R24/100))+($O$25*(R25/100))+($O$26*(R26/100))+($O$27*(R27/100))+($O$28*(R28/100))+($O$29*(R29/100))+($O$30*(R30/100))+($O$31*(R31/100))+($O$32*(R32/100))+($O$33*(R33/100))+($O$34*(R34/100)))*100)/$O$36,2)</f>
        <v>78.040000000000006</v>
      </c>
      <c r="S36" s="380">
        <f>ROUND((((O5*(S5/100))+(O6*(S6/100))+(O7*(S7/100))+(O8*(S8/100))+(O9*(S9/100))+(O10*(S10/100))+(O11*(S11/100))+(O12*(S12/100))+(O13*(S13/100))+(O14*(S14/100))+(O15*(S15/100))+(O16*(S16/100))+(O17*(S17/100))+(O18*(S18/100))+(O19*(S19/100))+(O20*(S20/100))+(O21*(S21/100))+(O22*(S22/100))+(O23*(S23/100))+(O24*(S24/100))+(O25*(S25/100))+(O26*(S26/100))+(O27*(S27/100))+(O28*(S28/100))+(O29*(S29/100))+(O30*(S30/100))+(O31*(S31/100))+(O32*(S32/100))+(O33*(S33/100))+(O34*(S34/100)))*100)/O36,5)</f>
        <v>1.0471200000000001</v>
      </c>
      <c r="T36" s="50"/>
      <c r="U36" s="48">
        <f>ROUND(SUM(U5:U34),2)</f>
        <v>23.9</v>
      </c>
      <c r="V36" s="48"/>
      <c r="W36" s="48">
        <f>ROUND(((($U$5*(W5/100))+($U$6*(W6/100))+($U$7*(W7/100))+($U$8*(W8/100))+($U$9*(W9/100))+($U$10*(W10/100))+($U$11*(W11/100))+($U$12*(W12/100))+($U$13*(W13/100))+($U$14*(W14/100))+($U$15*(W15/100))+($U$16*(W16/100))+($U$17*(W17/100))+($U$18*(W18/100))+($U$19*(W19/100))+($U$20*(W20/100))+($U$21*(W21/100))+($U$22*(W22/100))+($U$23*(W23/100))+($U$24*(W24/100))+($U$25*(W25/100))+($U$26*(W26/100))+($U$27*(W27/100))+($U$28*(W28/100))+($U$29*(W29/100))+($U$30*(W30/100))+($U$31*(W31/100))+($U$32*(W32/100))+($U$33*(W33/100))+($U$34*(W34/100)))*100)/U36,2)</f>
        <v>23.29</v>
      </c>
      <c r="X36" s="48">
        <f>ROUND(((($U$5*(X5/100))+($U$6*(X6/100))+($U$7*(X7/100))+($U$8*(X8/100))+($U$9*(X9/100))+($U$10*(X10/100))+($U$11*(X11/100))+($U$12*(X12/100))+($U$13*(X13/100))+($U$14*(X14/100))+($U$15*(X15/100))+($U$16*(X16/100))+($U$17*(X17/100))+($U$18*(X18/100))+($U$19*(X19/100))+($U$20*(X20/100))+($U$21*(X21/100))+($U$22*(X22/100))+($U$23*(X23/100))+($U$24*(X24/100))+($U$25*(X25/100))+($U$26*(X26/100))+($U$27*(X27/100))+($U$28*(X28/100))+($U$29*(X29/100))+($U$30*(X30/100))+($U$31*(X31/100))+($U$32*(X32/100))+($U$33*(X33/100))+($U$34*(X34/100)))*100)/$U$36,2)</f>
        <v>78.040000000000006</v>
      </c>
      <c r="Y36" s="380">
        <f>ROUND((((U5*(Y5/100))+(U6*(Y6/100))+(U7*(Y7/100))+(U8*(Y8/100))+(U9*(Y9/100))+(U10*(Y10/100))+(U11*(Y11/100))+(U12*(Y12/100))+(U13*(Y13/100))+(U14*(Y14/100))+(U15*(Y15/100))+(U16*(Y16/100))+(U17*(Y17/100))+(U18*(Y18/100))+(U19*(Y19/100))+(U20*(Y20/100))+(U21*(Y21/100))+(U22*(Y22/100))+(U23*(Y23/100))+(U24*(Y24/100))+(U25*(Y25/100))+(U26*(Y26/100))+(U27*(Y27/100))+(U28*(Y28/100))+(U29*(Y29/100))+(U30*(Y30/100))+(U31*(Y31/100))+(U32*(Y32/100))+(U33*(Y33/100))+(U34*(Y34/100)))*100)/U36,5)</f>
        <v>1.0471200000000001</v>
      </c>
      <c r="Z36" s="50"/>
      <c r="AA36" s="48">
        <f>ROUND(SUM(AA5:AA34),2)</f>
        <v>23.9</v>
      </c>
      <c r="AB36" s="49"/>
      <c r="AC36" s="48">
        <f>ROUND(((($AA$5*(AC5/100))+($AA$6*(AC6/100))+($AA$7*(AC7/100))+($AA$8*(AC8/100))+($AA$9*(AC9/100))+($AA$10*(AC10/100))+($AA$11*(AC11/100))+($AA$12*(AC12/100))+($AA$13*(AC13/100))+($AA$14*(AC14/100))+($AA$15*(AC15/100))+($AA$16*(AC16/100))+($AA$17*(AC17/100))+($AA$18*(AC18/100))+($AA$19*(AC19/100))+($AA$20*(AC20/100))+($AA$21*(AC21/100))+($AA$22*(AC22/100))+($AA$23*(AC23/100))+($AA$24*(AC24/100))+($AA$25*(AC25/100))+($AA$26*(AC26/100))+($AA$27*(AC27/100))+($AA$28*(AC28/100))+($AA$29*(AC29/100))+($AA$30*(AC30/100))+($AA$31*(AC31/100))+($AA$32*(AC32/100))+($AA$33*(AC33/100))+($AA$34*(AC34/100)))*100)/AA36,2)</f>
        <v>23.29</v>
      </c>
      <c r="AD36" s="48">
        <f>ROUND(((($AA$5*(AD5/100))+($AA$6*(AD6/100))+($AA$7*(AD7/100))+($AA$8*(AD8/100))+($AA$9*(AD9/100))+($AA$10*(AD10/100))+($AA$11*(AD11/100))+($AA$12*(AD12/100))+($AA$13*(AD13/100))+($AA$14*(AD14/100))+($AA$15*(AD15/100))+($AA$16*(AD16/100))+($AA$17*(AD17/100))+($AA$18*(AD18/100))+($AA$19*(AD19/100))+($AA$20*(AD20/100))+($AA$21*(AD21/100))+($AA$22*(AD22/100))+($AA$23*(AD23/100))+($AA$24*(AD24/100))+($AA$25*(AD25/100))+($AA$26*(AD26/100))+($AA$27*(AD27/100))+($AA$28*(AD28/100))+($AA$29*(AD29/100))+($AA$30*(AD30/100))+($AA$31*(AD31/100))+($AA$32*(AD32/100))+($AA$33*(AD33/100))+($AA$34*(AD34/100)))*100)/$AA$36,2)</f>
        <v>78.040000000000006</v>
      </c>
      <c r="AE36" s="380">
        <f>ROUND((((AA5*(AE5/100))+(AA6*(AE6/100))+(AA7*(AE7/100))+(AA8*(AE8/100))+(AA9*(AE9/100))+(AA10*(AE10/100))+(AA11*(AE11/100))+(AA12*(AE12/100))+(AA13*(AE13/100))+(AA14*(AE14/100))+(AA15*(AE15/100))+(AA16*(AE16/100))+(AA17*(AE17/100))+(AA18*(AE18/100))+(AA19*(AE19/100))+(AA20*(AE20/100))+(AA21*(AE21/100))+(AA22*(AE22/100))+(AA23*(AE23/100))+(AA24*(AE24/100))+(AA25*(AE25/100))+(AA26*(AE26/100))+(AA27*(AE27/100))+(AA28*(AE28/100))+(AA29*(AE29/100))+(AA30*(AE30/100))+(AA31*(AE31/100))+(AA32*(AE32/100))+(AA33*(AE33/100))+(AA34*(AE34/100)))*100)/AA36,5)</f>
        <v>1.0471200000000001</v>
      </c>
      <c r="AF36" s="50"/>
      <c r="AG36" s="48">
        <f>ROUND(SUM(AG5:AG34),2)</f>
        <v>23.9</v>
      </c>
      <c r="AH36" s="49"/>
      <c r="AI36" s="48">
        <f>ROUND(((($AG$5*(AI5/100))+($AG$6*(AI6/100))+($AG$7*(AI7/100))+($AG$8*(AI8/100))+($AG$9*(AI9/100))+($AG$10*(AI10/100))+($AG$11*(AI11/100))+($AG$12*(AI12/100))+($AG$13*(AI13/100))+($AG$14*(AI14/100))+($AG$15*(AI15/100))+($AG$16*(AI16/100))+($AG$17*(AI17/100))+($AG$18*(AI18/100))+($AG$19*(AI19/100))+($AG$20*(AI20/100))+($AG$21*(AI21/100))+($AG$22*(AI22/100))+($AG$23*(AI23/100))+($AG$24*(AI24/100))+($AG$25*(AI25/100))+($AG$26*(AI26/100))+($AG$27*(AI27/100))+($AG$28*(AI28/100))+($AG$29*(AI29/100))+($AG$30*(AI30/100))+($AG$31*(AI31/100))+($AG$32*(AI32/100))+($AG$33*(AI33/100))+($AG$34*(AI34/100)))*100)/AG36,2)</f>
        <v>23.29</v>
      </c>
      <c r="AJ36" s="48">
        <f>ROUND(((($AG$5*(AJ5/100))+($AG$6*(AJ6/100))+($AG$7*(AJ7/100))+($AG$8*(AJ8/100))+($AG$9*(AJ9/100))+($AG$10*(AJ10/100))+($AG$11*(AJ11/100))+($AG$12*(AJ12/100))+($AG$13*(AJ13/100))+($AG$14*(AJ14/100))+($AG$15*(AJ15/100))+($AG$16*(AJ16/100))+($AG$17*(AJ17/100))+($AG$18*(AJ18/100))+($AG$19*(AJ19/100))+($AG$20*(AJ20/100))+($AG$21*(AJ21/100))+($AG$22*(AJ22/100))+($AG$23*(AJ23/100))+($AG$24*(AJ24/100))+($AG$25*(AJ25/100))+($AG$26*(AJ26/100))+($AG$27*(AJ27/100))+($AG$28*(AJ28/100))+($AG$29*(AJ29/100))+($AG$30*(AJ30/100))+($AG$31*(AJ31/100))+($AG$32*(AJ32/100))+($AG$33*(AJ33/100))+($AG$34*(AJ34/100)))*100)/$AG$36,2)</f>
        <v>78.040000000000006</v>
      </c>
      <c r="AK36" s="380">
        <f>ROUND((((AG5*(AK5/100))+(AG6*(AK6/100))+(AG7*(AK7/100))+(AG8*(AK8/100))+(AG9*(AK9/100))+(AG10*(AK10/100))+(AG11*(AK11/100))+(AG12*(AK12/100))+(AG13*(AK13/100))+(AG14*(AK14/100))+(AG15*(AK15/100))+(AG16*(AK16/100))+(AG17*(AK17/100))+(AG18*(AK18/100))+(AG19*(AK19/100))+(AG20*(AK20/100))+(AG21*(AK21/100))+(AG22*(AK22/100))+(AG23*(AK23/100))+(AG24*(AK24/100))+(AG25*(AK25/100))+(AG26*(AK26/100))+(AG27*(AK27/100))+(AG28*(AK28/100))+(AG29*(AK29/100))+(AG30*(AK30/100))+(AG31*(AK31/100))+(AG32*(AK32/100))+(AG33*(AK33/100))+(AG34*(AK34/100)))*100)/AG36,5)</f>
        <v>1.0471200000000001</v>
      </c>
      <c r="AL36" s="50"/>
      <c r="AM36" s="48">
        <f>ROUND(SUM(AM5:AM34),2)</f>
        <v>27.02</v>
      </c>
      <c r="AN36" s="49"/>
      <c r="AO36" s="48">
        <f>ROUND(((($AM$5*(AO5/100))+($AM$6*(AO6/100))+($AM$7*(AO7/100))+($AM$8*(AO8/100))+($AM$9*(AO9/100))+($AM$10*(AO10/100))+($AM$11*(AO11/100))+($AM$12*(AO12/100))+($AM$13*(AO13/100))+($AM$14*(AO14/100))+($AM$15*(AO15/100))+($AM$16*(AO16/100))+($AM$17*(AO17/100))+($AM$18*(AO18/100))+($AM$19*(AO19/100))+($AM$20*(AO20/100))+($AM$21*(AO21/100))+($AM$22*(AO22/100))+($AM$23*(AO23/100))+($AM$24*(AO24/100))+($AM$25*(AO25/100))+($AM$26*(AO26/100))+($AM$27*(AO27/100))+($AM$28*(AO28/100))+($AM$29*(AO29/100))+($AM$30*(AO30/100))+($AM$31*(AO31/100))+($AM$32*(AO32/100))+($AM$33*(AO33/100))+($AM$34*(AO34/100)))*100)/AM36,2)</f>
        <v>21.43</v>
      </c>
      <c r="AP36" s="48">
        <f>ROUND(((($AM$5*(AP5/100))+($AM$6*(AP6/100))+($AM$7*(AP7/100))+($AM$8*(AP8/100))+($AM$9*(AP9/100))+($AM$10*(AP10/100))+($AM$11*(AP11/100))+($AM$12*(AP12/100))+($AM$13*(AP13/100))+($AM$14*(AP14/100))+($AM$15*(AP15/100))+($AM$16*(AP16/100))+($AM$17*(AP17/100))+($AM$18*(AP18/100))+($AM$19*(AP19/100))+($AM$20*(AP20/100))+($AM$21*(AP21/100))+($AM$22*(AP22/100))+($AM$23*(AP23/100))+($AM$24*(AP24/100))+($AM$25*(AP25/100))+($AM$26*(AP26/100))+($AM$27*(AP27/100))+($AM$28*(AP28/100))+($AM$29*(AP29/100))+($AM$30*(AP30/100))+($AM$31*(AP31/100))+($AM$32*(AP32/100))+($AM$33*(AP33/100))+($AM$34*(AP34/100)))*100)/$AM$36,2)</f>
        <v>76.38</v>
      </c>
      <c r="AQ36" s="380">
        <f>ROUND((((AM5*(AQ5/100))+(AM6*(AQ6/100))+(AM7*(AQ7/100))+(AM8*(AQ8/100))+(AM9*(AQ9/100))+(AM10*(AQ10/100))+(AM11*(AQ11/100))+(AM12*(AQ12/100))+(AM13*(AQ13/100))+(AM14*(AQ14/100))+(AM15*(AQ15/100))+(AM16*(AQ16/100))+(AM17*(AQ17/100))+(AM18*(AQ18/100))+(AM19*(AQ19/100))+(AM20*(AQ20/100))+(AM21*(AQ21/100))+(AM22*(AQ22/100))+(AM23*(AQ23/100))+(AM24*(AQ24/100))+(AM25*(AQ25/100))+(AM26*(AQ26/100))+(AM27*(AQ27/100))+(AM28*(AQ28/100))+(AM29*(AQ29/100))+(AM30*(AQ30/100))+(AM31*(AQ31/100))+(AM32*(AQ32/100))+(AM33*(AQ33/100))+(AM34*(AQ34/100)))*100)/AM36,5)</f>
        <v>0.93240000000000001</v>
      </c>
      <c r="AR36" s="50"/>
      <c r="AS36" s="48">
        <f>ROUND(SUM(AS5:AS34),2)</f>
        <v>27.02</v>
      </c>
      <c r="AT36" s="51"/>
      <c r="AU36" s="52">
        <f>ROUND(((($AS$5*(AU5/100))+($AS$6*(AU6/100))+($AS$7*(AU7/100))+($AS$8*(AU8/100))+($AS$9*(AU9/100))+($AS$10*(AU10/100))+($AS$11*(AU11/100))+($AS$12*(AU12/100))+($AS$13*(AU13/100))+($AS$14*(AU14/100))+($AS$15*(AU15/100))+($AS$16*(AU16/100))+($AS$17*(AU17/100))+($AS$18*(AU18/100))+($AS$19*(AU19/100))+($AS$20*(AU20/100))+($AS$21*(AU21/100))+($AS$22*(AU22/100))+($AS$23*(AU23/100))+($AS$24*(AU24/100))+($AS$25*(AU25/100))+($AS$26*(AU26/100))+($AS$27*(AU27/100))+($AS$28*(AU28/100))+($AS$29*(AU29/100))+($AS$30*(AU30/100))+($AS$31*(AU31/100))+($AS$32*(AU32/100))+($AS$33*(AU33/100))+($AS$34*(AU34/100)))*100)/AS36,2)</f>
        <v>21.43</v>
      </c>
      <c r="AV36" s="52">
        <f>ROUND(((($AS$5*(AV5/100))+($AS$6*(AV6/100))+($AS$7*(AV7/100))+($AS$8*(AV8/100))+($AS$9*(AV9/100))+($AS$10*(AV10/100))+($AS$11*(AV11/100))+($AS$12*(AV12/100))+($AS$13*(AV13/100))+($AS$14*(AV14/100))+($AS$15*(AV15/100))+($AS$16*(AV16/100))+($AS$17*(AV17/100))+($AS$18*(AV18/100))+($AS$19*(AV19/100))+($AS$20*(AV20/100))+($AS$21*(AV21/100))+($AS$22*(AV22/100))+($AS$23*(AV23/100))+($AS$24*(AV24/100))+($AS$25*(AV25/100))+($AS$26*(AV26/100))+($AS$27*(AV27/100))+($AS$28*(AV28/100))+($AS$29*(AV29/100))+($AS$30*(AV30/100))+($AS$31*(AV31/100))+($AS$32*(AV32/100))+($AS$33*(AV33/100))+($AS$34*(AV34/100)))*100)/$AS$36,2)</f>
        <v>76.38</v>
      </c>
      <c r="AW36" s="53">
        <f>ROUND((((AS5*(AW5/100))+(AS6*(AW6/100))+(AS7*(AW7/100))+(AS8*(AW8/100))+(AS9*(AW9/100))+(AS10*(AW10/100))+(AS11*(AW11/100))+(AS12*(AW12/100))+(AS13*(AW13/100))+(AS14*(AW14/100))+(AS15*(AW15/100))+(AS16*(AW16/100))+(AS17*(AW17/100))+(AS18*(AW18/100))+(AS19*(AW19/100))+(AS20*(AW20/100))+(AS21*(AW21/100))+(AS22*(AW22/100))+(AS23*(AW23/100))+(AS24*(AW24/100))+(AS25*(AW25/100))+(AS26*(AW26/100))+(AS27*(AW27/100))+(AS28*(AW28/100))+(AS29*(AW29/100))+(AS30*(AW30/100))+(AS31*(AW31/100))+(AS32*(AW32/100))+(AS33*(AW33/100))+(AS34*(AW34/100)))*100)/AS36,5)</f>
        <v>0.93240000000000001</v>
      </c>
      <c r="AX36" s="54"/>
      <c r="AY36" s="52">
        <f>ROUND(SUM(AY5:AY34),2)</f>
        <v>27.02</v>
      </c>
      <c r="AZ36" s="51"/>
      <c r="BA36" s="52">
        <f>ROUND(((($AY$5*(BA5/100))+($AY$6*(BA6/100))+($AY$7*(BA7/100))+($AY$8*(BA8/100))+($AY$9*(BA9/100))+($AY$10*(BA10/100))+($AY$11*(BA11/100))+($AY$12*(BA12/100))+($AY$13*(BA13/100))+($AY$14*(BA14/100))+($AY$15*(BA15/100))+($AY$16*(BA16/100))+($AY$17*(BA17/100))+($AY$18*(BA18/100))+($AY$19*(BA19/100))+($AY$20*(BA20/100))+($AY$21*(BA21/100))+($AY$22*(BA22/100))+($AY$23*(BA23/100))+($AY$24*(BA24/100))+($AY$25*(BA25/100))+($AY$26*(BA26/100))+($AY$27*(BA27/100))+($AY$28*(BA28/100))+($AY$29*(BA29/100))+($AY$30*(BA30/100))+($AY$31*(BA31/100))+($AY$32*(BA32/100))+($AY$33*(BA33/100))+($AY$34*(BA34/100)))*100)/AY36,2)</f>
        <v>21.43</v>
      </c>
      <c r="BB36" s="52">
        <f>ROUND(((($AY$5*(BB5/100))+($AY$6*(BB6/100))+($AY$7*(BB7/100))+($AY$8*(BB8/100))+($AY$9*(BB9/100))+($AY$10*(BB10/100))+($AY$11*(BB11/100))+($AY$12*(BB12/100))+($AY$13*(BB13/100))+($AY$14*(BB14/100))+($AY$15*(BB15/100))+($AY$16*(BB16/100))+($AY$17*(BB17/100))+($AY$18*(BB18/100))+($AY$19*(BB19/100))+($AY$20*(BB20/100))+($AY$21*(BB21/100))+($AY$22*(BB22/100))+($AY$23*(BB23/100))+($AY$24*(BB24/100))+($AY$25*(BB25/100))+($AY$26*(BB26/100))+($AY$27*(BB27/100))+($AY$28*(BB28/100))+($AY$29*(BB29/100))+($AY$30*(BB30/100))+($AY$31*(BB31/100))+($AY$32*(BB32/100))+($AY$33*(BB33/100))+($AY$34*(BB34/100)))*100)/$AY$36,2)</f>
        <v>76.38</v>
      </c>
      <c r="BC36" s="53">
        <f>ROUND((((AY5*(BC5/100))+(AY6*(BC6/100))+(AY7*(BC7/100))+(AY8*(BC8/100))+(AY9*(BC9/100))+(AY10*(BC10/100))+(AY11*(BC11/100))+(AY12*(BC12/100))+(AY13*(BC13/100))+(AY14*(BC14/100))+(AY15*(BC15/100))+(AY16*(BC16/100))+(AY17*(BC17/100))+(AY18*(BC18/100))+(AY19*(BC19/100))+(AY20*(BC20/100))+(AY21*(BC21/100))+(AY22*(BC22/100))+(AY23*(BC23/100))+(AY24*(BC24/100))+(AY25*(BC25/100))+(AY26*(BC26/100))+(AY27*(BC27/100))+(AY28*(BC28/100))+(AY29*(BC29/100))+(AY30*(BC30/100))+(AY31*(BC31/100))+(AY32*(BC32/100))+(AY33*(BC33/100))+(AY34*(BC34/100)))*100)/AY36,5)</f>
        <v>0.93240000000000001</v>
      </c>
      <c r="BD36" s="54"/>
      <c r="BE36" s="52">
        <f>ROUND(SUM(BE5:BE34),2)</f>
        <v>30.14</v>
      </c>
      <c r="BF36" s="51"/>
      <c r="BG36" s="52">
        <f>ROUND(((($BE$5*(BG5/100))+($BE$6*(BG6/100))+($BE$7*(BG7/100))+($BE$8*(BG8/100))+($BE$9*(BG9/100))+($BE$10*(BG10/100))+($BE$11*(BG11/100))+($BE$12*(BG12/100))+($BE$13*(BG13/100))+($BE$14*(BG14/100))+($BE$15*(BG15/100))+($BE$16*(BG16/100))+($BE$17*(BG17/100))+($BE$18*(BG18/100))+($BE$19*(BG19/100))+($BE$20*(BG20/100))+($BE$21*(BG21/100))+($BE$22*(BG22/100))+($BE$23*(BG23/100))+($BE$24*(BG24/100))+($BE$25*(BG25/100))+($BE$26*(BG26/100))+($BE$27*(BG27/100))+($BE$28*(BG28/100))+($BE$29*(BG29/100))+($BE$30*(BG30/100))+($BE$31*(BG31/100))+($BE$32*(BG32/100))+($BE$33*(BG33/100))+($BE$34*(BG34/100)))*100)/BE36,2)</f>
        <v>19.95</v>
      </c>
      <c r="BH36" s="52">
        <f>ROUND(((($BE$5*(BH5/100))+($BE$6*(BH6/100))+($BE$7*(BH7/100))+($BE$8*(BH8/100))+($BE$9*(BH9/100))+($BE$10*(BH10/100))+($BE$11*(BH11/100))+($BE$12*(BH12/100))+($BE$13*(BH13/100))+($BE$14*(BH14/100))+($BE$15*(BH15/100))+($BE$16*(BH16/100))+($BE$17*(BH17/100))+($BE$18*(BH18/100))+($BE$19*(BH19/100))+($BE$20*(BH20/100))+($BE$21*(BH21/100))+($BE$22*(BH22/100))+($BE$23*(BH23/100))+($BE$24*(BH24/100))+($BE$25*(BH25/100))+($BE$26*(BH26/100))+($BE$27*(BH27/100))+($BE$28*(BH28/100))+($BE$29*(BH29/100))+($BE$30*(BH30/100))+($BE$31*(BH31/100))+($BE$32*(BH32/100))+($BE$33*(BH33/100))+($BE$34*(BH34/100)))*100)/$BE$36,2)</f>
        <v>75.06</v>
      </c>
      <c r="BI36" s="53">
        <f>ROUND((((BE5*(BI5/100))+(BE6*(BI6/100))+(BE7*(BI7/100))+(BE8*(BI8/100))+(BE9*(BI9/100))+(BE10*(BI10/100))+(BE11*(BI11/100))+(BE12*(BI12/100))+(BE13*(BI13/100))+(BE14*(BI14/100))+(BE15*(BI15/100))+(BE16*(BI16/100))+(BE17*(BI17/100))+(BE18*(BI18/100))+(BE19*(BI19/100))+(BE20*(BI20/100))+(BE21*(BI21/100))+(BE22*(BI22/100))+(BE23*(BI23/100))+(BE24*(BI24/100))+(BE25*(BI25/100))+(BE26*(BI26/100))+(BE27*(BI27/100))+(BE28*(BI28/100))+(BE29*(BI29/100))+(BE30*(BI30/100))+(BE31*(BI31/100))+(BE32*(BI32/100))+(BE33*(BI33/100))+(BE34*(BI34/100)))*100)/BE36,5)</f>
        <v>0.84143000000000001</v>
      </c>
      <c r="BJ36" s="54"/>
      <c r="BK36" s="52">
        <f>ROUND(SUM(BK5:BK34),2)</f>
        <v>30.14</v>
      </c>
      <c r="BL36" s="51"/>
      <c r="BM36" s="52">
        <f>ROUND(((($BK$5*(BM5/100))+($BK$6*(BM6/100))+($BK$7*(BM7/100))+($BK$8*(BM8/100))+($BK$9*(BM9/100))+($BK$10*(BM10/100))+($BK$11*(BM11/100))+($BK$12*(BM12/100))+($BK$13*(BM13/100))+($BK$14*(BM14/100))+($BK$15*(BM15/100))+($BK$16*(BM16/100))+($BK$17*(BM17/100))+($BK$18*(BM18/100))+($BK$19*(BM19/100))+($BK$20*(BM20/100))+($BK$21*(BM21/100))+($BK$22*(BM22/100))+($BK$23*(BM23/100))+($BK$24*(BM24/100))+($BK$25*(BM25/100))+($BK$26*(BM26/100))+($BK$27*(BM27/100))+($BK$28*(BM28/100))+($BK$29*(BM29/100))+($BK$30*(BM30/100))+($BK$31*(BM31/100))+($BK$32*(BM32/100))+($BK$33*(BM33/100))+($BK$34*(BM34/100)))*100)/BK36,2)</f>
        <v>19.95</v>
      </c>
      <c r="BN36" s="52">
        <f>ROUND(((($BK$5*(BN5/100))+($BK$6*(BN6/100))+($BK$7*(BN7/100))+($BK$8*(BN8/100))+($BK$9*(BN9/100))+($BK$10*(BN10/100))+($BK$11*(BN11/100))+($BK$12*(BN12/100))+($BK$13*(BN13/100))+($BK$14*(BN14/100))+($BK$15*(BN15/100))+($BK$16*(BN16/100))+($BK$17*(BN17/100))+($BK$18*(BN18/100))+($BK$19*(BN19/100))+($BK$20*(BN20/100))+($BK$21*(BN21/100))+($BK$22*(BN22/100))+($BK$23*(BN23/100))+($BK$24*(BN24/100))+($BK$25*(BN25/100))+($BK$26*(BN26/100))+($BK$27*(BN27/100))+($BK$28*(BN28/100))+($BK$29*(BN29/100))+($BK$30*(BN30/100))+($BK$31*(BN31/100))+($BK$32*(BN32/100))+($BK$33*(BN33/100))+($BK$34*(BN34/100)))*100)/$BK$36,2)</f>
        <v>75.06</v>
      </c>
      <c r="BO36" s="53">
        <f>ROUND((((BK5*(BO5/100))+(BK6*(BO6/100))+(BK7*(BO7/100))+(BK8*(BO8/100))+(BK9*(BO9/100))+(BK10*(BO10/100))+(BK11*(BO11/100))+(BK12*(BO12/100))+(BK13*(BO13/100))+(BK14*(BO14/100))+(BK15*(BO15/100))+(BK16*(BO16/100))+(BK17*(BO17/100))+(BK18*(BO18/100))+(BK19*(BO19/100))+(BK20*(BO20/100))+(BK21*(BO21/100))+(BK22*(BO22/100))+(BK23*(BO23/100))+(BK24*(BO24/100))+(BK25*(BO25/100))+(BK26*(BO26/100))+(BK27*(BO27/100))+(BK28*(BO28/100))+(BK29*(BO29/100))+(BK30*(BO30/100))+(BK31*(BO31/100))+(BK32*(BO32/100))+(BK33*(BO33/100))+(BK34*(BO34/100)))*100)/BK36,5)</f>
        <v>0.84143000000000001</v>
      </c>
      <c r="BP36" s="54"/>
      <c r="BQ36" s="52">
        <f>ROUND(SUM(BQ5:BQ34),2)</f>
        <v>30.14</v>
      </c>
      <c r="BR36" s="51"/>
      <c r="BS36" s="52">
        <f>ROUND(((($BQ$5*(BS5/100))+($BQ$6*(BS6/100))+($BQ$7*(BS7/100))+($BQ$8*(BS8/100))+($BQ$9*(BS9/100))+($BQ$10*(BS10/100))+($BQ$11*(BS11/100))+($BQ$12*(BS12/100))+($BQ$13*(BS13/100))+($BQ$14*(BS14/100))+($BQ$15*(BS15/100))+($BQ$16*(BS16/100))+($BQ$17*(BS17/100))+($BQ$18*(BS18/100))+($BQ$19*(BS19/100))+($BQ$20*(BS20/100))+($BQ$21*(BS21/100))+($BQ$22*(BS22/100))+($BQ$23*(BS23/100))+($BQ$24*(BS24/100))+($BQ$25*(BS25/100))+($BQ$26*(BS26/100))+($BQ$27*(BS27/100))+($BQ$28*(BS28/100))+($BQ$29*(BS29/100))+($BQ$30*(BS30/100))+($BQ$31*(BS31/100))+($BQ$32*(BS32/100))+($BQ$33*(BS33/100))+($BQ$34*(BS34/100)))*100)/BQ36,2)</f>
        <v>19.95</v>
      </c>
      <c r="BT36" s="52">
        <f>ROUND(((($BQ$5*(BT5/100))+($BQ$6*(BT6/100))+($BQ$7*(BT7/100))+($BQ$8*(BT8/100))+($BQ$9*(BT9/100))+($BQ$10*(BT10/100))+($BQ$11*(BT11/100))+($BQ$12*(BT12/100))+($BQ$13*(BT13/100))+($BQ$14*(BT14/100))+($BQ$15*(BT15/100))+($BQ$16*(BT16/100))+($BQ$17*(BT17/100))+($BQ$18*(BT18/100))+($BQ$19*(BT19/100))+($BQ$20*(BT20/100))+($BQ$21*(BT21/100))+($BQ$22*(BT22/100))+($BQ$23*(BT23/100))+($BQ$24*(BT24/100))+($BQ$25*(BT25/100))+($BQ$26*(BT26/100))+($BQ$27*(BT27/100))+($BQ$28*(BT28/100))+($BQ$29*(BT29/100))+($BQ$30*(BT30/100))+($BQ$31*(BT31/100))+($BQ$32*(BT32/100))+($BQ$33*(BT33/100))+($BQ$34*(BT34/100)))*100)/$BQ$36,2)</f>
        <v>75.06</v>
      </c>
      <c r="BU36" s="53">
        <f>ROUND((((BQ5*(BU5/100))+(BQ6*(BU6/100))+(BQ7*(BU7/100))+(BQ8*(BU8/100))+(BQ9*(BU9/100))+(BQ10*(BU10/100))+(BQ11*(BU11/100))+(BQ12*(BU12/100))+(BQ13*(BU13/100))+(BQ14*(BU14/100))+(BQ15*(BU15/100))+(BQ16*(BU16/100))+(BQ17*(BU17/100))+(BQ18*(BU18/100))+(BQ19*(BU19/100))+(BQ20*(BU20/100))+(BQ21*(BU21/100))+(BQ22*(BU22/100))+(BQ23*(BU23/100))+(BQ24*(BU24/100))+(BQ25*(BU25/100))+(BQ26*(BU26/100))+(BQ27*(BU27/100))+(BQ28*(BU28/100))+(BQ29*(BU29/100))+(BQ30*(BU30/100))+(BQ31*(BU31/100))+(BQ32*(BU32/100))+(BQ33*(BU33/100))+(BQ34*(BU34/100)))*100)/BQ36,5)</f>
        <v>0.84143000000000001</v>
      </c>
      <c r="BV36" s="54"/>
      <c r="BW36" s="52">
        <f>ROUND(SUM(BW5:BW34),2)</f>
        <v>25.46</v>
      </c>
      <c r="BX36" s="51"/>
      <c r="BY36" s="52">
        <f>ROUND(((($BW$5*(BY5/100))+($BW$6*(BY6/100))+($BW$7*(BY7/100))+($BW$8*(BY8/100))+($BW$9*(BY9/100))+($BW$10*(BY10/100))+($BW$11*(BY11/100))+($BW$12*(BY12/100))+($BW$13*(BY13/100))+($BW$14*(BY14/100))+($BW$15*(BY15/100))+($BW$16*(BY16/100))+($BW$17*(BY17/100))+($BW$18*(BY18/100))+($BW$19*(BY19/100))+($BW$20*(BY20/100))+($BW$21*(BY21/100))+($BW$22*(BY22/100))+($BW$23*(BY23/100))+($BW$24*(BY24/100))+($BW$25*(BY25/100))+($BW$26*(BY26/100))+($BW$27*(BY27/100))+($BW$28*(BY28/100))+($BW$29*(BY29/100))+($BW$30*(BY30/100))+($BW$31*(BY31/100))+($BW$32*(BY32/100))+($BW$33*(BY33/100))+($BW$34*(BY34/100)))*100)/BW36,2)</f>
        <v>22.3</v>
      </c>
      <c r="BZ36" s="52">
        <f>ROUND(((($BW$5*(BZ5/100))+($BW$6*(BZ6/100))+($BW$7*(BZ7/100))+($BW$8*(BZ8/100))+($BW$9*(BZ9/100))+($BW$10*(BZ10/100))+($BW$11*(BZ11/100))+($BW$12*(BZ12/100))+($BW$13*(BZ13/100))+($BW$14*(BZ14/100))+($BW$15*(BZ15/100))+($BW$16*(BZ16/100))+($BW$17*(BZ17/100))+($BW$18*(BZ18/100))+($BW$19*(BZ19/100))+($BW$20*(BZ20/100))+($BW$21*(BZ21/100))+($BW$22*(BZ22/100))+($BW$23*(BZ23/100))+($BW$24*(BZ24/100))+($BW$25*(BZ25/100))+($BW$26*(BZ26/100))+($BW$27*(BZ27/100))+($BW$28*(BZ28/100))+($BW$29*(BZ29/100))+($BW$30*(BZ30/100))+($BW$31*(BZ31/100))+($BW$32*(BZ32/100))+($BW$33*(BZ33/100))+($BW$34*(BZ34/100)))*100)/$BW$36,2)</f>
        <v>77.16</v>
      </c>
      <c r="CA36" s="53">
        <f>ROUND((((BW5*(CA5/100))+(BW6*(CA6/100))+(BW7*(CA7/100))+(BW8*(CA8/100))+(BW9*(CA9/100))+(BW10*(CA10/100))+(BW11*(CA11/100))+(BW12*(CA12/100))+(BW13*(CA13/100))+(BW14*(CA14/100))+(BW15*(CA15/100))+(BW16*(CA16/100))+(BW17*(CA17/100))+(BW18*(CA18/100))+(BW19*(CA19/100))+(BW20*(CA20/100))+(BW21*(CA21/100))+(BW22*(CA22/100))+(BW23*(CA23/100))+(BW24*(CA24/100))+(BW25*(CA25/100))+(BW26*(CA26/100))+(BW27*(CA27/100))+(BW28*(CA28/100))+(BW29*(CA29/100))+(BW30*(CA30/100))+(BW31*(CA31/100))+(BW32*(CA32/100))+(BW33*(CA33/100))+(BW34*(CA34/100)))*100)/BW36,5)</f>
        <v>0.98624000000000001</v>
      </c>
      <c r="CB36" s="54"/>
      <c r="CC36" s="52">
        <f>ROUND(SUM(CC5:CC34),2)</f>
        <v>25.46</v>
      </c>
      <c r="CD36" s="51"/>
      <c r="CE36" s="52">
        <f>ROUND(((($CC$5*(CE5/100))+($CC$6*(CE6/100))+($CC$7*(CE7/100))+($CC$8*(CE8/100))+($CC$9*(CE9/100))+($CC$10*(CE10/100))+($CC$11*(CE11/100))+($CC$12*(CE12/100))+($CC$13*(CE13/100))+($CC$14*(CE14/100))+($CC$15*(CE15/100))+($CC$16*(CE16/100))+($CC$17*(CE17/100))+($CC$18*(CE18/100))+($CC$19*(CE19/100))+($CC$20*(CE20/100))+($CC$21*(CE21/100))+($CC$22*(CE22/100))+($CC$23*(CE23/100))+($CC$24*(CE24/100))+($CC$25*(CE25/100))+($CC$26*(CE26/100))+($CC$27*(CE27/100))+($CC$28*(CE28/100))+($CC$29*(CE29/100))+($CC$30*(CE30/100))+($CC$31*(CE31/100))+($CC$32*(CE32/100))+($CC$33*(CE33/100))+($CC$34*(CE34/100)))*100)/CC36,2)</f>
        <v>22.3</v>
      </c>
      <c r="CF36" s="52">
        <f>ROUND(((($CC$5*(CF5/100))+($CC$6*(CF6/100))+($CC$7*(CF7/100))+($CC$8*(CF8/100))+($CC$9*(CF9/100))+($CC$10*(CF10/100))+($CC$11*(CF11/100))+($CC$12*(CF12/100))+($CC$13*(CF13/100))+($CC$14*(CF14/100))+($CC$15*(CF15/100))+($CC$16*(CF16/100))+($CC$17*(CF17/100))+($CC$18*(CF18/100))+($CC$19*(CF19/100))+($CC$20*(CF20/100))+($CC$21*(CF21/100))+($CC$22*(CF22/100))+($CC$23*(CF23/100))+($CC$24*(CF24/100))+($CC$25*(CF25/100))+($CC$26*(CF26/100))+($CC$27*(CF27/100))+($CC$28*(CF28/100))+($CC$29*(CF29/100))+($CC$30*(CF30/100))+($CC$31*(CF31/100))+($CC$32*(CF32/100))+($CC$33*(CF33/100))+($CC$34*(CF34/100)))*100)/$CC$36,2)</f>
        <v>77.16</v>
      </c>
      <c r="CG36" s="53">
        <f>ROUND((((CC5*(CG5/100))+(CC6*(CG6/100))+(CC7*(CG7/100))+(CC8*(CG8/100))+(CC9*(CG9/100))+(CC10*(CG10/100))+(CC11*(CG11/100))+(CC12*(CG12/100))+(CC13*(CG13/100))+(CC14*(CG14/100))+(CC15*(CG15/100))+(CC16*(CG16/100))+(CC17*(CG17/100))+(CC18*(CG18/100))+(CC19*(CG19/100))+(CC20*(CG20/100))+(CC21*(CG21/100))+(CC22*(CG22/100))+(CC23*(CG23/100))+(CC24*(CG24/100))+(CC25*(CG25/100))+(CC26*(CG26/100))+(CC27*(CG27/100))+(CC28*(CG28/100))+(CC29*(CG29/100))+(CC30*(CG30/100))+(CC31*(CG31/100))+(CC32*(CG32/100))+(CC33*(CG33/100))+(CC34*(CG34/100)))*100)/CC36,5)</f>
        <v>0.98624000000000001</v>
      </c>
      <c r="CH36" s="54"/>
      <c r="CI36" s="52">
        <f>ROUND(SUM(CI5:CI34),2)</f>
        <v>16.63</v>
      </c>
      <c r="CJ36" s="51"/>
      <c r="CK36" s="52">
        <f>ROUND(((($CI$5*(CK5/100))+($CI$6*(CK6/100))+($CI$7*(CK7/100))+($CI$8*(CK8/100))+($CI$9*(CK9/100))+($CI$10*(CK10/100))+($CI$11*(CK11/100))+($CI$12*(CK12/100))+($CI$13*(CK13/100))+($CI$14*(CK14/100))+($CI$15*(CK15/100))+($CI$16*(CK16/100))+($CI$17*(CK17/100))+($CI$18*(CK18/100))+($CI$19*(CK19/100))+($CI$20*(CK20/100))+($CI$21*(CK21/100))+($CI$22*(CK22/100))+($CI$23*(CK23/100))+($CI$24*(CK24/100))+($CI$25*(CK25/100))+($CI$26*(CK26/100))+($CI$27*(CK27/100))+($CI$28*(CK28/100))+($CI$29*(CK29/100))+($CI$30*(CK30/100))+($CI$31*(CK31/100))+($CI$32*(CK32/100))+($CI$33*(CK33/100))+($CI$34*(CK34/100)))*100)/CI36,2)</f>
        <v>18.75</v>
      </c>
      <c r="CL36" s="52">
        <f>ROUND(((($CI$5*(CL5/100))+($CI$6*(CL6/100))+($CI$7*(CL7/100))+($CI$8*(CL8/100))+($CI$9*(CL9/100))+($CI$10*(CL10/100))+($CI$11*(CL11/100))+($CI$12*(CL12/100))+($CI$13*(CL13/100))+($CI$14*(CL14/100))+($CI$15*(CL15/100))+($CI$16*(CL16/100))+($CI$17*(CL17/100))+($CI$18*(CL18/100))+($CI$19*(CL19/100))+($CI$20*(CL20/100))+($CI$21*(CL21/100))+($CI$22*(CL22/100))+($CI$23*(CL23/100))+($CI$24*(CL24/100))+($CI$25*(CL25/100))+($CI$26*(CL26/100))+($CI$27*(CL27/100))+($CI$28*(CL28/100))+($CI$29*(CL29/100))+($CI$30*(CL30/100))+($CI$31*(CL31/100))+($CI$32*(CL32/100))+($CI$33*(CL33/100))+($CI$34*(CL34/100)))*100)/$CI$36,2)</f>
        <v>73.98</v>
      </c>
      <c r="CM36" s="53">
        <f>ROUND((((CI5*(CM5/100))+(CI6*(CM6/100))+(CI7*(CM7/100))+(CI8*(CM8/100))+(CI9*(CM9/100))+(CI10*(CM10/100))+(CI11*(CM11/100))+(CI12*(CM12/100))+(CI13*(CM13/100))+(CI14*(CM14/100))+(CI15*(CM15/100))+(CI16*(CM16/100))+(CI17*(CM17/100))+(CI18*(CM18/100))+(CI19*(CM19/100))+(CI20*(CM20/100))+(CI21*(CM21/100))+(CI22*(CM22/100))+(CI23*(CM23/100))+(CI24*(CM24/100))+(CI25*(CM25/100))+(CI26*(CM26/100))+(CI27*(CM27/100))+(CI28*(CM28/100))+(CI29*(CM29/100))+(CI30*(CM30/100))+(CI31*(CM31/100))+(CI32*(CM32/100))+(CI33*(CM33/100))+(CI34*(CM34/100)))*100)/CI36,5)</f>
        <v>0.76753000000000005</v>
      </c>
      <c r="CN36" s="381">
        <f>ROUND(SUM(CN5:CN34),2)</f>
        <v>0</v>
      </c>
      <c r="CO36" s="382">
        <f>ROUND(SUM(CO5:CO34),2)</f>
        <v>0</v>
      </c>
      <c r="CP36" s="758"/>
      <c r="CQ36" s="383">
        <f>IF(OR(CN36=0,CO36=0),0,ROUND((((CO5*(CQ5/100))+(CO6*(CQ6/100))+(CO7*(CQ7/100))+(CO8*(CQ8/100))+(CO9*(CQ9/100))+(CO10*(CQ10/100))+(CO11*(CQ11/100))+(CO12*(CQ12/100))+(CO13*(CQ13/100))+(CO14*(CQ14/100))+(CO15*(CQ15/100))+(CO16*(CQ16/100))+(CO17*(CQ17/100))+(CO18*(CQ18/100))+(CO19*(CQ19/100))+(CO20*(CQ20/100))+(CO21*(CQ21/100))+(CO22*(CQ22/100))+(CO23*(CQ23/100))+(CO24*(CQ24/100))+(CO25*(CQ25/100))+(CO26*(CQ26/100))+(CO27*(CQ27/100))+(CO28*(CQ28/100))+(CO29*(CQ29/100))+(CO30*(CQ30/100))+(CO31*(CQ31/100))+(CO32*(CQ32/100))+(CO33*(CQ33/100))+(CO34*(CQ34/100)))*100)/CO36,5))</f>
        <v>0</v>
      </c>
      <c r="CR36" s="631"/>
      <c r="CS36" s="631"/>
      <c r="CT36" s="631"/>
      <c r="CU36" s="631"/>
      <c r="CV36" s="631"/>
      <c r="CW36" s="631"/>
      <c r="CX36" s="631"/>
      <c r="CY36" s="631"/>
      <c r="CZ36" s="631"/>
      <c r="DA36" s="631"/>
      <c r="DB36" s="631"/>
      <c r="DC36" s="631"/>
      <c r="DD36" s="631"/>
      <c r="DE36" s="631"/>
      <c r="DF36" s="631"/>
      <c r="DG36" s="631"/>
      <c r="DH36" s="631"/>
      <c r="DI36" s="632"/>
      <c r="DJ36" s="632"/>
      <c r="DK36" s="632"/>
      <c r="DL36" s="632"/>
      <c r="DM36" s="632"/>
      <c r="DN36" s="632"/>
      <c r="DO36" s="632"/>
      <c r="DP36" s="632"/>
      <c r="DQ36" s="632"/>
      <c r="DR36" s="632"/>
      <c r="DS36" s="632"/>
      <c r="DT36" s="632"/>
      <c r="DU36" s="632"/>
      <c r="DV36" s="632"/>
      <c r="DW36" s="632"/>
      <c r="DX36" s="632"/>
      <c r="DY36" s="632"/>
      <c r="DZ36" s="632"/>
      <c r="EA36" s="632"/>
      <c r="EB36" s="632"/>
      <c r="EC36" s="632"/>
      <c r="ED36" s="632"/>
      <c r="EE36" s="632"/>
      <c r="EF36" s="632"/>
      <c r="EG36" s="632"/>
      <c r="EH36" s="632"/>
      <c r="EI36" s="632"/>
      <c r="EJ36" s="632"/>
      <c r="EK36" s="632"/>
      <c r="EL36" s="632"/>
      <c r="EM36" s="632"/>
      <c r="EN36" s="632"/>
      <c r="EO36" s="632"/>
      <c r="EP36" s="632"/>
      <c r="EQ36" s="632"/>
      <c r="ER36" s="632"/>
      <c r="ES36" s="632"/>
      <c r="ET36" s="632"/>
      <c r="EU36" s="632"/>
      <c r="EV36" s="632"/>
      <c r="EW36" s="632"/>
      <c r="EX36" s="632"/>
      <c r="EY36" s="632"/>
      <c r="EZ36" s="632"/>
      <c r="FA36" s="632"/>
      <c r="FB36" s="632"/>
      <c r="FC36" s="632"/>
      <c r="FD36" s="632"/>
      <c r="FE36" s="632"/>
      <c r="FF36" s="632"/>
      <c r="FG36" s="632"/>
      <c r="FH36" s="632"/>
      <c r="FI36" s="632"/>
      <c r="FJ36" s="632"/>
      <c r="FK36" s="632"/>
      <c r="FL36" s="632"/>
      <c r="FM36" s="632"/>
      <c r="FN36" s="632"/>
      <c r="FO36" s="632"/>
      <c r="FP36" s="632"/>
      <c r="FQ36" s="632"/>
      <c r="FR36" s="632"/>
      <c r="FS36" s="632"/>
      <c r="FT36" s="632"/>
      <c r="FU36" s="632"/>
      <c r="FV36" s="632"/>
      <c r="FW36" s="632"/>
      <c r="FX36" s="632"/>
      <c r="FY36" s="632"/>
      <c r="FZ36" s="632"/>
      <c r="GA36" s="632"/>
      <c r="GB36" s="632"/>
      <c r="GC36" s="632"/>
      <c r="GD36" s="632"/>
      <c r="GE36" s="632"/>
      <c r="GF36" s="632"/>
      <c r="GG36" s="632"/>
      <c r="GH36" s="632"/>
      <c r="GI36" s="632"/>
      <c r="GJ36" s="632"/>
      <c r="GK36" s="632"/>
      <c r="GL36" s="632"/>
      <c r="GM36" s="632"/>
      <c r="GN36" s="632"/>
      <c r="GO36" s="632"/>
      <c r="GP36" s="632"/>
      <c r="GQ36" s="632"/>
      <c r="GR36" s="632"/>
      <c r="GS36" s="632"/>
      <c r="GT36" s="632"/>
      <c r="GU36" s="632"/>
      <c r="GV36" s="632"/>
      <c r="GW36" s="632"/>
      <c r="GX36" s="632"/>
      <c r="GY36" s="632"/>
      <c r="GZ36" s="632"/>
      <c r="HA36" s="632"/>
      <c r="HB36" s="632"/>
      <c r="HC36" s="632"/>
      <c r="HD36" s="632"/>
      <c r="HE36" s="632"/>
      <c r="HF36" s="632"/>
      <c r="HG36" s="632"/>
      <c r="HH36" s="632"/>
      <c r="HI36" s="632"/>
      <c r="HJ36" s="632"/>
      <c r="HK36" s="632"/>
      <c r="HL36" s="632"/>
      <c r="HM36" s="632"/>
      <c r="HN36" s="632"/>
      <c r="HO36" s="632"/>
      <c r="HP36" s="632"/>
      <c r="HQ36" s="632"/>
      <c r="HR36" s="632"/>
      <c r="HS36" s="632"/>
      <c r="HT36" s="632"/>
      <c r="HU36" s="632"/>
      <c r="HV36" s="632"/>
      <c r="HW36" s="632"/>
      <c r="HX36" s="632"/>
      <c r="HY36" s="632"/>
      <c r="HZ36" s="632"/>
      <c r="IA36" s="632"/>
      <c r="IB36" s="632"/>
      <c r="IC36" s="632"/>
      <c r="ID36" s="632"/>
      <c r="IE36" s="632"/>
      <c r="IF36" s="632"/>
      <c r="IG36" s="632"/>
      <c r="IH36" s="632"/>
      <c r="II36" s="632"/>
      <c r="IJ36" s="632"/>
      <c r="IK36" s="632"/>
      <c r="IL36" s="632"/>
      <c r="IM36" s="632"/>
      <c r="IN36" s="632"/>
      <c r="IO36" s="632"/>
      <c r="IP36" s="632"/>
      <c r="IQ36" s="632"/>
      <c r="IR36" s="632"/>
      <c r="IS36" s="632"/>
      <c r="IT36" s="632"/>
      <c r="IU36" s="632"/>
      <c r="IV36" s="632"/>
      <c r="IW36" s="632"/>
      <c r="IX36" s="632"/>
      <c r="IY36" s="632"/>
      <c r="IZ36" s="632"/>
      <c r="JA36" s="632"/>
      <c r="JB36" s="632"/>
      <c r="JC36" s="632"/>
      <c r="JD36" s="632"/>
      <c r="JE36" s="632"/>
      <c r="JF36" s="632"/>
      <c r="JG36" s="632"/>
      <c r="JH36" s="632"/>
      <c r="JI36" s="632"/>
      <c r="JJ36" s="632"/>
      <c r="JK36" s="632"/>
      <c r="JL36" s="632"/>
      <c r="JM36" s="632"/>
      <c r="JN36" s="632"/>
      <c r="JO36" s="632"/>
      <c r="JP36" s="632"/>
      <c r="JQ36" s="632"/>
      <c r="JR36" s="632"/>
      <c r="JS36" s="632"/>
      <c r="JT36" s="632"/>
      <c r="JU36" s="632"/>
      <c r="JV36" s="632"/>
      <c r="JW36" s="632"/>
      <c r="JX36" s="632"/>
      <c r="JY36" s="632"/>
      <c r="JZ36" s="632"/>
      <c r="KA36" s="632"/>
      <c r="KB36" s="632"/>
      <c r="KC36" s="632"/>
      <c r="KD36" s="632"/>
      <c r="KE36" s="632"/>
      <c r="KF36" s="632"/>
      <c r="KG36" s="632"/>
      <c r="KH36" s="632"/>
      <c r="KI36" s="632"/>
      <c r="KJ36" s="632"/>
      <c r="KK36" s="632"/>
      <c r="KL36" s="632"/>
      <c r="KM36" s="632"/>
      <c r="KN36" s="632"/>
      <c r="KO36" s="632"/>
      <c r="KP36" s="632"/>
      <c r="KQ36" s="632"/>
      <c r="KR36" s="632"/>
      <c r="KS36" s="632"/>
      <c r="KT36" s="632"/>
      <c r="KU36" s="632"/>
      <c r="KV36" s="632"/>
      <c r="KW36" s="632"/>
      <c r="KX36" s="632"/>
      <c r="KY36" s="632"/>
      <c r="KZ36" s="632"/>
      <c r="LA36" s="632"/>
      <c r="LB36" s="632"/>
      <c r="LC36" s="632"/>
      <c r="LD36" s="632"/>
      <c r="LE36" s="632"/>
      <c r="LF36" s="632"/>
      <c r="LG36" s="632"/>
      <c r="LH36" s="632"/>
      <c r="LI36" s="632"/>
      <c r="LJ36" s="632"/>
      <c r="LK36" s="632"/>
      <c r="LL36" s="632"/>
      <c r="LM36" s="632"/>
      <c r="LN36" s="632"/>
      <c r="LO36" s="632"/>
      <c r="LP36" s="632"/>
      <c r="LQ36" s="632"/>
      <c r="LR36" s="632"/>
      <c r="LS36" s="632"/>
      <c r="LT36" s="632"/>
      <c r="LU36" s="632"/>
      <c r="LV36" s="632"/>
      <c r="LW36" s="632"/>
      <c r="LX36" s="632"/>
      <c r="LY36" s="632"/>
      <c r="LZ36" s="632"/>
      <c r="MA36" s="632"/>
      <c r="MB36" s="632"/>
      <c r="MC36" s="632"/>
      <c r="MD36" s="632"/>
      <c r="ME36" s="632"/>
      <c r="MF36" s="632"/>
      <c r="MG36" s="632"/>
      <c r="MH36" s="632"/>
      <c r="MI36" s="632"/>
      <c r="MJ36" s="632"/>
      <c r="MK36" s="632"/>
      <c r="ML36" s="632"/>
      <c r="MM36" s="632"/>
      <c r="MN36" s="632"/>
      <c r="MO36" s="632"/>
      <c r="MP36" s="632"/>
      <c r="MQ36" s="632"/>
      <c r="MR36" s="632"/>
      <c r="MS36" s="632"/>
      <c r="MT36" s="632"/>
      <c r="MU36" s="632"/>
      <c r="MV36" s="632"/>
      <c r="MW36" s="632"/>
      <c r="MX36" s="632"/>
      <c r="MY36" s="632"/>
      <c r="MZ36" s="632"/>
      <c r="NA36" s="632"/>
      <c r="NB36" s="632"/>
      <c r="NC36" s="632"/>
      <c r="ND36" s="632"/>
      <c r="NE36" s="632"/>
      <c r="NF36" s="632"/>
      <c r="NG36" s="632"/>
      <c r="NH36" s="632"/>
      <c r="NI36" s="632"/>
      <c r="NJ36" s="632"/>
      <c r="NK36" s="632"/>
      <c r="NL36" s="632"/>
      <c r="NM36" s="632"/>
      <c r="NN36" s="632"/>
      <c r="NO36" s="632"/>
      <c r="NP36" s="632"/>
      <c r="NQ36" s="632"/>
      <c r="NR36" s="632"/>
      <c r="NS36" s="632"/>
      <c r="NT36" s="632"/>
      <c r="NU36" s="632"/>
      <c r="NV36" s="632"/>
      <c r="NW36" s="632"/>
      <c r="NX36" s="632"/>
      <c r="NY36" s="632"/>
      <c r="NZ36" s="632"/>
      <c r="OA36" s="632"/>
      <c r="OB36" s="632"/>
      <c r="OC36" s="632"/>
      <c r="OD36" s="632"/>
      <c r="OE36" s="632"/>
      <c r="OF36" s="632"/>
      <c r="OG36" s="632"/>
      <c r="OH36" s="632"/>
      <c r="OI36" s="632"/>
      <c r="OJ36" s="632"/>
      <c r="OK36" s="632"/>
      <c r="OL36" s="632"/>
      <c r="OM36" s="632"/>
      <c r="ON36" s="632"/>
      <c r="OO36" s="632"/>
      <c r="OP36" s="632"/>
      <c r="OQ36" s="632"/>
      <c r="OR36" s="632"/>
      <c r="OS36" s="632"/>
      <c r="OT36" s="632"/>
      <c r="OU36" s="632"/>
      <c r="OV36" s="632"/>
      <c r="OW36" s="632"/>
      <c r="OX36" s="632"/>
      <c r="OY36" s="632"/>
      <c r="OZ36" s="632"/>
      <c r="PA36" s="632"/>
      <c r="PB36" s="632"/>
      <c r="PC36" s="632"/>
      <c r="PD36" s="632"/>
      <c r="PE36" s="632"/>
      <c r="PF36" s="632"/>
      <c r="PG36" s="632"/>
      <c r="PH36" s="632"/>
      <c r="PI36" s="632"/>
      <c r="PJ36" s="632"/>
      <c r="PK36" s="632"/>
      <c r="PL36" s="632"/>
      <c r="PM36" s="632"/>
      <c r="PN36" s="632"/>
      <c r="PO36" s="632"/>
      <c r="PP36" s="632"/>
      <c r="PQ36" s="632"/>
      <c r="PR36" s="632"/>
      <c r="PS36" s="632"/>
      <c r="PT36" s="632"/>
      <c r="PU36" s="632"/>
      <c r="PV36" s="632"/>
      <c r="PW36" s="632"/>
      <c r="PX36" s="632"/>
      <c r="PY36" s="632"/>
      <c r="PZ36" s="632"/>
      <c r="QA36" s="632"/>
      <c r="QB36" s="632"/>
      <c r="QC36" s="632"/>
      <c r="QD36" s="632"/>
      <c r="QE36" s="632"/>
      <c r="QF36" s="632"/>
      <c r="QG36" s="632"/>
      <c r="QH36" s="632"/>
      <c r="QI36" s="632"/>
      <c r="QJ36" s="632"/>
      <c r="QK36" s="632"/>
      <c r="QL36" s="632"/>
      <c r="QM36" s="632"/>
      <c r="QN36" s="632"/>
      <c r="QO36" s="632"/>
      <c r="QP36" s="632"/>
      <c r="QQ36" s="632"/>
      <c r="QR36" s="632"/>
      <c r="QS36" s="632"/>
      <c r="QT36" s="632"/>
      <c r="QU36" s="632"/>
      <c r="QV36" s="632"/>
      <c r="QW36" s="632"/>
      <c r="QX36" s="632"/>
      <c r="QY36" s="632"/>
      <c r="QZ36" s="632"/>
      <c r="RA36" s="632"/>
      <c r="RB36" s="632"/>
      <c r="RC36" s="632"/>
      <c r="RD36" s="632"/>
      <c r="RE36" s="632"/>
      <c r="RF36" s="632"/>
      <c r="RG36" s="632"/>
      <c r="RH36" s="632"/>
      <c r="RI36" s="632"/>
      <c r="RJ36" s="632"/>
      <c r="RK36" s="632"/>
      <c r="RL36" s="632"/>
      <c r="RM36" s="632"/>
      <c r="RN36" s="632"/>
      <c r="RO36" s="632"/>
      <c r="RP36" s="632"/>
      <c r="RQ36" s="632"/>
      <c r="RR36" s="632"/>
      <c r="RS36" s="632"/>
      <c r="RT36" s="632"/>
      <c r="RU36" s="632"/>
      <c r="RV36" s="632"/>
      <c r="RW36" s="632"/>
      <c r="RX36" s="632"/>
      <c r="RY36" s="632"/>
      <c r="RZ36" s="632"/>
      <c r="SA36" s="632"/>
      <c r="SB36" s="632"/>
      <c r="SC36" s="632"/>
      <c r="SD36" s="632"/>
      <c r="SE36" s="632"/>
      <c r="SF36" s="632"/>
      <c r="SG36" s="632"/>
      <c r="SH36" s="632"/>
      <c r="SI36" s="632"/>
      <c r="SJ36" s="632"/>
      <c r="SK36" s="632"/>
      <c r="SL36" s="632"/>
      <c r="SM36" s="632"/>
      <c r="SN36" s="632"/>
      <c r="SO36" s="632"/>
      <c r="SP36" s="632"/>
      <c r="SQ36" s="632"/>
      <c r="SR36" s="632"/>
      <c r="SS36" s="632"/>
      <c r="ST36" s="632"/>
      <c r="SU36" s="632"/>
      <c r="SV36" s="632"/>
      <c r="SW36" s="632"/>
      <c r="SX36" s="632"/>
      <c r="SY36" s="632"/>
      <c r="SZ36" s="632"/>
      <c r="TA36" s="632"/>
      <c r="TB36" s="632"/>
      <c r="TC36" s="632"/>
      <c r="TD36" s="632"/>
      <c r="TE36" s="632"/>
      <c r="TF36" s="632"/>
      <c r="TG36" s="632"/>
      <c r="TH36" s="632"/>
      <c r="TI36" s="632"/>
      <c r="TJ36" s="632"/>
      <c r="TK36" s="632"/>
      <c r="TL36" s="632"/>
      <c r="TM36" s="632"/>
      <c r="TN36" s="632"/>
      <c r="TO36" s="632"/>
      <c r="TP36" s="632"/>
      <c r="TQ36" s="632"/>
      <c r="TR36" s="632"/>
      <c r="TS36" s="632"/>
      <c r="TT36" s="632"/>
      <c r="TU36" s="632"/>
      <c r="TV36" s="632"/>
      <c r="TW36" s="632"/>
      <c r="TX36" s="632"/>
      <c r="TY36" s="632"/>
      <c r="TZ36" s="632"/>
      <c r="UA36" s="632"/>
      <c r="UB36" s="632"/>
      <c r="UC36" s="632"/>
      <c r="UD36" s="632"/>
      <c r="UE36" s="632"/>
      <c r="UF36" s="632"/>
      <c r="UG36" s="632"/>
      <c r="UH36" s="632"/>
      <c r="UI36" s="632"/>
      <c r="UJ36" s="632"/>
      <c r="UK36" s="632"/>
      <c r="UL36" s="632"/>
      <c r="UM36" s="632"/>
      <c r="UN36" s="632"/>
      <c r="UO36" s="632"/>
      <c r="UP36" s="632"/>
      <c r="UQ36" s="632"/>
      <c r="UR36" s="632"/>
      <c r="US36" s="632"/>
      <c r="UT36" s="632"/>
      <c r="UU36" s="632"/>
      <c r="UV36" s="632"/>
      <c r="UW36" s="632"/>
      <c r="UX36" s="632"/>
      <c r="UY36" s="632"/>
      <c r="UZ36" s="632"/>
      <c r="VA36" s="632"/>
      <c r="VB36" s="632"/>
      <c r="VC36" s="632"/>
      <c r="VD36" s="632"/>
      <c r="VE36" s="632"/>
      <c r="VF36" s="632"/>
      <c r="VG36" s="632"/>
      <c r="VH36" s="632"/>
      <c r="VI36" s="632"/>
      <c r="VJ36" s="632"/>
      <c r="VK36" s="632"/>
      <c r="VL36" s="632"/>
      <c r="VM36" s="632"/>
      <c r="VN36" s="632"/>
      <c r="VO36" s="632"/>
      <c r="VP36" s="632"/>
      <c r="VQ36" s="632"/>
      <c r="VR36" s="632"/>
      <c r="VS36" s="632"/>
      <c r="VT36" s="632"/>
      <c r="VU36" s="632"/>
      <c r="VV36" s="632"/>
      <c r="VW36" s="632"/>
      <c r="VX36" s="632"/>
      <c r="VY36" s="632"/>
      <c r="VZ36" s="632"/>
      <c r="WA36" s="632"/>
      <c r="WB36" s="632"/>
      <c r="WC36" s="632"/>
      <c r="WD36" s="632"/>
      <c r="WE36" s="632"/>
      <c r="WF36" s="632"/>
      <c r="WG36" s="632"/>
      <c r="WH36" s="632"/>
      <c r="WI36" s="632"/>
      <c r="WJ36" s="632"/>
      <c r="WK36" s="632"/>
      <c r="WL36" s="632"/>
      <c r="WM36" s="632"/>
      <c r="WN36" s="632"/>
      <c r="WO36" s="632"/>
      <c r="WP36" s="632"/>
      <c r="WQ36" s="632"/>
      <c r="WR36" s="632"/>
      <c r="WS36" s="632"/>
      <c r="WT36" s="632"/>
      <c r="WU36" s="632"/>
      <c r="WV36" s="632"/>
      <c r="WW36" s="632"/>
      <c r="WX36" s="632"/>
      <c r="WY36" s="632"/>
      <c r="WZ36" s="632"/>
      <c r="XA36" s="632"/>
      <c r="XB36" s="632"/>
      <c r="XC36" s="632"/>
      <c r="XD36" s="632"/>
      <c r="XE36" s="632"/>
      <c r="XF36" s="632"/>
      <c r="XG36" s="632"/>
      <c r="XH36" s="632"/>
      <c r="XI36" s="632"/>
      <c r="XJ36" s="632"/>
      <c r="XK36" s="632"/>
      <c r="XL36" s="632"/>
      <c r="XM36" s="632"/>
      <c r="XN36" s="632"/>
      <c r="XO36" s="632"/>
      <c r="XP36" s="632"/>
      <c r="XQ36" s="632"/>
      <c r="XR36" s="632"/>
      <c r="XS36" s="632"/>
      <c r="XT36" s="632"/>
      <c r="XU36" s="632"/>
      <c r="XV36" s="632"/>
      <c r="XW36" s="632"/>
      <c r="XX36" s="632"/>
      <c r="XY36" s="632"/>
      <c r="XZ36" s="632"/>
      <c r="YA36" s="632"/>
      <c r="YB36" s="632"/>
      <c r="YC36" s="632"/>
      <c r="YD36" s="632"/>
      <c r="YE36" s="632"/>
      <c r="YF36" s="632"/>
      <c r="YG36" s="632"/>
      <c r="YH36" s="632"/>
      <c r="YI36" s="632"/>
      <c r="YJ36" s="632"/>
      <c r="YK36" s="632"/>
      <c r="YL36" s="632"/>
      <c r="YM36" s="632"/>
      <c r="YN36" s="632"/>
      <c r="YO36" s="632"/>
      <c r="YP36" s="632"/>
      <c r="YQ36" s="632"/>
      <c r="YR36" s="632"/>
      <c r="YS36" s="632"/>
      <c r="YT36" s="632"/>
      <c r="YU36" s="632"/>
      <c r="YV36" s="632"/>
      <c r="YW36" s="632"/>
      <c r="YX36" s="632"/>
      <c r="YY36" s="632"/>
      <c r="YZ36" s="632"/>
      <c r="ZA36" s="632"/>
      <c r="ZB36" s="632"/>
      <c r="ZC36" s="632"/>
      <c r="ZD36" s="632"/>
      <c r="ZE36" s="632"/>
      <c r="ZF36" s="632"/>
      <c r="ZG36" s="632"/>
      <c r="ZH36" s="632"/>
      <c r="ZI36" s="632"/>
      <c r="ZJ36" s="632"/>
      <c r="ZK36" s="632"/>
      <c r="ZL36" s="632"/>
      <c r="ZM36" s="632"/>
      <c r="ZN36" s="632"/>
      <c r="ZO36" s="632"/>
      <c r="ZP36" s="632"/>
      <c r="ZQ36" s="632"/>
      <c r="ZR36" s="632"/>
      <c r="ZS36" s="632"/>
      <c r="ZT36" s="632"/>
      <c r="ZU36" s="632"/>
      <c r="ZV36" s="632"/>
      <c r="ZW36" s="632"/>
      <c r="ZX36" s="632"/>
      <c r="ZY36" s="632"/>
      <c r="ZZ36" s="632"/>
      <c r="AAA36" s="632"/>
      <c r="AAB36" s="632"/>
      <c r="AAC36" s="632"/>
      <c r="AAD36" s="632"/>
      <c r="AAE36" s="632"/>
      <c r="AAF36" s="632"/>
      <c r="AAG36" s="632"/>
      <c r="AAH36" s="632"/>
      <c r="AAI36" s="632"/>
      <c r="AAJ36" s="632"/>
      <c r="AAK36" s="632"/>
      <c r="AAL36" s="632"/>
      <c r="AAM36" s="632"/>
      <c r="AAN36" s="632"/>
      <c r="AAO36" s="632"/>
      <c r="AAP36" s="632"/>
      <c r="AAQ36" s="632"/>
      <c r="AAR36" s="632"/>
      <c r="AAS36" s="632"/>
      <c r="AAT36" s="632"/>
      <c r="AAU36" s="632"/>
      <c r="AAV36" s="632"/>
      <c r="AAW36" s="632"/>
      <c r="AAX36" s="632"/>
      <c r="AAY36" s="632"/>
      <c r="AAZ36" s="632"/>
      <c r="ABA36" s="632"/>
      <c r="ABB36" s="632"/>
      <c r="ABC36" s="632"/>
      <c r="ABD36" s="632"/>
      <c r="ABE36" s="632"/>
      <c r="ABF36" s="632"/>
      <c r="ABG36" s="632"/>
      <c r="ABH36" s="632"/>
      <c r="ABI36" s="632"/>
      <c r="ABJ36" s="632"/>
      <c r="ABK36" s="632"/>
      <c r="ABL36" s="632"/>
      <c r="ABM36" s="632"/>
      <c r="ABN36" s="632"/>
      <c r="ABO36" s="632"/>
      <c r="ABP36" s="632"/>
      <c r="ABQ36" s="632"/>
      <c r="ABR36" s="632"/>
      <c r="ABS36" s="632"/>
      <c r="ABT36" s="632"/>
      <c r="ABU36" s="632"/>
      <c r="ABV36" s="632"/>
      <c r="ABW36" s="632"/>
      <c r="ABX36" s="632"/>
      <c r="ABY36" s="632"/>
      <c r="ABZ36" s="632"/>
      <c r="ACA36" s="632"/>
      <c r="ACB36" s="632"/>
      <c r="ACC36" s="632"/>
      <c r="ACD36" s="632"/>
      <c r="ACE36" s="632"/>
      <c r="ACF36" s="632"/>
      <c r="ACG36" s="632"/>
      <c r="ACH36" s="632"/>
      <c r="ACI36" s="632"/>
      <c r="ACJ36" s="632"/>
      <c r="ACK36" s="632"/>
      <c r="ACL36" s="632"/>
      <c r="ACM36" s="632"/>
      <c r="ACN36" s="632"/>
      <c r="ACO36" s="632"/>
      <c r="ACP36" s="632"/>
      <c r="ACQ36" s="632"/>
      <c r="ACR36" s="632"/>
      <c r="ACS36" s="632"/>
      <c r="ACT36" s="632"/>
      <c r="ACU36" s="632"/>
      <c r="ACV36" s="632"/>
      <c r="ACW36" s="632"/>
      <c r="ACX36" s="632"/>
      <c r="ACY36" s="632"/>
      <c r="ACZ36" s="632"/>
      <c r="ADA36" s="632"/>
      <c r="ADB36" s="632"/>
      <c r="ADC36" s="632"/>
      <c r="ADD36" s="632"/>
      <c r="ADE36" s="632"/>
      <c r="ADF36" s="632"/>
      <c r="ADG36" s="632"/>
      <c r="ADH36" s="632"/>
      <c r="ADI36" s="632"/>
      <c r="ADJ36" s="632"/>
      <c r="ADK36" s="632"/>
      <c r="ADL36" s="632"/>
      <c r="ADM36" s="632"/>
      <c r="ADN36" s="632"/>
      <c r="ADO36" s="632"/>
      <c r="ADP36" s="632"/>
      <c r="ADQ36" s="632"/>
      <c r="ADR36" s="632"/>
      <c r="ADS36" s="632"/>
      <c r="ADT36" s="632"/>
      <c r="ADU36" s="632"/>
      <c r="ADV36" s="632"/>
      <c r="ADW36" s="632"/>
      <c r="ADX36" s="632"/>
      <c r="ADY36" s="632"/>
      <c r="ADZ36" s="632"/>
      <c r="AEA36" s="632"/>
      <c r="AEB36" s="632"/>
      <c r="AEC36" s="632"/>
      <c r="AED36" s="632"/>
      <c r="AEE36" s="632"/>
      <c r="AEF36" s="632"/>
      <c r="AEG36" s="632"/>
      <c r="AEH36" s="632"/>
      <c r="AEI36" s="632"/>
      <c r="AEJ36" s="632"/>
      <c r="AEK36" s="632"/>
      <c r="AEL36" s="632"/>
      <c r="AEM36" s="632"/>
      <c r="AEN36" s="632"/>
      <c r="AEO36" s="632"/>
      <c r="AEP36" s="632"/>
      <c r="AEQ36" s="632"/>
      <c r="AER36" s="632"/>
      <c r="AES36" s="632"/>
      <c r="AET36" s="632"/>
      <c r="AEU36" s="632"/>
      <c r="AEV36" s="632"/>
      <c r="AEW36" s="632"/>
      <c r="AEX36" s="632"/>
      <c r="AEY36" s="632"/>
      <c r="AEZ36" s="632"/>
      <c r="AFA36" s="632"/>
      <c r="AFB36" s="632"/>
      <c r="AFC36" s="632"/>
      <c r="AFD36" s="632"/>
      <c r="AFE36" s="632"/>
      <c r="AFF36" s="632"/>
      <c r="AFG36" s="632"/>
      <c r="AFH36" s="632"/>
      <c r="AFI36" s="632"/>
      <c r="AFJ36" s="632"/>
      <c r="AFK36" s="632"/>
      <c r="AFL36" s="632"/>
      <c r="AFM36" s="632"/>
      <c r="AFN36" s="632"/>
      <c r="AFO36" s="632"/>
      <c r="AFP36" s="632"/>
      <c r="AFQ36" s="632"/>
      <c r="AFR36" s="632"/>
      <c r="AFS36" s="632"/>
      <c r="AFT36" s="632"/>
      <c r="AFU36" s="632"/>
      <c r="AFV36" s="632"/>
      <c r="AFW36" s="632"/>
      <c r="AFX36" s="632"/>
      <c r="AFY36" s="632"/>
      <c r="AFZ36" s="632"/>
      <c r="AGA36" s="632"/>
      <c r="AGB36" s="632"/>
      <c r="AGC36" s="632"/>
      <c r="AGD36" s="632"/>
      <c r="AGE36" s="632"/>
      <c r="AGF36" s="632"/>
      <c r="AGG36" s="632"/>
      <c r="AGH36" s="632"/>
      <c r="AGI36" s="632"/>
      <c r="AGJ36" s="632"/>
      <c r="AGK36" s="632"/>
      <c r="AGL36" s="632"/>
      <c r="AGM36" s="632"/>
      <c r="AGN36" s="632"/>
      <c r="AGO36" s="632"/>
      <c r="AGP36" s="632"/>
      <c r="AGQ36" s="632"/>
      <c r="AGR36" s="632"/>
      <c r="AGS36" s="632"/>
      <c r="AGT36" s="632"/>
      <c r="AGU36" s="632"/>
      <c r="AGV36" s="632"/>
      <c r="AGW36" s="632"/>
      <c r="AGX36" s="632"/>
      <c r="AGY36" s="632"/>
      <c r="AGZ36" s="632"/>
      <c r="AHA36" s="632"/>
      <c r="AHB36" s="632"/>
      <c r="AHC36" s="632"/>
      <c r="AHD36" s="632"/>
      <c r="AHE36" s="632"/>
      <c r="AHF36" s="632"/>
      <c r="AHG36" s="632"/>
      <c r="AHH36" s="632"/>
      <c r="AHI36" s="632"/>
      <c r="AHJ36" s="632"/>
      <c r="AHK36" s="632"/>
      <c r="AHL36" s="632"/>
      <c r="AHM36" s="632"/>
      <c r="AHN36" s="632"/>
      <c r="AHO36" s="632"/>
      <c r="AHP36" s="632"/>
      <c r="AHQ36" s="632"/>
      <c r="AHR36" s="632"/>
      <c r="AHS36" s="632"/>
      <c r="AHT36" s="632"/>
      <c r="AHU36" s="632"/>
      <c r="AHV36" s="632"/>
      <c r="AHW36" s="632"/>
      <c r="AHX36" s="632"/>
      <c r="AHY36" s="632"/>
      <c r="AHZ36" s="632"/>
      <c r="AIA36" s="632"/>
      <c r="AIB36" s="632"/>
      <c r="AIC36" s="632"/>
      <c r="AID36" s="632"/>
      <c r="AIE36" s="632"/>
      <c r="AIF36" s="632"/>
      <c r="AIG36" s="632"/>
      <c r="AIH36" s="632"/>
      <c r="AII36" s="632"/>
      <c r="AIJ36" s="632"/>
      <c r="AIK36" s="632"/>
      <c r="AIL36" s="632"/>
      <c r="AIM36" s="632"/>
      <c r="AIN36" s="632"/>
      <c r="AIO36" s="632"/>
      <c r="AIP36" s="632"/>
      <c r="AIQ36" s="632"/>
      <c r="AIR36" s="632"/>
      <c r="AIS36" s="632"/>
      <c r="AIT36" s="632"/>
      <c r="AIU36" s="632"/>
      <c r="AIV36" s="632"/>
      <c r="AIW36" s="632"/>
      <c r="AIX36" s="632"/>
      <c r="AIY36" s="632"/>
      <c r="AIZ36" s="632"/>
      <c r="AJA36" s="632"/>
      <c r="AJB36" s="632"/>
      <c r="AJC36" s="632"/>
      <c r="AJD36" s="632"/>
      <c r="AJE36" s="632"/>
      <c r="AJF36" s="632"/>
      <c r="AJG36" s="632"/>
      <c r="AJH36" s="632"/>
      <c r="AJI36" s="632"/>
      <c r="AJJ36" s="632"/>
      <c r="AJK36" s="632"/>
      <c r="AJL36" s="632"/>
      <c r="AJM36" s="632"/>
      <c r="AJN36" s="632"/>
      <c r="AJO36" s="632"/>
      <c r="AJP36" s="632"/>
      <c r="AJQ36" s="632"/>
      <c r="AJR36" s="632"/>
      <c r="AJS36" s="632"/>
      <c r="AJT36" s="632"/>
      <c r="AJU36" s="632"/>
      <c r="AJV36" s="632"/>
      <c r="AJW36" s="632"/>
      <c r="AJX36" s="632"/>
      <c r="AJY36" s="632"/>
      <c r="AJZ36" s="632"/>
      <c r="AKA36" s="632"/>
      <c r="AKB36" s="632"/>
      <c r="AKC36" s="632"/>
      <c r="AKD36" s="632"/>
      <c r="AKE36" s="632"/>
      <c r="AKF36" s="632"/>
      <c r="AKG36" s="632"/>
      <c r="AKH36" s="632"/>
      <c r="AKI36" s="632"/>
      <c r="AKJ36" s="632"/>
      <c r="AKK36" s="632"/>
      <c r="AKL36" s="632"/>
      <c r="AKM36" s="632"/>
      <c r="AKN36" s="632"/>
      <c r="AKO36" s="632"/>
      <c r="AKP36" s="632"/>
      <c r="AKQ36" s="632"/>
      <c r="AKR36" s="632"/>
      <c r="AKS36" s="632"/>
      <c r="AKT36" s="632"/>
      <c r="AKU36" s="632"/>
      <c r="AKV36" s="632"/>
      <c r="AKW36" s="632"/>
      <c r="AKX36" s="632"/>
      <c r="AKY36" s="632"/>
      <c r="AKZ36" s="632"/>
      <c r="ALA36" s="632"/>
      <c r="ALB36" s="632"/>
      <c r="ALC36" s="632"/>
      <c r="ALD36" s="632"/>
      <c r="ALE36" s="632"/>
      <c r="ALF36" s="632"/>
      <c r="ALG36" s="632"/>
      <c r="ALH36" s="632"/>
      <c r="ALI36" s="632"/>
      <c r="ALJ36" s="632"/>
      <c r="ALK36" s="632"/>
      <c r="ALL36" s="632"/>
      <c r="ALM36" s="632"/>
      <c r="ALN36" s="632"/>
      <c r="ALO36" s="632"/>
      <c r="ALP36" s="632"/>
      <c r="ALQ36" s="632"/>
      <c r="ALR36" s="632"/>
      <c r="ALS36" s="632"/>
      <c r="ALT36" s="632"/>
      <c r="ALU36" s="632"/>
      <c r="ALV36" s="632"/>
      <c r="ALW36" s="632"/>
      <c r="ALX36" s="632"/>
      <c r="ALY36" s="632"/>
      <c r="ALZ36" s="632"/>
      <c r="AMA36" s="632"/>
      <c r="AMB36" s="632"/>
      <c r="AMC36" s="632"/>
      <c r="AMD36" s="632"/>
      <c r="AME36" s="632"/>
      <c r="AMF36" s="632"/>
      <c r="AMG36" s="632"/>
      <c r="AMH36" s="632"/>
      <c r="AMI36" s="632"/>
      <c r="AMJ36" s="632"/>
      <c r="AMK36" s="632"/>
      <c r="AML36" s="632"/>
      <c r="AMM36" s="632"/>
      <c r="AMN36" s="632"/>
      <c r="AMO36" s="632"/>
      <c r="AMP36" s="632"/>
      <c r="AMQ36" s="632"/>
      <c r="AMR36" s="632"/>
      <c r="AMS36" s="632"/>
      <c r="AMT36" s="632"/>
      <c r="AMU36" s="632"/>
      <c r="AMV36" s="632"/>
      <c r="AMW36" s="632"/>
      <c r="AMX36" s="632"/>
      <c r="AMY36" s="632"/>
      <c r="AMZ36" s="632"/>
      <c r="ANA36" s="632"/>
      <c r="ANB36" s="632"/>
      <c r="ANC36" s="632"/>
      <c r="AND36" s="632"/>
      <c r="ANE36" s="632"/>
      <c r="ANF36" s="632"/>
      <c r="ANG36" s="632"/>
      <c r="ANH36" s="632"/>
      <c r="ANI36" s="632"/>
      <c r="ANJ36" s="632"/>
      <c r="ANK36" s="632"/>
      <c r="ANL36" s="632"/>
      <c r="ANM36" s="632"/>
      <c r="ANN36" s="632"/>
      <c r="ANO36" s="632"/>
      <c r="ANP36" s="632"/>
      <c r="ANQ36" s="632"/>
      <c r="ANR36" s="632"/>
      <c r="ANS36" s="632"/>
      <c r="ANT36" s="632"/>
      <c r="ANU36" s="632"/>
      <c r="ANV36" s="632"/>
      <c r="ANW36" s="632"/>
      <c r="ANX36" s="632"/>
      <c r="ANY36" s="632"/>
      <c r="ANZ36" s="632"/>
      <c r="AOA36" s="632"/>
      <c r="AOB36" s="632"/>
      <c r="AOC36" s="632"/>
      <c r="AOD36" s="632"/>
      <c r="AOE36" s="632"/>
      <c r="AOF36" s="632"/>
      <c r="AOG36" s="632"/>
      <c r="AOH36" s="632"/>
      <c r="AOI36" s="632"/>
      <c r="AOJ36" s="632"/>
      <c r="AOK36" s="632"/>
      <c r="AOL36" s="632"/>
      <c r="AOM36" s="632"/>
      <c r="AON36" s="632"/>
      <c r="AOO36" s="632"/>
      <c r="AOP36" s="632"/>
      <c r="AOQ36" s="632"/>
      <c r="AOR36" s="632"/>
      <c r="AOS36" s="632"/>
      <c r="AOT36" s="632"/>
      <c r="AOU36" s="632"/>
      <c r="AOV36" s="632"/>
      <c r="AOW36" s="632"/>
      <c r="AOX36" s="632"/>
      <c r="AOY36" s="632"/>
      <c r="AOZ36" s="632"/>
      <c r="APA36" s="632"/>
      <c r="APB36" s="632"/>
      <c r="APC36" s="632"/>
      <c r="APD36" s="632"/>
      <c r="APE36" s="632"/>
      <c r="APF36" s="632"/>
      <c r="APG36" s="632"/>
      <c r="APH36" s="632"/>
      <c r="API36" s="632"/>
      <c r="APJ36" s="632"/>
      <c r="APK36" s="632"/>
      <c r="APL36" s="632"/>
      <c r="APM36" s="632"/>
      <c r="APN36" s="632"/>
      <c r="APO36" s="632"/>
      <c r="APP36" s="632"/>
      <c r="APQ36" s="632"/>
      <c r="APR36" s="632"/>
      <c r="APS36" s="632"/>
      <c r="APT36" s="632"/>
      <c r="APU36" s="632"/>
      <c r="APV36" s="632"/>
      <c r="APW36" s="632"/>
      <c r="APX36" s="632"/>
      <c r="APY36" s="632"/>
      <c r="APZ36" s="632"/>
      <c r="AQA36" s="632"/>
      <c r="AQB36" s="632"/>
      <c r="AQC36" s="632"/>
      <c r="AQD36" s="632"/>
      <c r="AQE36" s="632"/>
      <c r="AQF36" s="632"/>
      <c r="AQG36" s="632"/>
      <c r="AQH36" s="632"/>
      <c r="AQI36" s="632"/>
      <c r="AQJ36" s="632"/>
      <c r="AQK36" s="632"/>
      <c r="AQL36" s="632"/>
      <c r="AQM36" s="632"/>
      <c r="AQN36" s="632"/>
      <c r="AQO36" s="632"/>
      <c r="AQP36" s="632"/>
      <c r="AQQ36" s="632"/>
      <c r="AQR36" s="632"/>
      <c r="AQS36" s="632"/>
      <c r="AQT36" s="632"/>
      <c r="AQU36" s="632"/>
      <c r="AQV36" s="632"/>
      <c r="AQW36" s="632"/>
      <c r="AQX36" s="632"/>
      <c r="AQY36" s="632"/>
      <c r="AQZ36" s="632"/>
      <c r="ARA36" s="632"/>
      <c r="ARB36" s="632"/>
      <c r="ARC36" s="632"/>
      <c r="ARD36" s="632"/>
      <c r="ARE36" s="632"/>
      <c r="ARF36" s="632"/>
      <c r="ARG36" s="632"/>
      <c r="ARH36" s="632"/>
      <c r="ARI36" s="632"/>
      <c r="ARJ36" s="632"/>
      <c r="ARK36" s="632"/>
      <c r="ARL36" s="632"/>
      <c r="ARM36" s="632"/>
      <c r="ARN36" s="632"/>
      <c r="ARO36" s="632"/>
      <c r="ARP36" s="632"/>
      <c r="ARQ36" s="632"/>
      <c r="ARR36" s="632"/>
      <c r="ARS36" s="632"/>
      <c r="ART36" s="632"/>
      <c r="ARU36" s="632"/>
      <c r="ARV36" s="632"/>
      <c r="ARW36" s="632"/>
      <c r="ARX36" s="632"/>
      <c r="ARY36" s="632"/>
      <c r="ARZ36" s="632"/>
      <c r="ASA36" s="632"/>
      <c r="ASB36" s="632"/>
      <c r="ASC36" s="632"/>
      <c r="ASD36" s="632"/>
      <c r="ASE36" s="632"/>
      <c r="ASF36" s="632"/>
      <c r="ASG36" s="632"/>
      <c r="ASH36" s="632"/>
      <c r="ASI36" s="632"/>
      <c r="ASJ36" s="632"/>
      <c r="ASK36" s="632"/>
      <c r="ASL36" s="632"/>
      <c r="ASM36" s="632"/>
      <c r="ASN36" s="632"/>
      <c r="ASO36" s="632"/>
      <c r="ASP36" s="632"/>
      <c r="ASQ36" s="632"/>
      <c r="ASR36" s="632"/>
      <c r="ASS36" s="632"/>
      <c r="AST36" s="632"/>
      <c r="ASU36" s="632"/>
      <c r="ASV36" s="632"/>
      <c r="ASW36" s="632"/>
      <c r="ASX36" s="632"/>
      <c r="ASY36" s="632"/>
      <c r="ASZ36" s="632"/>
      <c r="ATA36" s="632"/>
      <c r="ATB36" s="632"/>
      <c r="ATC36" s="632"/>
      <c r="ATD36" s="632"/>
      <c r="ATE36" s="632"/>
      <c r="ATF36" s="632"/>
      <c r="ATG36" s="632"/>
      <c r="ATH36" s="632"/>
      <c r="ATI36" s="632"/>
      <c r="ATJ36" s="632"/>
      <c r="ATK36" s="632"/>
      <c r="ATL36" s="632"/>
      <c r="ATM36" s="632"/>
      <c r="ATN36" s="632"/>
      <c r="ATO36" s="632"/>
      <c r="ATP36" s="632"/>
      <c r="ATQ36" s="632"/>
      <c r="ATR36" s="632"/>
      <c r="ATS36" s="632"/>
      <c r="ATT36" s="632"/>
      <c r="ATU36" s="632"/>
      <c r="ATV36" s="632"/>
      <c r="ATW36" s="632"/>
      <c r="ATX36" s="632"/>
      <c r="ATY36" s="632"/>
      <c r="ATZ36" s="632"/>
      <c r="AUA36" s="632"/>
      <c r="AUB36" s="632"/>
      <c r="AUC36" s="632"/>
      <c r="AUD36" s="632"/>
      <c r="AUE36" s="632"/>
      <c r="AUF36" s="632"/>
      <c r="AUG36" s="632"/>
      <c r="AUH36" s="632"/>
      <c r="AUI36" s="632"/>
      <c r="AUJ36" s="632"/>
      <c r="AUK36" s="632"/>
      <c r="AUL36" s="632"/>
      <c r="AUM36" s="632"/>
      <c r="AUN36" s="632"/>
      <c r="AUO36" s="632"/>
      <c r="AUP36" s="632"/>
      <c r="AUQ36" s="632"/>
      <c r="AUR36" s="632"/>
      <c r="AUS36" s="632"/>
      <c r="AUT36" s="632"/>
      <c r="AUU36" s="632"/>
      <c r="AUV36" s="632"/>
      <c r="AUW36" s="632"/>
      <c r="AUX36" s="632"/>
      <c r="AUY36" s="632"/>
      <c r="AUZ36" s="632"/>
      <c r="AVA36" s="632"/>
      <c r="AVB36" s="632"/>
      <c r="AVC36" s="632"/>
      <c r="AVD36" s="632"/>
      <c r="AVE36" s="632"/>
      <c r="AVF36" s="632"/>
      <c r="AVG36" s="632"/>
      <c r="AVH36" s="632"/>
      <c r="AVI36" s="632"/>
      <c r="AVJ36" s="632"/>
      <c r="AVK36" s="632"/>
      <c r="AVL36" s="632"/>
      <c r="AVM36" s="632"/>
      <c r="AVN36" s="632"/>
      <c r="AVO36" s="632"/>
      <c r="AVP36" s="632"/>
      <c r="AVQ36" s="632"/>
      <c r="AVR36" s="632"/>
      <c r="AVS36" s="632"/>
      <c r="AVT36" s="632"/>
      <c r="AVU36" s="632"/>
      <c r="AVV36" s="632"/>
      <c r="AVW36" s="632"/>
      <c r="AVX36" s="632"/>
      <c r="AVY36" s="632"/>
      <c r="AVZ36" s="632"/>
      <c r="AWA36" s="632"/>
      <c r="AWB36" s="632"/>
      <c r="AWC36" s="632"/>
      <c r="AWD36" s="632"/>
      <c r="AWE36" s="632"/>
      <c r="AWF36" s="632"/>
      <c r="AWG36" s="632"/>
      <c r="AWH36" s="632"/>
      <c r="AWI36" s="632"/>
      <c r="AWJ36" s="632"/>
      <c r="AWK36" s="632"/>
      <c r="AWL36" s="632"/>
      <c r="AWM36" s="632"/>
      <c r="AWN36" s="632"/>
      <c r="AWO36" s="632"/>
      <c r="AWP36" s="632"/>
      <c r="AWQ36" s="632"/>
      <c r="AWR36" s="632"/>
      <c r="AWS36" s="632"/>
      <c r="AWT36" s="632"/>
      <c r="AWU36" s="632"/>
      <c r="AWV36" s="632"/>
      <c r="AWW36" s="632"/>
      <c r="AWX36" s="632"/>
      <c r="AWY36" s="632"/>
      <c r="AWZ36" s="632"/>
      <c r="AXA36" s="632"/>
      <c r="AXB36" s="632"/>
      <c r="AXC36" s="632"/>
      <c r="AXD36" s="632"/>
      <c r="AXE36" s="632"/>
      <c r="AXF36" s="632"/>
      <c r="AXG36" s="632"/>
      <c r="AXH36" s="632"/>
      <c r="AXI36" s="632"/>
      <c r="AXJ36" s="632"/>
      <c r="AXK36" s="632"/>
      <c r="AXL36" s="632"/>
      <c r="AXM36" s="632"/>
      <c r="AXN36" s="632"/>
      <c r="AXO36" s="632"/>
      <c r="AXP36" s="632"/>
      <c r="AXQ36" s="632"/>
      <c r="AXR36" s="632"/>
      <c r="AXS36" s="632"/>
      <c r="AXT36" s="632"/>
      <c r="AXU36" s="632"/>
      <c r="AXV36" s="632"/>
      <c r="AXW36" s="632"/>
      <c r="AXX36" s="632"/>
      <c r="AXY36" s="632"/>
      <c r="AXZ36" s="632"/>
      <c r="AYA36" s="632"/>
      <c r="AYB36" s="632"/>
      <c r="AYC36" s="632"/>
      <c r="AYD36" s="632"/>
      <c r="AYE36" s="632"/>
      <c r="AYF36" s="632"/>
      <c r="AYG36" s="632"/>
      <c r="AYH36" s="632"/>
      <c r="AYI36" s="632"/>
      <c r="AYJ36" s="632"/>
      <c r="AYK36" s="632"/>
      <c r="AYL36" s="632"/>
      <c r="AYM36" s="632"/>
      <c r="AYN36" s="632"/>
      <c r="AYO36" s="632"/>
      <c r="AYP36" s="632"/>
      <c r="AYQ36" s="632"/>
      <c r="AYR36" s="632"/>
      <c r="AYS36" s="632"/>
      <c r="AYT36" s="632"/>
      <c r="AYU36" s="632"/>
      <c r="AYV36" s="632"/>
      <c r="AYW36" s="632"/>
      <c r="AYX36" s="632"/>
      <c r="AYY36" s="632"/>
      <c r="AYZ36" s="632"/>
      <c r="AZA36" s="632"/>
      <c r="AZB36" s="632"/>
      <c r="AZC36" s="632"/>
      <c r="AZD36" s="632"/>
      <c r="AZE36" s="632"/>
      <c r="AZF36" s="632"/>
      <c r="AZG36" s="632"/>
      <c r="AZH36" s="632"/>
      <c r="AZI36" s="632"/>
      <c r="AZJ36" s="632"/>
      <c r="AZK36" s="632"/>
      <c r="AZL36" s="632"/>
      <c r="AZM36" s="632"/>
      <c r="AZN36" s="632"/>
      <c r="AZO36" s="632"/>
      <c r="AZP36" s="632"/>
      <c r="AZQ36" s="632"/>
      <c r="AZR36" s="632"/>
      <c r="AZS36" s="632"/>
      <c r="AZT36" s="632"/>
      <c r="AZU36" s="632"/>
      <c r="AZV36" s="632"/>
      <c r="AZW36" s="632"/>
      <c r="AZX36" s="632"/>
      <c r="AZY36" s="632"/>
      <c r="AZZ36" s="632"/>
      <c r="BAA36" s="632"/>
      <c r="BAB36" s="632"/>
      <c r="BAC36" s="632"/>
      <c r="BAD36" s="632"/>
      <c r="BAE36" s="632"/>
      <c r="BAF36" s="632"/>
      <c r="BAG36" s="632"/>
      <c r="BAH36" s="632"/>
      <c r="BAI36" s="632"/>
      <c r="BAJ36" s="632"/>
      <c r="BAK36" s="632"/>
      <c r="BAL36" s="632"/>
      <c r="BAM36" s="632"/>
      <c r="BAN36" s="632"/>
      <c r="BAO36" s="632"/>
      <c r="BAP36" s="632"/>
      <c r="BAQ36" s="632"/>
      <c r="BAR36" s="632"/>
      <c r="BAS36" s="632"/>
      <c r="BAT36" s="632"/>
      <c r="BAU36" s="632"/>
      <c r="BAV36" s="632"/>
      <c r="BAW36" s="632"/>
      <c r="BAX36" s="632"/>
      <c r="BAY36" s="632"/>
      <c r="BAZ36" s="632"/>
      <c r="BBA36" s="632"/>
      <c r="BBB36" s="632"/>
      <c r="BBC36" s="632"/>
      <c r="BBD36" s="632"/>
      <c r="BBE36" s="632"/>
      <c r="BBF36" s="632"/>
      <c r="BBG36" s="632"/>
      <c r="BBH36" s="632"/>
      <c r="BBI36" s="632"/>
      <c r="BBJ36" s="632"/>
      <c r="BBK36" s="632"/>
      <c r="BBL36" s="632"/>
      <c r="BBM36" s="632"/>
      <c r="BBN36" s="632"/>
      <c r="BBO36" s="632"/>
      <c r="BBP36" s="632"/>
      <c r="BBQ36" s="632"/>
      <c r="BBR36" s="632"/>
      <c r="BBS36" s="632"/>
      <c r="BBT36" s="632"/>
      <c r="BBU36" s="632"/>
      <c r="BBV36" s="632"/>
      <c r="BBW36" s="632"/>
      <c r="BBX36" s="632"/>
      <c r="BBY36" s="632"/>
      <c r="BBZ36" s="632"/>
      <c r="BCA36" s="632"/>
      <c r="BCB36" s="632"/>
      <c r="BCC36" s="632"/>
      <c r="BCD36" s="632"/>
      <c r="BCE36" s="632"/>
      <c r="BCF36" s="632"/>
      <c r="BCG36" s="632"/>
      <c r="BCH36" s="632"/>
      <c r="BCI36" s="632"/>
      <c r="BCJ36" s="632"/>
      <c r="BCK36" s="632"/>
      <c r="BCL36" s="632"/>
      <c r="BCM36" s="632"/>
      <c r="BCN36" s="632"/>
      <c r="BCO36" s="632"/>
      <c r="BCP36" s="632"/>
      <c r="BCQ36" s="632"/>
      <c r="BCR36" s="632"/>
      <c r="BCS36" s="632"/>
      <c r="BCT36" s="632"/>
      <c r="BCU36" s="632"/>
      <c r="BCV36" s="632"/>
      <c r="BCW36" s="632"/>
      <c r="BCX36" s="632"/>
      <c r="BCY36" s="632"/>
      <c r="BCZ36" s="632"/>
      <c r="BDA36" s="632"/>
      <c r="BDB36" s="632"/>
      <c r="BDC36" s="632"/>
      <c r="BDD36" s="632"/>
      <c r="BDE36" s="632"/>
      <c r="BDF36" s="632"/>
      <c r="BDG36" s="632"/>
      <c r="BDH36" s="632"/>
      <c r="BDI36" s="632"/>
      <c r="BDJ36" s="632"/>
      <c r="BDK36" s="632"/>
      <c r="BDL36" s="632"/>
      <c r="BDM36" s="632"/>
      <c r="BDN36" s="632"/>
      <c r="BDO36" s="632"/>
      <c r="BDP36" s="632"/>
      <c r="BDQ36" s="632"/>
      <c r="BDR36" s="632"/>
      <c r="BDS36" s="632"/>
      <c r="BDT36" s="632"/>
      <c r="BDU36" s="632"/>
      <c r="BDV36" s="632"/>
      <c r="BDW36" s="632"/>
      <c r="BDX36" s="632"/>
      <c r="BDY36" s="632"/>
      <c r="BDZ36" s="632"/>
      <c r="BEA36" s="632"/>
      <c r="BEB36" s="632"/>
      <c r="BEC36" s="632"/>
      <c r="BED36" s="632"/>
      <c r="BEE36" s="632"/>
      <c r="BEF36" s="632"/>
      <c r="BEG36" s="632"/>
      <c r="BEH36" s="632"/>
      <c r="BEI36" s="632"/>
      <c r="BEJ36" s="632"/>
      <c r="BEK36" s="632"/>
      <c r="BEL36" s="632"/>
      <c r="BEM36" s="632"/>
      <c r="BEN36" s="632"/>
      <c r="BEO36" s="632"/>
      <c r="BEP36" s="632"/>
      <c r="BEQ36" s="632"/>
      <c r="BER36" s="632"/>
      <c r="BES36" s="632"/>
      <c r="BET36" s="632"/>
      <c r="BEU36" s="632"/>
      <c r="BEV36" s="632"/>
      <c r="BEW36" s="632"/>
      <c r="BEX36" s="632"/>
      <c r="BEY36" s="632"/>
      <c r="BEZ36" s="632"/>
      <c r="BFA36" s="632"/>
      <c r="BFB36" s="632"/>
      <c r="BFC36" s="632"/>
      <c r="BFD36" s="632"/>
      <c r="BFE36" s="632"/>
      <c r="BFF36" s="632"/>
      <c r="BFG36" s="632"/>
      <c r="BFH36" s="632"/>
      <c r="BFI36" s="632"/>
      <c r="BFJ36" s="632"/>
      <c r="BFK36" s="632"/>
      <c r="BFL36" s="632"/>
      <c r="BFM36" s="632"/>
      <c r="BFN36" s="632"/>
      <c r="BFO36" s="632"/>
      <c r="BFP36" s="632"/>
      <c r="BFQ36" s="632"/>
      <c r="BFR36" s="632"/>
      <c r="BFS36" s="632"/>
      <c r="BFT36" s="632"/>
      <c r="BFU36" s="632"/>
      <c r="BFV36" s="632"/>
      <c r="BFW36" s="632"/>
      <c r="BFX36" s="632"/>
      <c r="BFY36" s="632"/>
      <c r="BFZ36" s="632"/>
      <c r="BGA36" s="632"/>
      <c r="BGB36" s="632"/>
      <c r="BGC36" s="632"/>
      <c r="BGD36" s="632"/>
      <c r="BGE36" s="632"/>
      <c r="BGF36" s="632"/>
      <c r="BGG36" s="632"/>
      <c r="BGH36" s="632"/>
      <c r="BGI36" s="632"/>
      <c r="BGJ36" s="632"/>
      <c r="BGK36" s="632"/>
      <c r="BGL36" s="632"/>
      <c r="BGM36" s="632"/>
      <c r="BGN36" s="632"/>
      <c r="BGO36" s="632"/>
      <c r="BGP36" s="632"/>
      <c r="BGQ36" s="632"/>
      <c r="BGR36" s="632"/>
      <c r="BGS36" s="632"/>
      <c r="BGT36" s="632"/>
      <c r="BGU36" s="632"/>
      <c r="BGV36" s="632"/>
      <c r="BGW36" s="632"/>
      <c r="BGX36" s="632"/>
      <c r="BGY36" s="632"/>
      <c r="BGZ36" s="632"/>
      <c r="BHA36" s="632"/>
      <c r="BHB36" s="632"/>
      <c r="BHC36" s="632"/>
      <c r="BHD36" s="632"/>
      <c r="BHE36" s="632"/>
      <c r="BHF36" s="632"/>
      <c r="BHG36" s="632"/>
      <c r="BHH36" s="632"/>
      <c r="BHI36" s="632"/>
      <c r="BHJ36" s="632"/>
      <c r="BHK36" s="632"/>
      <c r="BHL36" s="632"/>
      <c r="BHM36" s="632"/>
      <c r="BHN36" s="632"/>
      <c r="BHO36" s="632"/>
      <c r="BHP36" s="632"/>
      <c r="BHQ36" s="632"/>
      <c r="BHR36" s="632"/>
      <c r="BHS36" s="632"/>
      <c r="BHT36" s="632"/>
      <c r="BHU36" s="632"/>
      <c r="BHV36" s="632"/>
      <c r="BHW36" s="632"/>
      <c r="BHX36" s="632"/>
      <c r="BHY36" s="632"/>
      <c r="BHZ36" s="632"/>
      <c r="BIA36" s="632"/>
      <c r="BIB36" s="632"/>
      <c r="BIC36" s="632"/>
      <c r="BID36" s="632"/>
      <c r="BIE36" s="632"/>
      <c r="BIF36" s="632"/>
      <c r="BIG36" s="632"/>
      <c r="BIH36" s="632"/>
      <c r="BII36" s="632"/>
      <c r="BIJ36" s="632"/>
      <c r="BIK36" s="632"/>
      <c r="BIL36" s="632"/>
      <c r="BIM36" s="632"/>
      <c r="BIN36" s="632"/>
      <c r="BIO36" s="632"/>
      <c r="BIP36" s="632"/>
      <c r="BIQ36" s="632"/>
      <c r="BIR36" s="632"/>
      <c r="BIS36" s="632"/>
      <c r="BIT36" s="632"/>
      <c r="BIU36" s="632"/>
      <c r="BIV36" s="632"/>
      <c r="BIW36" s="632"/>
      <c r="BIX36" s="632"/>
      <c r="BIY36" s="632"/>
      <c r="BIZ36" s="632"/>
      <c r="BJA36" s="632"/>
      <c r="BJB36" s="632"/>
      <c r="BJC36" s="632"/>
      <c r="BJD36" s="632"/>
      <c r="BJE36" s="632"/>
      <c r="BJF36" s="632"/>
      <c r="BJG36" s="632"/>
      <c r="BJH36" s="632"/>
      <c r="BJI36" s="632"/>
      <c r="BJJ36" s="632"/>
      <c r="BJK36" s="632"/>
      <c r="BJL36" s="632"/>
      <c r="BJM36" s="632"/>
      <c r="BJN36" s="632"/>
      <c r="BJO36" s="632"/>
      <c r="BJP36" s="632"/>
      <c r="BJQ36" s="632"/>
      <c r="BJR36" s="632"/>
      <c r="BJS36" s="632"/>
      <c r="BJT36" s="632"/>
      <c r="BJU36" s="632"/>
      <c r="BJV36" s="632"/>
      <c r="BJW36" s="632"/>
      <c r="BJX36" s="632"/>
      <c r="BJY36" s="632"/>
      <c r="BJZ36" s="632"/>
      <c r="BKA36" s="632"/>
      <c r="BKB36" s="632"/>
      <c r="BKC36" s="632"/>
      <c r="BKD36" s="632"/>
      <c r="BKE36" s="632"/>
      <c r="BKF36" s="632"/>
      <c r="BKG36" s="632"/>
      <c r="BKH36" s="632"/>
      <c r="BKI36" s="632"/>
      <c r="BKJ36" s="632"/>
      <c r="BKK36" s="632"/>
      <c r="BKL36" s="632"/>
      <c r="BKM36" s="632"/>
      <c r="BKN36" s="632"/>
      <c r="BKO36" s="632"/>
      <c r="BKP36" s="632"/>
      <c r="BKQ36" s="632"/>
      <c r="BKR36" s="632"/>
      <c r="BKS36" s="632"/>
      <c r="BKT36" s="632"/>
      <c r="BKU36" s="632"/>
      <c r="BKV36" s="632"/>
      <c r="BKW36" s="632"/>
      <c r="BKX36" s="632"/>
      <c r="BKY36" s="632"/>
      <c r="BKZ36" s="632"/>
      <c r="BLA36" s="632"/>
      <c r="BLB36" s="632"/>
      <c r="BLC36" s="632"/>
      <c r="BLD36" s="632"/>
      <c r="BLE36" s="632"/>
      <c r="BLF36" s="632"/>
      <c r="BLG36" s="632"/>
      <c r="BLH36" s="632"/>
      <c r="BLI36" s="632"/>
      <c r="BLJ36" s="632"/>
      <c r="BLK36" s="632"/>
      <c r="BLL36" s="632"/>
      <c r="BLM36" s="632"/>
      <c r="BLN36" s="632"/>
      <c r="BLO36" s="632"/>
      <c r="BLP36" s="632"/>
      <c r="BLQ36" s="632"/>
      <c r="BLR36" s="632"/>
      <c r="BLS36" s="632"/>
      <c r="BLT36" s="632"/>
      <c r="BLU36" s="632"/>
      <c r="BLV36" s="632"/>
      <c r="BLW36" s="632"/>
      <c r="BLX36" s="632"/>
      <c r="BLY36" s="632"/>
      <c r="BLZ36" s="632"/>
      <c r="BMA36" s="632"/>
      <c r="BMB36" s="632"/>
      <c r="BMC36" s="632"/>
      <c r="BMD36" s="632"/>
      <c r="BME36" s="632"/>
      <c r="BMF36" s="632"/>
      <c r="BMG36" s="632"/>
      <c r="BMH36" s="632"/>
      <c r="BMI36" s="632"/>
      <c r="BMJ36" s="632"/>
      <c r="BMK36" s="632"/>
      <c r="BML36" s="632"/>
      <c r="BMM36" s="632"/>
      <c r="BMN36" s="632"/>
      <c r="BMO36" s="632"/>
      <c r="BMP36" s="632"/>
      <c r="BMQ36" s="632"/>
      <c r="BMR36" s="632"/>
      <c r="BMS36" s="632"/>
      <c r="BMT36" s="632"/>
      <c r="BMU36" s="632"/>
      <c r="BMV36" s="632"/>
      <c r="BMW36" s="632"/>
      <c r="BMX36" s="632"/>
      <c r="BMY36" s="632"/>
      <c r="BMZ36" s="632"/>
      <c r="BNA36" s="632"/>
      <c r="BNB36" s="632"/>
      <c r="BNC36" s="632"/>
      <c r="BND36" s="632"/>
      <c r="BNE36" s="632"/>
      <c r="BNF36" s="632"/>
      <c r="BNG36" s="632"/>
      <c r="BNH36" s="632"/>
      <c r="BNI36" s="632"/>
      <c r="BNJ36" s="632"/>
      <c r="BNK36" s="632"/>
      <c r="BNL36" s="632"/>
      <c r="BNM36" s="632"/>
      <c r="BNN36" s="632"/>
      <c r="BNO36" s="632"/>
      <c r="BNP36" s="632"/>
      <c r="BNQ36" s="632"/>
      <c r="BNR36" s="632"/>
      <c r="BNS36" s="632"/>
      <c r="BNT36" s="632"/>
      <c r="BNU36" s="632"/>
      <c r="BNV36" s="632"/>
      <c r="BNW36" s="632"/>
      <c r="BNX36" s="632"/>
      <c r="BNY36" s="632"/>
      <c r="BNZ36" s="632"/>
      <c r="BOA36" s="632"/>
      <c r="BOB36" s="632"/>
      <c r="BOC36" s="632"/>
      <c r="BOD36" s="632"/>
      <c r="BOE36" s="632"/>
      <c r="BOF36" s="632"/>
      <c r="BOG36" s="632"/>
      <c r="BOH36" s="632"/>
      <c r="BOI36" s="632"/>
      <c r="BOJ36" s="632"/>
      <c r="BOK36" s="632"/>
      <c r="BOL36" s="632"/>
      <c r="BOM36" s="632"/>
      <c r="BON36" s="632"/>
      <c r="BOO36" s="632"/>
      <c r="BOP36" s="632"/>
      <c r="BOQ36" s="632"/>
      <c r="BOR36" s="632"/>
      <c r="BOS36" s="632"/>
      <c r="BOT36" s="632"/>
      <c r="BOU36" s="632"/>
      <c r="BOV36" s="632"/>
      <c r="BOW36" s="632"/>
      <c r="BOX36" s="632"/>
      <c r="BOY36" s="632"/>
      <c r="BOZ36" s="632"/>
      <c r="BPA36" s="632"/>
      <c r="BPB36" s="632"/>
      <c r="BPC36" s="632"/>
      <c r="BPD36" s="632"/>
      <c r="BPE36" s="632"/>
      <c r="BPF36" s="632"/>
      <c r="BPG36" s="632"/>
      <c r="BPH36" s="632"/>
      <c r="BPI36" s="632"/>
      <c r="BPJ36" s="632"/>
      <c r="BPK36" s="632"/>
      <c r="BPL36" s="632"/>
      <c r="BPM36" s="632"/>
      <c r="BPN36" s="632"/>
      <c r="BPO36" s="632"/>
      <c r="BPP36" s="632"/>
      <c r="BPQ36" s="632"/>
      <c r="BPR36" s="632"/>
      <c r="BPS36" s="632"/>
      <c r="BPT36" s="632"/>
      <c r="BPU36" s="632"/>
      <c r="BPV36" s="632"/>
      <c r="BPW36" s="632"/>
      <c r="BPX36" s="632"/>
      <c r="BPY36" s="632"/>
      <c r="BPZ36" s="632"/>
      <c r="BQA36" s="632"/>
      <c r="BQB36" s="632"/>
      <c r="BQC36" s="632"/>
      <c r="BQD36" s="632"/>
      <c r="BQE36" s="632"/>
      <c r="BQF36" s="632"/>
      <c r="BQG36" s="632"/>
      <c r="BQH36" s="632"/>
      <c r="BQI36" s="632"/>
      <c r="BQJ36" s="632"/>
      <c r="BQK36" s="632"/>
      <c r="BQL36" s="632"/>
      <c r="BQM36" s="632"/>
      <c r="BQN36" s="632"/>
      <c r="BQO36" s="632"/>
      <c r="BQP36" s="632"/>
      <c r="BQQ36" s="632"/>
      <c r="BQR36" s="632"/>
      <c r="BQS36" s="632"/>
      <c r="BQT36" s="632"/>
      <c r="BQU36" s="632"/>
      <c r="BQV36" s="632"/>
      <c r="BQW36" s="632"/>
      <c r="BQX36" s="632"/>
      <c r="BQY36" s="632"/>
      <c r="BQZ36" s="632"/>
      <c r="BRA36" s="632"/>
      <c r="BRB36" s="632"/>
      <c r="BRC36" s="632"/>
      <c r="BRD36" s="632"/>
      <c r="BRE36" s="632"/>
      <c r="BRF36" s="632"/>
      <c r="BRG36" s="632"/>
      <c r="BRH36" s="632"/>
      <c r="BRI36" s="632"/>
      <c r="BRJ36" s="632"/>
      <c r="BRK36" s="632"/>
      <c r="BRL36" s="632"/>
      <c r="BRM36" s="632"/>
      <c r="BRN36" s="632"/>
      <c r="BRO36" s="632"/>
      <c r="BRP36" s="632"/>
      <c r="BRQ36" s="632"/>
      <c r="BRR36" s="632"/>
      <c r="BRS36" s="632"/>
      <c r="BRT36" s="632"/>
      <c r="BRU36" s="632"/>
      <c r="BRV36" s="632"/>
      <c r="BRW36" s="632"/>
      <c r="BRX36" s="632"/>
      <c r="BRY36" s="632"/>
      <c r="BRZ36" s="632"/>
      <c r="BSA36" s="632"/>
      <c r="BSB36" s="632"/>
      <c r="BSC36" s="632"/>
      <c r="BSD36" s="632"/>
      <c r="BSE36" s="632"/>
      <c r="BSF36" s="632"/>
      <c r="BSG36" s="632"/>
      <c r="BSH36" s="632"/>
      <c r="BSI36" s="632"/>
      <c r="BSJ36" s="632"/>
      <c r="BSK36" s="632"/>
      <c r="BSL36" s="632"/>
      <c r="BSM36" s="632"/>
      <c r="BSN36" s="632"/>
      <c r="BSO36" s="632"/>
      <c r="BSP36" s="632"/>
      <c r="BSQ36" s="632"/>
      <c r="BSR36" s="632"/>
      <c r="BSS36" s="632"/>
      <c r="BST36" s="632"/>
      <c r="BSU36" s="632"/>
      <c r="BSV36" s="632"/>
      <c r="BSW36" s="632"/>
      <c r="BSX36" s="632"/>
      <c r="BSY36" s="632"/>
      <c r="BSZ36" s="632"/>
      <c r="BTA36" s="632"/>
      <c r="BTB36" s="632"/>
      <c r="BTC36" s="632"/>
      <c r="BTD36" s="632"/>
      <c r="BTE36" s="632"/>
      <c r="BTF36" s="632"/>
      <c r="BTG36" s="632"/>
      <c r="BTH36" s="632"/>
      <c r="BTI36" s="632"/>
      <c r="BTJ36" s="632"/>
      <c r="BTK36" s="632"/>
      <c r="BTL36" s="632"/>
      <c r="BTM36" s="632"/>
      <c r="BTN36" s="632"/>
      <c r="BTO36" s="632"/>
      <c r="BTP36" s="632"/>
      <c r="BTQ36" s="632"/>
      <c r="BTR36" s="632"/>
      <c r="BTS36" s="632"/>
      <c r="BTT36" s="632"/>
      <c r="BTU36" s="632"/>
      <c r="BTV36" s="632"/>
      <c r="BTW36" s="632"/>
      <c r="BTX36" s="632"/>
      <c r="BTY36" s="632"/>
      <c r="BTZ36" s="632"/>
      <c r="BUA36" s="632"/>
      <c r="BUB36" s="632"/>
      <c r="BUC36" s="632"/>
      <c r="BUD36" s="632"/>
      <c r="BUE36" s="632"/>
      <c r="BUF36" s="632"/>
      <c r="BUG36" s="632"/>
      <c r="BUH36" s="632"/>
      <c r="BUI36" s="632"/>
      <c r="BUJ36" s="632"/>
      <c r="BUK36" s="632"/>
      <c r="BUL36" s="632"/>
      <c r="BUM36" s="632"/>
      <c r="BUN36" s="632"/>
      <c r="BUO36" s="632"/>
      <c r="BUP36" s="632"/>
      <c r="BUQ36" s="632"/>
      <c r="BUR36" s="632"/>
      <c r="BUS36" s="632"/>
      <c r="BUT36" s="632"/>
      <c r="BUU36" s="632"/>
      <c r="BUV36" s="632"/>
      <c r="BUW36" s="632"/>
      <c r="BUX36" s="632"/>
      <c r="BUY36" s="632"/>
      <c r="BUZ36" s="632"/>
      <c r="BVA36" s="632"/>
      <c r="BVB36" s="632"/>
      <c r="BVC36" s="632"/>
      <c r="BVD36" s="632"/>
      <c r="BVE36" s="632"/>
      <c r="BVF36" s="632"/>
      <c r="BVG36" s="632"/>
      <c r="BVH36" s="632"/>
      <c r="BVI36" s="632"/>
      <c r="BVJ36" s="632"/>
      <c r="BVK36" s="632"/>
      <c r="BVL36" s="632"/>
      <c r="BVM36" s="632"/>
      <c r="BVN36" s="632"/>
      <c r="BVO36" s="632"/>
      <c r="BVP36" s="632"/>
      <c r="BVQ36" s="632"/>
      <c r="BVR36" s="632"/>
      <c r="BVS36" s="632"/>
      <c r="BVT36" s="632"/>
      <c r="BVU36" s="632"/>
      <c r="BVV36" s="632"/>
      <c r="BVW36" s="632"/>
      <c r="BVX36" s="632"/>
      <c r="BVY36" s="632"/>
      <c r="BVZ36" s="632"/>
      <c r="BWA36" s="632"/>
      <c r="BWB36" s="632"/>
      <c r="BWC36" s="632"/>
      <c r="BWD36" s="632"/>
      <c r="BWE36" s="632"/>
      <c r="BWF36" s="632"/>
      <c r="BWG36" s="632"/>
      <c r="BWH36" s="632"/>
      <c r="BWI36" s="632"/>
      <c r="BWJ36" s="632"/>
      <c r="BWK36" s="632"/>
      <c r="BWL36" s="632"/>
      <c r="BWM36" s="632"/>
      <c r="BWN36" s="632"/>
      <c r="BWO36" s="632"/>
      <c r="BWP36" s="632"/>
      <c r="BWQ36" s="632"/>
      <c r="BWR36" s="632"/>
      <c r="BWS36" s="632"/>
      <c r="BWT36" s="632"/>
      <c r="BWU36" s="632"/>
      <c r="BWV36" s="632"/>
      <c r="BWW36" s="632"/>
      <c r="BWX36" s="632"/>
      <c r="BWY36" s="632"/>
      <c r="BWZ36" s="632"/>
      <c r="BXA36" s="632"/>
      <c r="BXB36" s="632"/>
      <c r="BXC36" s="632"/>
      <c r="BXD36" s="632"/>
      <c r="BXE36" s="632"/>
      <c r="BXF36" s="632"/>
      <c r="BXG36" s="632"/>
      <c r="BXH36" s="632"/>
      <c r="BXI36" s="632"/>
      <c r="BXJ36" s="632"/>
      <c r="BXK36" s="632"/>
      <c r="BXL36" s="632"/>
      <c r="BXM36" s="632"/>
      <c r="BXN36" s="632"/>
      <c r="BXO36" s="632"/>
      <c r="BXP36" s="632"/>
      <c r="BXQ36" s="632"/>
      <c r="BXR36" s="632"/>
      <c r="BXS36" s="632"/>
      <c r="BXT36" s="632"/>
      <c r="BXU36" s="632"/>
      <c r="BXV36" s="632"/>
      <c r="BXW36" s="632"/>
      <c r="BXX36" s="632"/>
      <c r="BXY36" s="632"/>
      <c r="BXZ36" s="632"/>
      <c r="BYA36" s="632"/>
      <c r="BYB36" s="632"/>
      <c r="BYC36" s="632"/>
      <c r="BYD36" s="632"/>
      <c r="BYE36" s="632"/>
      <c r="BYF36" s="632"/>
      <c r="BYG36" s="632"/>
      <c r="BYH36" s="632"/>
      <c r="BYI36" s="632"/>
      <c r="BYJ36" s="632"/>
      <c r="BYK36" s="632"/>
      <c r="BYL36" s="632"/>
      <c r="BYM36" s="632"/>
      <c r="BYN36" s="632"/>
      <c r="BYO36" s="632"/>
      <c r="BYP36" s="632"/>
      <c r="BYQ36" s="632"/>
      <c r="BYR36" s="632"/>
      <c r="BYS36" s="632"/>
      <c r="BYT36" s="632"/>
      <c r="BYU36" s="632"/>
      <c r="BYV36" s="632"/>
      <c r="BYW36" s="632"/>
      <c r="BYX36" s="632"/>
      <c r="BYY36" s="632"/>
      <c r="BYZ36" s="632"/>
      <c r="BZA36" s="632"/>
      <c r="BZB36" s="632"/>
      <c r="BZC36" s="632"/>
      <c r="BZD36" s="632"/>
      <c r="BZE36" s="632"/>
      <c r="BZF36" s="632"/>
      <c r="BZG36" s="632"/>
      <c r="BZH36" s="632"/>
      <c r="BZI36" s="632"/>
      <c r="BZJ36" s="632"/>
      <c r="BZK36" s="632"/>
      <c r="BZL36" s="632"/>
      <c r="BZM36" s="632"/>
      <c r="BZN36" s="632"/>
      <c r="BZO36" s="632"/>
      <c r="BZP36" s="632"/>
      <c r="BZQ36" s="632"/>
      <c r="BZR36" s="632"/>
      <c r="BZS36" s="632"/>
      <c r="BZT36" s="632"/>
      <c r="BZU36" s="632"/>
      <c r="BZV36" s="632"/>
      <c r="BZW36" s="632"/>
      <c r="BZX36" s="632"/>
      <c r="BZY36" s="632"/>
      <c r="BZZ36" s="632"/>
      <c r="CAA36" s="632"/>
      <c r="CAB36" s="632"/>
      <c r="CAC36" s="632"/>
      <c r="CAD36" s="632"/>
      <c r="CAE36" s="632"/>
      <c r="CAF36" s="632"/>
      <c r="CAG36" s="632"/>
      <c r="CAH36" s="632"/>
      <c r="CAI36" s="632"/>
      <c r="CAJ36" s="632"/>
      <c r="CAK36" s="632"/>
      <c r="CAL36" s="632"/>
      <c r="CAM36" s="632"/>
      <c r="CAN36" s="632"/>
      <c r="CAO36" s="632"/>
      <c r="CAP36" s="632"/>
      <c r="CAQ36" s="632"/>
      <c r="CAR36" s="632"/>
      <c r="CAS36" s="632"/>
      <c r="CAT36" s="632"/>
      <c r="CAU36" s="632"/>
      <c r="CAV36" s="632"/>
      <c r="CAW36" s="632"/>
      <c r="CAX36" s="632"/>
      <c r="CAY36" s="632"/>
      <c r="CAZ36" s="632"/>
      <c r="CBA36" s="632"/>
      <c r="CBB36" s="632"/>
      <c r="CBC36" s="632"/>
      <c r="CBD36" s="632"/>
      <c r="CBE36" s="632"/>
      <c r="CBF36" s="632"/>
      <c r="CBG36" s="632"/>
      <c r="CBH36" s="632"/>
      <c r="CBI36" s="632"/>
      <c r="CBJ36" s="632"/>
      <c r="CBK36" s="632"/>
      <c r="CBL36" s="632"/>
      <c r="CBM36" s="632"/>
      <c r="CBN36" s="632"/>
      <c r="CBO36" s="632"/>
      <c r="CBP36" s="632"/>
      <c r="CBQ36" s="632"/>
      <c r="CBR36" s="632"/>
      <c r="CBS36" s="632"/>
      <c r="CBT36" s="632"/>
      <c r="CBU36" s="632"/>
      <c r="CBV36" s="632"/>
      <c r="CBW36" s="632"/>
      <c r="CBX36" s="632"/>
      <c r="CBY36" s="632"/>
      <c r="CBZ36" s="632"/>
    </row>
    <row r="37" spans="1:2106" ht="15.75" customHeight="1" thickTop="1" thickBot="1">
      <c r="A37" s="55"/>
      <c r="B37" s="407"/>
      <c r="C37" s="56"/>
      <c r="D37" s="56"/>
      <c r="E37" s="56"/>
      <c r="F37" s="407"/>
      <c r="G37" s="407"/>
      <c r="H37" s="56"/>
      <c r="I37" s="56"/>
      <c r="J37" s="56"/>
      <c r="K37" s="407"/>
      <c r="L37" s="407"/>
      <c r="M37" s="56"/>
      <c r="N37" s="56"/>
      <c r="O37" s="56"/>
      <c r="P37" s="407"/>
      <c r="Q37" s="407"/>
      <c r="R37" s="56"/>
      <c r="S37" s="56"/>
      <c r="T37" s="56"/>
      <c r="U37" s="407"/>
      <c r="V37" s="407"/>
      <c r="W37" s="56"/>
      <c r="X37" s="56"/>
      <c r="Y37" s="56"/>
      <c r="Z37" s="407"/>
      <c r="AA37" s="407"/>
      <c r="AB37" s="56"/>
      <c r="AC37" s="56"/>
      <c r="AD37" s="56"/>
      <c r="AE37" s="407"/>
      <c r="AF37" s="407"/>
      <c r="AG37" s="56"/>
      <c r="AH37" s="56"/>
      <c r="AI37" s="56"/>
      <c r="AJ37" s="407"/>
      <c r="AK37" s="407"/>
      <c r="AL37" s="56"/>
      <c r="AM37" s="56"/>
      <c r="AN37" s="56"/>
      <c r="AO37" s="407"/>
      <c r="AP37" s="407"/>
      <c r="AQ37" s="56"/>
      <c r="AR37" s="56"/>
      <c r="AS37" s="56"/>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2"/>
      <c r="CO37" s="2"/>
      <c r="CP37" s="468"/>
      <c r="CQ37" s="2"/>
      <c r="CR37" s="628"/>
      <c r="CS37" s="628"/>
      <c r="CT37" s="628"/>
      <c r="CU37" s="628"/>
      <c r="CV37" s="628"/>
      <c r="CW37" s="628"/>
      <c r="CX37" s="628"/>
      <c r="CY37" s="628"/>
      <c r="CZ37" s="628"/>
      <c r="DA37" s="628"/>
      <c r="DB37" s="628"/>
      <c r="DC37" s="628"/>
      <c r="DD37" s="628"/>
      <c r="DE37" s="628"/>
      <c r="DF37" s="628"/>
      <c r="DG37" s="628"/>
      <c r="DH37" s="628"/>
    </row>
    <row r="38" spans="1:2106" s="765" customFormat="1" ht="25.5" customHeight="1" thickBot="1">
      <c r="A38" s="893" t="s">
        <v>1132</v>
      </c>
      <c r="B38" s="894"/>
      <c r="C38" s="894"/>
      <c r="D38" s="894"/>
      <c r="E38" s="894"/>
      <c r="F38" s="894"/>
      <c r="G38" s="894"/>
      <c r="H38" s="894"/>
      <c r="I38" s="894"/>
      <c r="J38" s="894"/>
      <c r="K38" s="894"/>
      <c r="L38" s="894"/>
      <c r="M38" s="894"/>
      <c r="N38" s="894"/>
      <c r="O38" s="894"/>
      <c r="P38" s="894"/>
      <c r="Q38" s="894"/>
      <c r="R38" s="894"/>
      <c r="S38" s="894"/>
      <c r="T38" s="894"/>
      <c r="U38" s="894"/>
      <c r="V38" s="894"/>
      <c r="W38" s="894"/>
      <c r="X38" s="894"/>
      <c r="Y38" s="894"/>
      <c r="Z38" s="894"/>
      <c r="AA38" s="894"/>
      <c r="AB38" s="894"/>
      <c r="AC38" s="894"/>
      <c r="AD38" s="894"/>
      <c r="AE38" s="894"/>
      <c r="AF38" s="894"/>
      <c r="AG38" s="894"/>
      <c r="AH38" s="894"/>
      <c r="AI38" s="894"/>
      <c r="AJ38" s="894"/>
      <c r="AK38" s="894"/>
      <c r="AL38" s="894"/>
      <c r="AM38" s="894"/>
      <c r="AN38" s="894"/>
      <c r="AO38" s="894"/>
      <c r="AP38" s="894"/>
      <c r="AQ38" s="894"/>
      <c r="AR38" s="894"/>
      <c r="AS38" s="894"/>
      <c r="AT38" s="894"/>
      <c r="AU38" s="894"/>
      <c r="AV38" s="894"/>
      <c r="AW38" s="894"/>
      <c r="AX38" s="894"/>
      <c r="AY38" s="894"/>
      <c r="AZ38" s="894"/>
      <c r="BA38" s="894"/>
      <c r="BB38" s="894"/>
      <c r="BC38" s="894"/>
      <c r="BD38" s="894"/>
      <c r="BE38" s="894"/>
      <c r="BF38" s="894"/>
      <c r="BG38" s="894"/>
      <c r="BH38" s="894"/>
      <c r="BI38" s="894"/>
      <c r="BJ38" s="894"/>
      <c r="BK38" s="894"/>
      <c r="BL38" s="894"/>
      <c r="BM38" s="894"/>
      <c r="BN38" s="894"/>
      <c r="BO38" s="894"/>
      <c r="BP38" s="894"/>
      <c r="BQ38" s="894"/>
      <c r="BR38" s="894"/>
      <c r="BS38" s="894"/>
      <c r="BT38" s="894"/>
      <c r="BU38" s="894"/>
      <c r="BV38" s="894"/>
      <c r="BW38" s="894"/>
      <c r="BX38" s="894"/>
      <c r="BY38" s="894"/>
      <c r="BZ38" s="894"/>
      <c r="CA38" s="894"/>
      <c r="CB38" s="894"/>
      <c r="CC38" s="894"/>
      <c r="CD38" s="894"/>
      <c r="CE38" s="894"/>
      <c r="CF38" s="894"/>
      <c r="CG38" s="894"/>
      <c r="CH38" s="894"/>
      <c r="CI38" s="894"/>
      <c r="CJ38" s="894"/>
      <c r="CK38" s="894"/>
      <c r="CL38" s="894"/>
      <c r="CM38" s="894"/>
      <c r="CN38" s="894"/>
      <c r="CO38" s="894"/>
      <c r="CP38" s="895"/>
      <c r="CQ38" s="764"/>
      <c r="CR38" s="764"/>
      <c r="CS38" s="764"/>
      <c r="CT38" s="764"/>
      <c r="CU38" s="764"/>
      <c r="CV38" s="764"/>
      <c r="CW38" s="764"/>
      <c r="CX38" s="764"/>
      <c r="CY38" s="764"/>
      <c r="CZ38" s="764"/>
      <c r="DA38" s="764"/>
      <c r="DB38" s="764"/>
      <c r="DC38" s="764"/>
      <c r="DD38" s="764"/>
      <c r="DE38" s="764"/>
      <c r="DF38" s="764"/>
      <c r="DG38" s="764"/>
    </row>
    <row r="39" spans="1:2106" s="897" customFormat="1" ht="15.75" customHeight="1" thickBot="1">
      <c r="A39" s="896"/>
    </row>
    <row r="40" spans="1:2106" s="899" customFormat="1" ht="15.75" customHeight="1" thickBot="1">
      <c r="A40" s="898"/>
    </row>
    <row r="41" spans="1:2106" s="897" customFormat="1" ht="15.75" customHeight="1" thickBot="1">
      <c r="A41" s="896"/>
    </row>
    <row r="42" spans="1:2106" s="899" customFormat="1" ht="15.75" customHeight="1" thickBot="1">
      <c r="A42" s="898"/>
    </row>
    <row r="43" spans="1:2106" s="897" customFormat="1" ht="15.75" customHeight="1" thickBot="1">
      <c r="A43" s="896"/>
    </row>
    <row r="44" spans="1:2106" s="899" customFormat="1" ht="15.75" customHeight="1" thickBot="1">
      <c r="A44" s="898"/>
    </row>
    <row r="45" spans="1:2106" s="897" customFormat="1" ht="15.75" customHeight="1" thickBot="1">
      <c r="A45" s="896"/>
    </row>
    <row r="46" spans="1:2106" s="899" customFormat="1" ht="15.75" customHeight="1" thickBot="1">
      <c r="A46" s="898"/>
    </row>
    <row r="47" spans="1:2106" s="897" customFormat="1" ht="15.75" customHeight="1" thickBot="1">
      <c r="A47" s="896"/>
    </row>
    <row r="48" spans="1:2106" s="899" customFormat="1" ht="15.75" customHeight="1" thickBot="1">
      <c r="A48" s="898"/>
    </row>
    <row r="49" spans="1:112" s="897" customFormat="1" ht="15.75" customHeight="1" thickBot="1">
      <c r="A49" s="896"/>
    </row>
    <row r="50" spans="1:112" s="901" customFormat="1" ht="15.75" customHeight="1" thickBot="1">
      <c r="A50" s="900"/>
    </row>
    <row r="51" spans="1:112" ht="15.75" customHeight="1">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468"/>
      <c r="CQ51" s="2"/>
      <c r="CR51" s="628"/>
      <c r="CS51" s="628"/>
      <c r="CT51" s="628"/>
      <c r="CU51" s="628"/>
      <c r="CV51" s="628"/>
      <c r="CW51" s="628"/>
      <c r="CX51" s="628"/>
      <c r="CY51" s="628"/>
      <c r="CZ51" s="628"/>
      <c r="DA51" s="628"/>
      <c r="DB51" s="628"/>
      <c r="DC51" s="628"/>
      <c r="DD51" s="628"/>
      <c r="DE51" s="628"/>
      <c r="DF51" s="628"/>
      <c r="DG51" s="628"/>
      <c r="DH51" s="628"/>
    </row>
    <row r="52" spans="1:112" ht="15.75" customHeight="1">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468"/>
      <c r="CQ52" s="2"/>
      <c r="CR52" s="628"/>
      <c r="CS52" s="628"/>
      <c r="CT52" s="628"/>
      <c r="CU52" s="628"/>
      <c r="CV52" s="628"/>
      <c r="CW52" s="628"/>
      <c r="CX52" s="628"/>
      <c r="CY52" s="628"/>
      <c r="CZ52" s="628"/>
      <c r="DA52" s="628"/>
      <c r="DB52" s="628"/>
      <c r="DC52" s="628"/>
      <c r="DD52" s="628"/>
      <c r="DE52" s="628"/>
      <c r="DF52" s="628"/>
      <c r="DG52" s="628"/>
      <c r="DH52" s="628"/>
    </row>
    <row r="53" spans="1:112" ht="15.75" customHeight="1">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468"/>
      <c r="CQ53" s="2"/>
      <c r="CR53" s="628"/>
      <c r="CS53" s="628"/>
      <c r="CT53" s="628"/>
      <c r="CU53" s="628"/>
      <c r="CV53" s="628"/>
      <c r="CW53" s="628"/>
      <c r="CX53" s="628"/>
      <c r="CY53" s="628"/>
      <c r="CZ53" s="628"/>
      <c r="DA53" s="628"/>
      <c r="DB53" s="628"/>
      <c r="DC53" s="628"/>
      <c r="DD53" s="628"/>
      <c r="DE53" s="628"/>
      <c r="DF53" s="628"/>
      <c r="DG53" s="628"/>
      <c r="DH53" s="628"/>
    </row>
    <row r="54" spans="1:112" ht="15.75" customHeight="1">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468"/>
      <c r="CQ54" s="2"/>
      <c r="CR54" s="628"/>
      <c r="CS54" s="628"/>
      <c r="CT54" s="628"/>
      <c r="CU54" s="628"/>
      <c r="CV54" s="628"/>
      <c r="CW54" s="628"/>
      <c r="CX54" s="628"/>
      <c r="CY54" s="628"/>
      <c r="CZ54" s="628"/>
      <c r="DA54" s="628"/>
      <c r="DB54" s="628"/>
      <c r="DC54" s="628"/>
      <c r="DD54" s="628"/>
      <c r="DE54" s="628"/>
      <c r="DF54" s="628"/>
      <c r="DG54" s="628"/>
      <c r="DH54" s="628"/>
    </row>
    <row r="55" spans="1:112" ht="15.75" customHeight="1">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468"/>
      <c r="CQ55" s="2"/>
      <c r="CR55" s="628"/>
      <c r="CS55" s="628"/>
      <c r="CT55" s="628"/>
      <c r="CU55" s="628"/>
      <c r="CV55" s="628"/>
      <c r="CW55" s="628"/>
      <c r="CX55" s="628"/>
      <c r="CY55" s="628"/>
      <c r="CZ55" s="628"/>
      <c r="DA55" s="628"/>
      <c r="DB55" s="628"/>
      <c r="DC55" s="628"/>
      <c r="DD55" s="628"/>
      <c r="DE55" s="628"/>
      <c r="DF55" s="628"/>
      <c r="DG55" s="628"/>
      <c r="DH55" s="628"/>
    </row>
    <row r="56" spans="1:112" ht="15.75" customHeight="1">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468"/>
      <c r="CQ56" s="2"/>
      <c r="CR56" s="628"/>
      <c r="CS56" s="628"/>
      <c r="CT56" s="628"/>
      <c r="CU56" s="628"/>
      <c r="CV56" s="628"/>
      <c r="CW56" s="628"/>
      <c r="CX56" s="628"/>
      <c r="CY56" s="628"/>
      <c r="CZ56" s="628"/>
      <c r="DA56" s="628"/>
      <c r="DB56" s="628"/>
      <c r="DC56" s="628"/>
      <c r="DD56" s="628"/>
      <c r="DE56" s="628"/>
      <c r="DF56" s="628"/>
      <c r="DG56" s="628"/>
      <c r="DH56" s="628"/>
    </row>
    <row r="57" spans="1:112" ht="15.75" customHeight="1">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468"/>
      <c r="CQ57" s="2"/>
      <c r="CR57" s="628"/>
      <c r="CS57" s="628"/>
      <c r="CT57" s="628"/>
      <c r="CU57" s="628"/>
      <c r="CV57" s="628"/>
      <c r="CW57" s="628"/>
      <c r="CX57" s="628"/>
      <c r="CY57" s="628"/>
      <c r="CZ57" s="628"/>
      <c r="DA57" s="628"/>
      <c r="DB57" s="628"/>
      <c r="DC57" s="628"/>
      <c r="DD57" s="628"/>
      <c r="DE57" s="628"/>
      <c r="DF57" s="628"/>
      <c r="DG57" s="628"/>
      <c r="DH57" s="628"/>
    </row>
    <row r="58" spans="1:112" ht="15.75" customHeight="1">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468"/>
      <c r="CQ58" s="2"/>
      <c r="CR58" s="628"/>
      <c r="CS58" s="628"/>
      <c r="CT58" s="628"/>
      <c r="CU58" s="628"/>
      <c r="CV58" s="628"/>
      <c r="CW58" s="628"/>
      <c r="CX58" s="628"/>
      <c r="CY58" s="628"/>
      <c r="CZ58" s="628"/>
      <c r="DA58" s="628"/>
      <c r="DB58" s="628"/>
      <c r="DC58" s="628"/>
      <c r="DD58" s="628"/>
      <c r="DE58" s="628"/>
      <c r="DF58" s="628"/>
      <c r="DG58" s="628"/>
      <c r="DH58" s="628"/>
    </row>
    <row r="59" spans="1:112" ht="15.75" customHeight="1">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468"/>
      <c r="CQ59" s="2"/>
      <c r="CR59" s="628"/>
      <c r="CS59" s="628"/>
      <c r="CT59" s="628"/>
      <c r="CU59" s="628"/>
      <c r="CV59" s="628"/>
      <c r="CW59" s="628"/>
      <c r="CX59" s="628"/>
      <c r="CY59" s="628"/>
      <c r="CZ59" s="628"/>
      <c r="DA59" s="628"/>
      <c r="DB59" s="628"/>
      <c r="DC59" s="628"/>
      <c r="DD59" s="628"/>
      <c r="DE59" s="628"/>
      <c r="DF59" s="628"/>
      <c r="DG59" s="628"/>
      <c r="DH59" s="628"/>
    </row>
    <row r="60" spans="1:112" ht="15.75" customHeight="1">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468"/>
      <c r="CQ60" s="2"/>
      <c r="CR60" s="628"/>
      <c r="CS60" s="628"/>
      <c r="CT60" s="628"/>
      <c r="CU60" s="628"/>
      <c r="CV60" s="628"/>
      <c r="CW60" s="628"/>
      <c r="CX60" s="628"/>
      <c r="CY60" s="628"/>
      <c r="CZ60" s="628"/>
      <c r="DA60" s="628"/>
      <c r="DB60" s="628"/>
      <c r="DC60" s="628"/>
      <c r="DD60" s="628"/>
      <c r="DE60" s="628"/>
      <c r="DF60" s="628"/>
      <c r="DG60" s="628"/>
      <c r="DH60" s="628"/>
    </row>
    <row r="61" spans="1:112" ht="15.75" customHeight="1">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468"/>
      <c r="CQ61" s="2"/>
      <c r="CR61" s="628"/>
      <c r="CS61" s="628"/>
      <c r="CT61" s="628"/>
      <c r="CU61" s="628"/>
      <c r="CV61" s="628"/>
      <c r="CW61" s="628"/>
      <c r="CX61" s="628"/>
      <c r="CY61" s="628"/>
      <c r="CZ61" s="628"/>
      <c r="DA61" s="628"/>
      <c r="DB61" s="628"/>
      <c r="DC61" s="628"/>
      <c r="DD61" s="628"/>
      <c r="DE61" s="628"/>
      <c r="DF61" s="628"/>
      <c r="DG61" s="628"/>
      <c r="DH61" s="628"/>
    </row>
    <row r="62" spans="1:112" ht="15.75" customHeight="1">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468"/>
      <c r="CQ62" s="2"/>
      <c r="CR62" s="628"/>
      <c r="CS62" s="628"/>
      <c r="CT62" s="628"/>
      <c r="CU62" s="628"/>
      <c r="CV62" s="628"/>
      <c r="CW62" s="628"/>
      <c r="CX62" s="628"/>
      <c r="CY62" s="628"/>
      <c r="CZ62" s="628"/>
      <c r="DA62" s="628"/>
      <c r="DB62" s="628"/>
      <c r="DC62" s="628"/>
      <c r="DD62" s="628"/>
      <c r="DE62" s="628"/>
      <c r="DF62" s="628"/>
      <c r="DG62" s="628"/>
      <c r="DH62" s="628"/>
    </row>
    <row r="63" spans="1:112" ht="15.75" customHeight="1">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468"/>
      <c r="CQ63" s="2"/>
      <c r="CR63" s="628"/>
      <c r="CS63" s="628"/>
      <c r="CT63" s="628"/>
      <c r="CU63" s="628"/>
      <c r="CV63" s="628"/>
      <c r="CW63" s="628"/>
      <c r="CX63" s="628"/>
      <c r="CY63" s="628"/>
      <c r="CZ63" s="628"/>
      <c r="DA63" s="628"/>
      <c r="DB63" s="628"/>
      <c r="DC63" s="628"/>
      <c r="DD63" s="628"/>
      <c r="DE63" s="628"/>
      <c r="DF63" s="628"/>
      <c r="DG63" s="628"/>
      <c r="DH63" s="628"/>
    </row>
    <row r="64" spans="1:112" ht="15.75" customHeight="1">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468"/>
      <c r="CQ64" s="2"/>
      <c r="CR64" s="628"/>
      <c r="CS64" s="628"/>
      <c r="CT64" s="628"/>
      <c r="CU64" s="628"/>
      <c r="CV64" s="628"/>
      <c r="CW64" s="628"/>
      <c r="CX64" s="628"/>
      <c r="CY64" s="628"/>
      <c r="CZ64" s="628"/>
      <c r="DA64" s="628"/>
      <c r="DB64" s="628"/>
      <c r="DC64" s="628"/>
      <c r="DD64" s="628"/>
      <c r="DE64" s="628"/>
      <c r="DF64" s="628"/>
      <c r="DG64" s="628"/>
      <c r="DH64" s="628"/>
    </row>
    <row r="65" spans="1:112" ht="15.75" customHeight="1">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468"/>
      <c r="CQ65" s="2"/>
      <c r="CR65" s="628"/>
      <c r="CS65" s="628"/>
      <c r="CT65" s="628"/>
      <c r="CU65" s="628"/>
      <c r="CV65" s="628"/>
      <c r="CW65" s="628"/>
      <c r="CX65" s="628"/>
      <c r="CY65" s="628"/>
      <c r="CZ65" s="628"/>
      <c r="DA65" s="628"/>
      <c r="DB65" s="628"/>
      <c r="DC65" s="628"/>
      <c r="DD65" s="628"/>
      <c r="DE65" s="628"/>
      <c r="DF65" s="628"/>
      <c r="DG65" s="628"/>
      <c r="DH65" s="628"/>
    </row>
    <row r="66" spans="1:112" ht="15.75" customHeight="1">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468"/>
      <c r="CQ66" s="2"/>
      <c r="CR66" s="628"/>
      <c r="CS66" s="628"/>
      <c r="CT66" s="628"/>
      <c r="CU66" s="628"/>
      <c r="CV66" s="628"/>
      <c r="CW66" s="628"/>
      <c r="CX66" s="628"/>
      <c r="CY66" s="628"/>
      <c r="CZ66" s="628"/>
      <c r="DA66" s="628"/>
      <c r="DB66" s="628"/>
      <c r="DC66" s="628"/>
      <c r="DD66" s="628"/>
      <c r="DE66" s="628"/>
      <c r="DF66" s="628"/>
      <c r="DG66" s="628"/>
      <c r="DH66" s="628"/>
    </row>
    <row r="67" spans="1:112" ht="15.75" customHeight="1">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468"/>
      <c r="CQ67" s="2"/>
      <c r="CR67" s="628"/>
      <c r="CS67" s="628"/>
      <c r="CT67" s="628"/>
      <c r="CU67" s="628"/>
      <c r="CV67" s="628"/>
      <c r="CW67" s="628"/>
      <c r="CX67" s="628"/>
      <c r="CY67" s="628"/>
      <c r="CZ67" s="628"/>
      <c r="DA67" s="628"/>
      <c r="DB67" s="628"/>
      <c r="DC67" s="628"/>
      <c r="DD67" s="628"/>
      <c r="DE67" s="628"/>
      <c r="DF67" s="628"/>
      <c r="DG67" s="628"/>
      <c r="DH67" s="628"/>
    </row>
    <row r="68" spans="1:112" ht="15.75" customHeight="1">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468"/>
      <c r="CQ68" s="2"/>
      <c r="CR68" s="628"/>
      <c r="CS68" s="628"/>
      <c r="CT68" s="628"/>
      <c r="CU68" s="628"/>
      <c r="CV68" s="628"/>
      <c r="CW68" s="628"/>
      <c r="CX68" s="628"/>
      <c r="CY68" s="628"/>
      <c r="CZ68" s="628"/>
      <c r="DA68" s="628"/>
      <c r="DB68" s="628"/>
      <c r="DC68" s="628"/>
      <c r="DD68" s="628"/>
      <c r="DE68" s="628"/>
      <c r="DF68" s="628"/>
      <c r="DG68" s="628"/>
      <c r="DH68" s="628"/>
    </row>
    <row r="69" spans="1:112" ht="15.75" customHeight="1">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468"/>
      <c r="CQ69" s="2"/>
      <c r="CR69" s="628"/>
      <c r="CS69" s="628"/>
      <c r="CT69" s="628"/>
      <c r="CU69" s="628"/>
      <c r="CV69" s="628"/>
      <c r="CW69" s="628"/>
      <c r="CX69" s="628"/>
      <c r="CY69" s="628"/>
      <c r="CZ69" s="628"/>
      <c r="DA69" s="628"/>
      <c r="DB69" s="628"/>
      <c r="DC69" s="628"/>
      <c r="DD69" s="628"/>
      <c r="DE69" s="628"/>
      <c r="DF69" s="628"/>
      <c r="DG69" s="628"/>
      <c r="DH69" s="628"/>
    </row>
    <row r="70" spans="1:112" ht="15.75" customHeight="1">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468"/>
      <c r="CQ70" s="2"/>
      <c r="CR70" s="628"/>
      <c r="CS70" s="628"/>
      <c r="CT70" s="628"/>
      <c r="CU70" s="628"/>
      <c r="CV70" s="628"/>
      <c r="CW70" s="628"/>
      <c r="CX70" s="628"/>
      <c r="CY70" s="628"/>
      <c r="CZ70" s="628"/>
      <c r="DA70" s="628"/>
      <c r="DB70" s="628"/>
      <c r="DC70" s="628"/>
      <c r="DD70" s="628"/>
      <c r="DE70" s="628"/>
      <c r="DF70" s="628"/>
      <c r="DG70" s="628"/>
      <c r="DH70" s="628"/>
    </row>
    <row r="71" spans="1:112" ht="15.75" customHeight="1">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468"/>
      <c r="CQ71" s="2"/>
      <c r="CR71" s="628"/>
      <c r="CS71" s="628"/>
      <c r="CT71" s="628"/>
      <c r="CU71" s="628"/>
      <c r="CV71" s="628"/>
      <c r="CW71" s="628"/>
      <c r="CX71" s="628"/>
      <c r="CY71" s="628"/>
      <c r="CZ71" s="628"/>
      <c r="DA71" s="628"/>
      <c r="DB71" s="628"/>
      <c r="DC71" s="628"/>
      <c r="DD71" s="628"/>
      <c r="DE71" s="628"/>
      <c r="DF71" s="628"/>
      <c r="DG71" s="628"/>
      <c r="DH71" s="628"/>
    </row>
    <row r="72" spans="1:112" ht="15.75" customHeight="1">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468"/>
      <c r="CQ72" s="2"/>
      <c r="CR72" s="628"/>
      <c r="CS72" s="628"/>
      <c r="CT72" s="628"/>
      <c r="CU72" s="628"/>
      <c r="CV72" s="628"/>
      <c r="CW72" s="628"/>
      <c r="CX72" s="628"/>
      <c r="CY72" s="628"/>
      <c r="CZ72" s="628"/>
      <c r="DA72" s="628"/>
      <c r="DB72" s="628"/>
      <c r="DC72" s="628"/>
      <c r="DD72" s="628"/>
      <c r="DE72" s="628"/>
      <c r="DF72" s="628"/>
      <c r="DG72" s="628"/>
      <c r="DH72" s="628"/>
    </row>
    <row r="73" spans="1:112" ht="15.75" customHeight="1">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468"/>
      <c r="CQ73" s="2"/>
      <c r="CR73" s="628"/>
      <c r="CS73" s="628"/>
      <c r="CT73" s="628"/>
      <c r="CU73" s="628"/>
      <c r="CV73" s="628"/>
      <c r="CW73" s="628"/>
      <c r="CX73" s="628"/>
      <c r="CY73" s="628"/>
      <c r="CZ73" s="628"/>
      <c r="DA73" s="628"/>
      <c r="DB73" s="628"/>
      <c r="DC73" s="628"/>
      <c r="DD73" s="628"/>
      <c r="DE73" s="628"/>
      <c r="DF73" s="628"/>
      <c r="DG73" s="628"/>
      <c r="DH73" s="628"/>
    </row>
    <row r="74" spans="1:112" ht="15.75" customHeight="1">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468"/>
      <c r="CQ74" s="2"/>
      <c r="CR74" s="628"/>
      <c r="CS74" s="628"/>
      <c r="CT74" s="628"/>
      <c r="CU74" s="628"/>
      <c r="CV74" s="628"/>
      <c r="CW74" s="628"/>
      <c r="CX74" s="628"/>
      <c r="CY74" s="628"/>
      <c r="CZ74" s="628"/>
      <c r="DA74" s="628"/>
      <c r="DB74" s="628"/>
      <c r="DC74" s="628"/>
      <c r="DD74" s="628"/>
      <c r="DE74" s="628"/>
      <c r="DF74" s="628"/>
      <c r="DG74" s="628"/>
      <c r="DH74" s="628"/>
    </row>
    <row r="75" spans="1:112" ht="15.75" customHeight="1">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468"/>
      <c r="CQ75" s="2"/>
      <c r="CR75" s="628"/>
      <c r="CS75" s="628"/>
      <c r="CT75" s="628"/>
      <c r="CU75" s="628"/>
      <c r="CV75" s="628"/>
      <c r="CW75" s="628"/>
      <c r="CX75" s="628"/>
      <c r="CY75" s="628"/>
      <c r="CZ75" s="628"/>
      <c r="DA75" s="628"/>
      <c r="DB75" s="628"/>
      <c r="DC75" s="628"/>
      <c r="DD75" s="628"/>
      <c r="DE75" s="628"/>
      <c r="DF75" s="628"/>
      <c r="DG75" s="628"/>
      <c r="DH75" s="628"/>
    </row>
    <row r="76" spans="1:112" ht="15.75" customHeight="1">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468"/>
      <c r="CQ76" s="2"/>
      <c r="CR76" s="628"/>
      <c r="CS76" s="628"/>
      <c r="CT76" s="628"/>
      <c r="CU76" s="628"/>
      <c r="CV76" s="628"/>
      <c r="CW76" s="628"/>
      <c r="CX76" s="628"/>
      <c r="CY76" s="628"/>
      <c r="CZ76" s="628"/>
      <c r="DA76" s="628"/>
      <c r="DB76" s="628"/>
      <c r="DC76" s="628"/>
      <c r="DD76" s="628"/>
      <c r="DE76" s="628"/>
      <c r="DF76" s="628"/>
      <c r="DG76" s="628"/>
      <c r="DH76" s="628"/>
    </row>
    <row r="77" spans="1:112" ht="15.75" customHeight="1">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468"/>
      <c r="CQ77" s="2"/>
      <c r="CR77" s="628"/>
      <c r="CS77" s="628"/>
      <c r="CT77" s="628"/>
      <c r="CU77" s="628"/>
      <c r="CV77" s="628"/>
      <c r="CW77" s="628"/>
      <c r="CX77" s="628"/>
      <c r="CY77" s="628"/>
      <c r="CZ77" s="628"/>
      <c r="DA77" s="628"/>
      <c r="DB77" s="628"/>
      <c r="DC77" s="628"/>
      <c r="DD77" s="628"/>
      <c r="DE77" s="628"/>
      <c r="DF77" s="628"/>
      <c r="DG77" s="628"/>
      <c r="DH77" s="628"/>
    </row>
    <row r="78" spans="1:112" ht="15.75" customHeight="1">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468"/>
      <c r="CQ78" s="2"/>
      <c r="CR78" s="628"/>
      <c r="CS78" s="628"/>
      <c r="CT78" s="628"/>
      <c r="CU78" s="628"/>
      <c r="CV78" s="628"/>
      <c r="CW78" s="628"/>
      <c r="CX78" s="628"/>
      <c r="CY78" s="628"/>
      <c r="CZ78" s="628"/>
      <c r="DA78" s="628"/>
      <c r="DB78" s="628"/>
      <c r="DC78" s="628"/>
      <c r="DD78" s="628"/>
      <c r="DE78" s="628"/>
      <c r="DF78" s="628"/>
      <c r="DG78" s="628"/>
      <c r="DH78" s="628"/>
    </row>
    <row r="79" spans="1:112" ht="15.75" customHeight="1">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468"/>
      <c r="CQ79" s="2"/>
      <c r="CR79" s="628"/>
      <c r="CS79" s="628"/>
      <c r="CT79" s="628"/>
      <c r="CU79" s="628"/>
      <c r="CV79" s="628"/>
      <c r="CW79" s="628"/>
      <c r="CX79" s="628"/>
      <c r="CY79" s="628"/>
      <c r="CZ79" s="628"/>
      <c r="DA79" s="628"/>
      <c r="DB79" s="628"/>
      <c r="DC79" s="628"/>
      <c r="DD79" s="628"/>
      <c r="DE79" s="628"/>
      <c r="DF79" s="628"/>
      <c r="DG79" s="628"/>
      <c r="DH79" s="628"/>
    </row>
    <row r="80" spans="1:112" ht="15.75" customHeight="1">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468"/>
      <c r="CQ80" s="2"/>
      <c r="CR80" s="628"/>
      <c r="CS80" s="628"/>
      <c r="CT80" s="628"/>
      <c r="CU80" s="628"/>
      <c r="CV80" s="628"/>
      <c r="CW80" s="628"/>
      <c r="CX80" s="628"/>
      <c r="CY80" s="628"/>
      <c r="CZ80" s="628"/>
      <c r="DA80" s="628"/>
      <c r="DB80" s="628"/>
      <c r="DC80" s="628"/>
      <c r="DD80" s="628"/>
      <c r="DE80" s="628"/>
      <c r="DF80" s="628"/>
      <c r="DG80" s="628"/>
      <c r="DH80" s="628"/>
    </row>
    <row r="81" spans="1:112" ht="15.75" customHeight="1">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468"/>
      <c r="CQ81" s="2"/>
      <c r="CR81" s="628"/>
      <c r="CS81" s="628"/>
      <c r="CT81" s="628"/>
      <c r="CU81" s="628"/>
      <c r="CV81" s="628"/>
      <c r="CW81" s="628"/>
      <c r="CX81" s="628"/>
      <c r="CY81" s="628"/>
      <c r="CZ81" s="628"/>
      <c r="DA81" s="628"/>
      <c r="DB81" s="628"/>
      <c r="DC81" s="628"/>
      <c r="DD81" s="628"/>
      <c r="DE81" s="628"/>
      <c r="DF81" s="628"/>
      <c r="DG81" s="628"/>
      <c r="DH81" s="628"/>
    </row>
    <row r="82" spans="1:112" ht="15.75" customHeight="1">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468"/>
      <c r="CQ82" s="2"/>
      <c r="CR82" s="628"/>
      <c r="CS82" s="628"/>
      <c r="CT82" s="628"/>
      <c r="CU82" s="628"/>
      <c r="CV82" s="628"/>
      <c r="CW82" s="628"/>
      <c r="CX82" s="628"/>
      <c r="CY82" s="628"/>
      <c r="CZ82" s="628"/>
      <c r="DA82" s="628"/>
      <c r="DB82" s="628"/>
      <c r="DC82" s="628"/>
      <c r="DD82" s="628"/>
      <c r="DE82" s="628"/>
      <c r="DF82" s="628"/>
      <c r="DG82" s="628"/>
      <c r="DH82" s="628"/>
    </row>
    <row r="83" spans="1:112" ht="15.75" customHeight="1">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468"/>
      <c r="CQ83" s="2"/>
      <c r="CR83" s="628"/>
      <c r="CS83" s="628"/>
      <c r="CT83" s="628"/>
      <c r="CU83" s="628"/>
      <c r="CV83" s="628"/>
      <c r="CW83" s="628"/>
      <c r="CX83" s="628"/>
      <c r="CY83" s="628"/>
      <c r="CZ83" s="628"/>
      <c r="DA83" s="628"/>
      <c r="DB83" s="628"/>
      <c r="DC83" s="628"/>
      <c r="DD83" s="628"/>
      <c r="DE83" s="628"/>
      <c r="DF83" s="628"/>
      <c r="DG83" s="628"/>
      <c r="DH83" s="628"/>
    </row>
    <row r="84" spans="1:112" ht="15.75" customHeight="1">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468"/>
      <c r="CQ84" s="2"/>
      <c r="CR84" s="628"/>
      <c r="CS84" s="628"/>
      <c r="CT84" s="628"/>
      <c r="CU84" s="628"/>
      <c r="CV84" s="628"/>
      <c r="CW84" s="628"/>
      <c r="CX84" s="628"/>
      <c r="CY84" s="628"/>
      <c r="CZ84" s="628"/>
      <c r="DA84" s="628"/>
      <c r="DB84" s="628"/>
      <c r="DC84" s="628"/>
      <c r="DD84" s="628"/>
      <c r="DE84" s="628"/>
      <c r="DF84" s="628"/>
      <c r="DG84" s="628"/>
      <c r="DH84" s="628"/>
    </row>
    <row r="85" spans="1:112" ht="15.75" customHeight="1">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468"/>
      <c r="CQ85" s="2"/>
      <c r="CR85" s="628"/>
      <c r="CS85" s="628"/>
      <c r="CT85" s="628"/>
      <c r="CU85" s="628"/>
      <c r="CV85" s="628"/>
      <c r="CW85" s="628"/>
      <c r="CX85" s="628"/>
      <c r="CY85" s="628"/>
      <c r="CZ85" s="628"/>
      <c r="DA85" s="628"/>
      <c r="DB85" s="628"/>
      <c r="DC85" s="628"/>
      <c r="DD85" s="628"/>
      <c r="DE85" s="628"/>
      <c r="DF85" s="628"/>
      <c r="DG85" s="628"/>
      <c r="DH85" s="628"/>
    </row>
    <row r="86" spans="1:112" ht="15.75" customHeight="1">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468"/>
      <c r="CQ86" s="2"/>
      <c r="CR86" s="628"/>
      <c r="CS86" s="628"/>
      <c r="CT86" s="628"/>
      <c r="CU86" s="628"/>
      <c r="CV86" s="628"/>
      <c r="CW86" s="628"/>
      <c r="CX86" s="628"/>
      <c r="CY86" s="628"/>
      <c r="CZ86" s="628"/>
      <c r="DA86" s="628"/>
      <c r="DB86" s="628"/>
      <c r="DC86" s="628"/>
      <c r="DD86" s="628"/>
      <c r="DE86" s="628"/>
      <c r="DF86" s="628"/>
      <c r="DG86" s="628"/>
      <c r="DH86" s="628"/>
    </row>
    <row r="87" spans="1:112" ht="15.75" customHeight="1">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468"/>
      <c r="CQ87" s="2"/>
      <c r="CR87" s="628"/>
      <c r="CS87" s="628"/>
      <c r="CT87" s="628"/>
      <c r="CU87" s="628"/>
      <c r="CV87" s="628"/>
      <c r="CW87" s="628"/>
      <c r="CX87" s="628"/>
      <c r="CY87" s="628"/>
      <c r="CZ87" s="628"/>
      <c r="DA87" s="628"/>
      <c r="DB87" s="628"/>
      <c r="DC87" s="628"/>
      <c r="DD87" s="628"/>
      <c r="DE87" s="628"/>
      <c r="DF87" s="628"/>
      <c r="DG87" s="628"/>
      <c r="DH87" s="628"/>
    </row>
    <row r="88" spans="1:112" ht="15.75" customHeight="1">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468"/>
      <c r="CQ88" s="2"/>
      <c r="CR88" s="628"/>
      <c r="CS88" s="628"/>
      <c r="CT88" s="628"/>
      <c r="CU88" s="628"/>
      <c r="CV88" s="628"/>
      <c r="CW88" s="628"/>
      <c r="CX88" s="628"/>
      <c r="CY88" s="628"/>
      <c r="CZ88" s="628"/>
      <c r="DA88" s="628"/>
      <c r="DB88" s="628"/>
      <c r="DC88" s="628"/>
      <c r="DD88" s="628"/>
      <c r="DE88" s="628"/>
      <c r="DF88" s="628"/>
      <c r="DG88" s="628"/>
      <c r="DH88" s="628"/>
    </row>
    <row r="89" spans="1:112" ht="15.75" customHeight="1">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468"/>
      <c r="CQ89" s="2"/>
      <c r="CR89" s="628"/>
      <c r="CS89" s="628"/>
      <c r="CT89" s="628"/>
      <c r="CU89" s="628"/>
      <c r="CV89" s="628"/>
      <c r="CW89" s="628"/>
      <c r="CX89" s="628"/>
      <c r="CY89" s="628"/>
      <c r="CZ89" s="628"/>
      <c r="DA89" s="628"/>
      <c r="DB89" s="628"/>
      <c r="DC89" s="628"/>
      <c r="DD89" s="628"/>
      <c r="DE89" s="628"/>
      <c r="DF89" s="628"/>
      <c r="DG89" s="628"/>
      <c r="DH89" s="628"/>
    </row>
    <row r="90" spans="1:112" ht="15.75" customHeight="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468"/>
      <c r="CQ90" s="2"/>
      <c r="CR90" s="628"/>
      <c r="CS90" s="628"/>
      <c r="CT90" s="628"/>
      <c r="CU90" s="628"/>
      <c r="CV90" s="628"/>
      <c r="CW90" s="628"/>
      <c r="CX90" s="628"/>
      <c r="CY90" s="628"/>
      <c r="CZ90" s="628"/>
      <c r="DA90" s="628"/>
      <c r="DB90" s="628"/>
      <c r="DC90" s="628"/>
      <c r="DD90" s="628"/>
      <c r="DE90" s="628"/>
      <c r="DF90" s="628"/>
      <c r="DG90" s="628"/>
      <c r="DH90" s="628"/>
    </row>
    <row r="91" spans="1:112" ht="15.75" customHeight="1">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468"/>
      <c r="CQ91" s="2"/>
      <c r="CR91" s="628"/>
      <c r="CS91" s="628"/>
      <c r="CT91" s="628"/>
      <c r="CU91" s="628"/>
      <c r="CV91" s="628"/>
      <c r="CW91" s="628"/>
      <c r="CX91" s="628"/>
      <c r="CY91" s="628"/>
      <c r="CZ91" s="628"/>
      <c r="DA91" s="628"/>
      <c r="DB91" s="628"/>
      <c r="DC91" s="628"/>
      <c r="DD91" s="628"/>
      <c r="DE91" s="628"/>
      <c r="DF91" s="628"/>
      <c r="DG91" s="628"/>
      <c r="DH91" s="628"/>
    </row>
    <row r="92" spans="1:112" ht="15.75" customHeight="1">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468"/>
      <c r="CQ92" s="2"/>
      <c r="CR92" s="628"/>
      <c r="CS92" s="628"/>
      <c r="CT92" s="628"/>
      <c r="CU92" s="628"/>
      <c r="CV92" s="628"/>
      <c r="CW92" s="628"/>
      <c r="CX92" s="628"/>
      <c r="CY92" s="628"/>
      <c r="CZ92" s="628"/>
      <c r="DA92" s="628"/>
      <c r="DB92" s="628"/>
      <c r="DC92" s="628"/>
      <c r="DD92" s="628"/>
      <c r="DE92" s="628"/>
      <c r="DF92" s="628"/>
      <c r="DG92" s="628"/>
      <c r="DH92" s="628"/>
    </row>
    <row r="93" spans="1:112" ht="15.75" customHeight="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468"/>
      <c r="CQ93" s="2"/>
      <c r="CR93" s="628"/>
      <c r="CS93" s="628"/>
      <c r="CT93" s="628"/>
      <c r="CU93" s="628"/>
      <c r="CV93" s="628"/>
      <c r="CW93" s="628"/>
      <c r="CX93" s="628"/>
      <c r="CY93" s="628"/>
      <c r="CZ93" s="628"/>
      <c r="DA93" s="628"/>
      <c r="DB93" s="628"/>
      <c r="DC93" s="628"/>
      <c r="DD93" s="628"/>
      <c r="DE93" s="628"/>
      <c r="DF93" s="628"/>
      <c r="DG93" s="628"/>
      <c r="DH93" s="628"/>
    </row>
    <row r="94" spans="1:112" ht="15.75" customHeight="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468"/>
      <c r="CQ94" s="2"/>
      <c r="CR94" s="628"/>
      <c r="CS94" s="628"/>
      <c r="CT94" s="628"/>
      <c r="CU94" s="628"/>
      <c r="CV94" s="628"/>
      <c r="CW94" s="628"/>
      <c r="CX94" s="628"/>
      <c r="CY94" s="628"/>
      <c r="CZ94" s="628"/>
      <c r="DA94" s="628"/>
      <c r="DB94" s="628"/>
      <c r="DC94" s="628"/>
      <c r="DD94" s="628"/>
      <c r="DE94" s="628"/>
      <c r="DF94" s="628"/>
      <c r="DG94" s="628"/>
      <c r="DH94" s="628"/>
    </row>
    <row r="95" spans="1:112" ht="15.75" customHeight="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468"/>
      <c r="CQ95" s="2"/>
      <c r="CR95" s="628"/>
      <c r="CS95" s="628"/>
      <c r="CT95" s="628"/>
      <c r="CU95" s="628"/>
      <c r="CV95" s="628"/>
      <c r="CW95" s="628"/>
      <c r="CX95" s="628"/>
      <c r="CY95" s="628"/>
      <c r="CZ95" s="628"/>
      <c r="DA95" s="628"/>
      <c r="DB95" s="628"/>
      <c r="DC95" s="628"/>
      <c r="DD95" s="628"/>
      <c r="DE95" s="628"/>
      <c r="DF95" s="628"/>
      <c r="DG95" s="628"/>
      <c r="DH95" s="628"/>
    </row>
    <row r="96" spans="1:112" ht="15.75" customHeight="1">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468"/>
      <c r="CQ96" s="2"/>
      <c r="CR96" s="628"/>
      <c r="CS96" s="628"/>
      <c r="CT96" s="628"/>
      <c r="CU96" s="628"/>
      <c r="CV96" s="628"/>
      <c r="CW96" s="628"/>
      <c r="CX96" s="628"/>
      <c r="CY96" s="628"/>
      <c r="CZ96" s="628"/>
      <c r="DA96" s="628"/>
      <c r="DB96" s="628"/>
      <c r="DC96" s="628"/>
      <c r="DD96" s="628"/>
      <c r="DE96" s="628"/>
      <c r="DF96" s="628"/>
      <c r="DG96" s="628"/>
      <c r="DH96" s="628"/>
    </row>
    <row r="97" spans="1:112" ht="15.75" customHeight="1">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468"/>
      <c r="CQ97" s="2"/>
      <c r="CR97" s="628"/>
      <c r="CS97" s="628"/>
      <c r="CT97" s="628"/>
      <c r="CU97" s="628"/>
      <c r="CV97" s="628"/>
      <c r="CW97" s="628"/>
      <c r="CX97" s="628"/>
      <c r="CY97" s="628"/>
      <c r="CZ97" s="628"/>
      <c r="DA97" s="628"/>
      <c r="DB97" s="628"/>
      <c r="DC97" s="628"/>
      <c r="DD97" s="628"/>
      <c r="DE97" s="628"/>
      <c r="DF97" s="628"/>
      <c r="DG97" s="628"/>
      <c r="DH97" s="628"/>
    </row>
    <row r="98" spans="1:112" ht="15.75" customHeight="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468"/>
      <c r="CQ98" s="2"/>
      <c r="CR98" s="628"/>
      <c r="CS98" s="628"/>
      <c r="CT98" s="628"/>
      <c r="CU98" s="628"/>
      <c r="CV98" s="628"/>
      <c r="CW98" s="628"/>
      <c r="CX98" s="628"/>
      <c r="CY98" s="628"/>
      <c r="CZ98" s="628"/>
      <c r="DA98" s="628"/>
      <c r="DB98" s="628"/>
      <c r="DC98" s="628"/>
      <c r="DD98" s="628"/>
      <c r="DE98" s="628"/>
      <c r="DF98" s="628"/>
      <c r="DG98" s="628"/>
      <c r="DH98" s="628"/>
    </row>
    <row r="99" spans="1:112" ht="15.75" customHeight="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468"/>
      <c r="CQ99" s="2"/>
      <c r="CR99" s="628"/>
      <c r="CS99" s="628"/>
      <c r="CT99" s="628"/>
      <c r="CU99" s="628"/>
      <c r="CV99" s="628"/>
      <c r="CW99" s="628"/>
      <c r="CX99" s="628"/>
      <c r="CY99" s="628"/>
      <c r="CZ99" s="628"/>
      <c r="DA99" s="628"/>
      <c r="DB99" s="628"/>
      <c r="DC99" s="628"/>
      <c r="DD99" s="628"/>
      <c r="DE99" s="628"/>
      <c r="DF99" s="628"/>
      <c r="DG99" s="628"/>
      <c r="DH99" s="628"/>
    </row>
    <row r="100" spans="1:112" ht="15.75" customHeight="1">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468"/>
      <c r="CQ100" s="2"/>
      <c r="CR100" s="628"/>
      <c r="CS100" s="628"/>
      <c r="CT100" s="628"/>
      <c r="CU100" s="628"/>
      <c r="CV100" s="628"/>
      <c r="CW100" s="628"/>
      <c r="CX100" s="628"/>
      <c r="CY100" s="628"/>
      <c r="CZ100" s="628"/>
      <c r="DA100" s="628"/>
      <c r="DB100" s="628"/>
      <c r="DC100" s="628"/>
      <c r="DD100" s="628"/>
      <c r="DE100" s="628"/>
      <c r="DF100" s="628"/>
      <c r="DG100" s="628"/>
      <c r="DH100" s="628"/>
    </row>
    <row r="101" spans="1:112" ht="15.75" customHeight="1">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468"/>
      <c r="CQ101" s="2"/>
      <c r="CR101" s="628"/>
      <c r="CS101" s="628"/>
      <c r="CT101" s="628"/>
      <c r="CU101" s="628"/>
      <c r="CV101" s="628"/>
      <c r="CW101" s="628"/>
      <c r="CX101" s="628"/>
      <c r="CY101" s="628"/>
      <c r="CZ101" s="628"/>
      <c r="DA101" s="628"/>
      <c r="DB101" s="628"/>
      <c r="DC101" s="628"/>
      <c r="DD101" s="628"/>
      <c r="DE101" s="628"/>
      <c r="DF101" s="628"/>
      <c r="DG101" s="628"/>
      <c r="DH101" s="628"/>
    </row>
    <row r="102" spans="1:112" ht="15.75" customHeight="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468"/>
      <c r="CQ102" s="2"/>
      <c r="CR102" s="628"/>
      <c r="CS102" s="628"/>
      <c r="CT102" s="628"/>
      <c r="CU102" s="628"/>
      <c r="CV102" s="628"/>
      <c r="CW102" s="628"/>
      <c r="CX102" s="628"/>
      <c r="CY102" s="628"/>
      <c r="CZ102" s="628"/>
      <c r="DA102" s="628"/>
      <c r="DB102" s="628"/>
      <c r="DC102" s="628"/>
      <c r="DD102" s="628"/>
      <c r="DE102" s="628"/>
      <c r="DF102" s="628"/>
      <c r="DG102" s="628"/>
      <c r="DH102" s="628"/>
    </row>
    <row r="103" spans="1:112" ht="15.75" customHeight="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468"/>
      <c r="CQ103" s="2"/>
      <c r="CR103" s="628"/>
      <c r="CS103" s="628"/>
      <c r="CT103" s="628"/>
      <c r="CU103" s="628"/>
      <c r="CV103" s="628"/>
      <c r="CW103" s="628"/>
      <c r="CX103" s="628"/>
      <c r="CY103" s="628"/>
      <c r="CZ103" s="628"/>
      <c r="DA103" s="628"/>
      <c r="DB103" s="628"/>
      <c r="DC103" s="628"/>
      <c r="DD103" s="628"/>
      <c r="DE103" s="628"/>
      <c r="DF103" s="628"/>
      <c r="DG103" s="628"/>
      <c r="DH103" s="628"/>
    </row>
    <row r="104" spans="1:112" ht="15.75" customHeight="1">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468"/>
      <c r="CQ104" s="2"/>
      <c r="CR104" s="628"/>
      <c r="CS104" s="628"/>
      <c r="CT104" s="628"/>
      <c r="CU104" s="628"/>
      <c r="CV104" s="628"/>
      <c r="CW104" s="628"/>
      <c r="CX104" s="628"/>
      <c r="CY104" s="628"/>
      <c r="CZ104" s="628"/>
      <c r="DA104" s="628"/>
      <c r="DB104" s="628"/>
      <c r="DC104" s="628"/>
      <c r="DD104" s="628"/>
      <c r="DE104" s="628"/>
      <c r="DF104" s="628"/>
      <c r="DG104" s="628"/>
      <c r="DH104" s="628"/>
    </row>
    <row r="105" spans="1:112" ht="15.75" customHeight="1">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468"/>
      <c r="CQ105" s="2"/>
      <c r="CR105" s="628"/>
      <c r="CS105" s="628"/>
      <c r="CT105" s="628"/>
      <c r="CU105" s="628"/>
      <c r="CV105" s="628"/>
      <c r="CW105" s="628"/>
      <c r="CX105" s="628"/>
      <c r="CY105" s="628"/>
      <c r="CZ105" s="628"/>
      <c r="DA105" s="628"/>
      <c r="DB105" s="628"/>
      <c r="DC105" s="628"/>
      <c r="DD105" s="628"/>
      <c r="DE105" s="628"/>
      <c r="DF105" s="628"/>
      <c r="DG105" s="628"/>
      <c r="DH105" s="628"/>
    </row>
    <row r="106" spans="1:112" ht="15.75" customHeight="1">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468"/>
      <c r="CQ106" s="2"/>
      <c r="CR106" s="628"/>
      <c r="CS106" s="628"/>
      <c r="CT106" s="628"/>
      <c r="CU106" s="628"/>
      <c r="CV106" s="628"/>
      <c r="CW106" s="628"/>
      <c r="CX106" s="628"/>
      <c r="CY106" s="628"/>
      <c r="CZ106" s="628"/>
      <c r="DA106" s="628"/>
      <c r="DB106" s="628"/>
      <c r="DC106" s="628"/>
      <c r="DD106" s="628"/>
      <c r="DE106" s="628"/>
      <c r="DF106" s="628"/>
      <c r="DG106" s="628"/>
      <c r="DH106" s="628"/>
    </row>
    <row r="107" spans="1:112" ht="15.75" customHeight="1">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468"/>
      <c r="CQ107" s="2"/>
      <c r="CR107" s="628"/>
      <c r="CS107" s="628"/>
      <c r="CT107" s="628"/>
      <c r="CU107" s="628"/>
      <c r="CV107" s="628"/>
      <c r="CW107" s="628"/>
      <c r="CX107" s="628"/>
      <c r="CY107" s="628"/>
      <c r="CZ107" s="628"/>
      <c r="DA107" s="628"/>
      <c r="DB107" s="628"/>
      <c r="DC107" s="628"/>
      <c r="DD107" s="628"/>
      <c r="DE107" s="628"/>
      <c r="DF107" s="628"/>
      <c r="DG107" s="628"/>
      <c r="DH107" s="628"/>
    </row>
    <row r="108" spans="1:112" ht="15.75" customHeight="1">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468"/>
      <c r="CQ108" s="2"/>
      <c r="CR108" s="628"/>
      <c r="CS108" s="628"/>
      <c r="CT108" s="628"/>
      <c r="CU108" s="628"/>
      <c r="CV108" s="628"/>
      <c r="CW108" s="628"/>
      <c r="CX108" s="628"/>
      <c r="CY108" s="628"/>
      <c r="CZ108" s="628"/>
      <c r="DA108" s="628"/>
      <c r="DB108" s="628"/>
      <c r="DC108" s="628"/>
      <c r="DD108" s="628"/>
      <c r="DE108" s="628"/>
      <c r="DF108" s="628"/>
      <c r="DG108" s="628"/>
      <c r="DH108" s="628"/>
    </row>
    <row r="109" spans="1:112" ht="15.75" customHeight="1">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468"/>
      <c r="CQ109" s="2"/>
      <c r="CR109" s="628"/>
      <c r="CS109" s="628"/>
      <c r="CT109" s="628"/>
      <c r="CU109" s="628"/>
      <c r="CV109" s="628"/>
      <c r="CW109" s="628"/>
      <c r="CX109" s="628"/>
      <c r="CY109" s="628"/>
      <c r="CZ109" s="628"/>
      <c r="DA109" s="628"/>
      <c r="DB109" s="628"/>
      <c r="DC109" s="628"/>
      <c r="DD109" s="628"/>
      <c r="DE109" s="628"/>
      <c r="DF109" s="628"/>
      <c r="DG109" s="628"/>
      <c r="DH109" s="628"/>
    </row>
    <row r="110" spans="1:112" ht="15.75" customHeight="1">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468"/>
      <c r="CQ110" s="2"/>
      <c r="CR110" s="628"/>
      <c r="CS110" s="628"/>
      <c r="CT110" s="628"/>
      <c r="CU110" s="628"/>
      <c r="CV110" s="628"/>
      <c r="CW110" s="628"/>
      <c r="CX110" s="628"/>
      <c r="CY110" s="628"/>
      <c r="CZ110" s="628"/>
      <c r="DA110" s="628"/>
      <c r="DB110" s="628"/>
      <c r="DC110" s="628"/>
      <c r="DD110" s="628"/>
      <c r="DE110" s="628"/>
      <c r="DF110" s="628"/>
      <c r="DG110" s="628"/>
      <c r="DH110" s="628"/>
    </row>
    <row r="111" spans="1:112" ht="15.75" customHeight="1">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468"/>
      <c r="CQ111" s="2"/>
      <c r="CR111" s="628"/>
      <c r="CS111" s="628"/>
      <c r="CT111" s="628"/>
      <c r="CU111" s="628"/>
      <c r="CV111" s="628"/>
      <c r="CW111" s="628"/>
      <c r="CX111" s="628"/>
      <c r="CY111" s="628"/>
      <c r="CZ111" s="628"/>
      <c r="DA111" s="628"/>
      <c r="DB111" s="628"/>
      <c r="DC111" s="628"/>
      <c r="DD111" s="628"/>
      <c r="DE111" s="628"/>
      <c r="DF111" s="628"/>
      <c r="DG111" s="628"/>
      <c r="DH111" s="628"/>
    </row>
    <row r="112" spans="1:112" ht="15.75" customHeight="1">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468"/>
      <c r="CQ112" s="2"/>
      <c r="CR112" s="628"/>
      <c r="CS112" s="628"/>
      <c r="CT112" s="628"/>
      <c r="CU112" s="628"/>
      <c r="CV112" s="628"/>
      <c r="CW112" s="628"/>
      <c r="CX112" s="628"/>
      <c r="CY112" s="628"/>
      <c r="CZ112" s="628"/>
      <c r="DA112" s="628"/>
      <c r="DB112" s="628"/>
      <c r="DC112" s="628"/>
      <c r="DD112" s="628"/>
      <c r="DE112" s="628"/>
      <c r="DF112" s="628"/>
      <c r="DG112" s="628"/>
      <c r="DH112" s="628"/>
    </row>
    <row r="113" spans="1:112" ht="15.75" customHeight="1">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468"/>
      <c r="CQ113" s="2"/>
      <c r="CR113" s="628"/>
      <c r="CS113" s="628"/>
      <c r="CT113" s="628"/>
      <c r="CU113" s="628"/>
      <c r="CV113" s="628"/>
      <c r="CW113" s="628"/>
      <c r="CX113" s="628"/>
      <c r="CY113" s="628"/>
      <c r="CZ113" s="628"/>
      <c r="DA113" s="628"/>
      <c r="DB113" s="628"/>
      <c r="DC113" s="628"/>
      <c r="DD113" s="628"/>
      <c r="DE113" s="628"/>
      <c r="DF113" s="628"/>
      <c r="DG113" s="628"/>
      <c r="DH113" s="628"/>
    </row>
    <row r="114" spans="1:112" ht="15.75" customHeight="1">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468"/>
      <c r="CQ114" s="2"/>
      <c r="CR114" s="628"/>
      <c r="CS114" s="628"/>
      <c r="CT114" s="628"/>
      <c r="CU114" s="628"/>
      <c r="CV114" s="628"/>
      <c r="CW114" s="628"/>
      <c r="CX114" s="628"/>
      <c r="CY114" s="628"/>
      <c r="CZ114" s="628"/>
      <c r="DA114" s="628"/>
      <c r="DB114" s="628"/>
      <c r="DC114" s="628"/>
      <c r="DD114" s="628"/>
      <c r="DE114" s="628"/>
      <c r="DF114" s="628"/>
      <c r="DG114" s="628"/>
      <c r="DH114" s="628"/>
    </row>
    <row r="115" spans="1:112" ht="15.75" customHeight="1">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468"/>
      <c r="CQ115" s="2"/>
      <c r="CR115" s="628"/>
      <c r="CS115" s="628"/>
      <c r="CT115" s="628"/>
      <c r="CU115" s="628"/>
      <c r="CV115" s="628"/>
      <c r="CW115" s="628"/>
      <c r="CX115" s="628"/>
      <c r="CY115" s="628"/>
      <c r="CZ115" s="628"/>
      <c r="DA115" s="628"/>
      <c r="DB115" s="628"/>
      <c r="DC115" s="628"/>
      <c r="DD115" s="628"/>
      <c r="DE115" s="628"/>
      <c r="DF115" s="628"/>
      <c r="DG115" s="628"/>
      <c r="DH115" s="628"/>
    </row>
    <row r="116" spans="1:112" ht="15.75" customHeight="1">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468"/>
      <c r="CQ116" s="2"/>
      <c r="CR116" s="628"/>
      <c r="CS116" s="628"/>
      <c r="CT116" s="628"/>
      <c r="CU116" s="628"/>
      <c r="CV116" s="628"/>
      <c r="CW116" s="628"/>
      <c r="CX116" s="628"/>
      <c r="CY116" s="628"/>
      <c r="CZ116" s="628"/>
      <c r="DA116" s="628"/>
      <c r="DB116" s="628"/>
      <c r="DC116" s="628"/>
      <c r="DD116" s="628"/>
      <c r="DE116" s="628"/>
      <c r="DF116" s="628"/>
      <c r="DG116" s="628"/>
      <c r="DH116" s="628"/>
    </row>
    <row r="117" spans="1:112" ht="15.75" customHeight="1">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468"/>
      <c r="CQ117" s="2"/>
      <c r="CR117" s="628"/>
      <c r="CS117" s="628"/>
      <c r="CT117" s="628"/>
      <c r="CU117" s="628"/>
      <c r="CV117" s="628"/>
      <c r="CW117" s="628"/>
      <c r="CX117" s="628"/>
      <c r="CY117" s="628"/>
      <c r="CZ117" s="628"/>
      <c r="DA117" s="628"/>
      <c r="DB117" s="628"/>
      <c r="DC117" s="628"/>
      <c r="DD117" s="628"/>
      <c r="DE117" s="628"/>
      <c r="DF117" s="628"/>
      <c r="DG117" s="628"/>
      <c r="DH117" s="628"/>
    </row>
    <row r="118" spans="1:112" ht="15.75" customHeight="1">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468"/>
      <c r="CQ118" s="2"/>
      <c r="CR118" s="628"/>
      <c r="CS118" s="628"/>
      <c r="CT118" s="628"/>
      <c r="CU118" s="628"/>
      <c r="CV118" s="628"/>
      <c r="CW118" s="628"/>
      <c r="CX118" s="628"/>
      <c r="CY118" s="628"/>
      <c r="CZ118" s="628"/>
      <c r="DA118" s="628"/>
      <c r="DB118" s="628"/>
      <c r="DC118" s="628"/>
      <c r="DD118" s="628"/>
      <c r="DE118" s="628"/>
      <c r="DF118" s="628"/>
      <c r="DG118" s="628"/>
      <c r="DH118" s="628"/>
    </row>
    <row r="119" spans="1:112" ht="15.75" customHeight="1">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468"/>
      <c r="CQ119" s="2"/>
      <c r="CR119" s="628"/>
      <c r="CS119" s="628"/>
      <c r="CT119" s="628"/>
      <c r="CU119" s="628"/>
      <c r="CV119" s="628"/>
      <c r="CW119" s="628"/>
      <c r="CX119" s="628"/>
      <c r="CY119" s="628"/>
      <c r="CZ119" s="628"/>
      <c r="DA119" s="628"/>
      <c r="DB119" s="628"/>
      <c r="DC119" s="628"/>
      <c r="DD119" s="628"/>
      <c r="DE119" s="628"/>
      <c r="DF119" s="628"/>
      <c r="DG119" s="628"/>
      <c r="DH119" s="628"/>
    </row>
    <row r="120" spans="1:112" ht="15.75" customHeight="1">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468"/>
      <c r="CQ120" s="2"/>
      <c r="CR120" s="628"/>
      <c r="CS120" s="628"/>
      <c r="CT120" s="628"/>
      <c r="CU120" s="628"/>
      <c r="CV120" s="628"/>
      <c r="CW120" s="628"/>
      <c r="CX120" s="628"/>
      <c r="CY120" s="628"/>
      <c r="CZ120" s="628"/>
      <c r="DA120" s="628"/>
      <c r="DB120" s="628"/>
      <c r="DC120" s="628"/>
      <c r="DD120" s="628"/>
      <c r="DE120" s="628"/>
      <c r="DF120" s="628"/>
      <c r="DG120" s="628"/>
      <c r="DH120" s="628"/>
    </row>
    <row r="121" spans="1:112" ht="15.75" customHeight="1">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468"/>
      <c r="CQ121" s="2"/>
      <c r="CR121" s="628"/>
      <c r="CS121" s="628"/>
      <c r="CT121" s="628"/>
      <c r="CU121" s="628"/>
      <c r="CV121" s="628"/>
      <c r="CW121" s="628"/>
      <c r="CX121" s="628"/>
      <c r="CY121" s="628"/>
      <c r="CZ121" s="628"/>
      <c r="DA121" s="628"/>
      <c r="DB121" s="628"/>
      <c r="DC121" s="628"/>
      <c r="DD121" s="628"/>
      <c r="DE121" s="628"/>
      <c r="DF121" s="628"/>
      <c r="DG121" s="628"/>
      <c r="DH121" s="628"/>
    </row>
    <row r="122" spans="1:112" ht="15.75" customHeight="1">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468"/>
      <c r="CQ122" s="2"/>
      <c r="CR122" s="628"/>
      <c r="CS122" s="628"/>
      <c r="CT122" s="628"/>
      <c r="CU122" s="628"/>
      <c r="CV122" s="628"/>
      <c r="CW122" s="628"/>
      <c r="CX122" s="628"/>
      <c r="CY122" s="628"/>
      <c r="CZ122" s="628"/>
      <c r="DA122" s="628"/>
      <c r="DB122" s="628"/>
      <c r="DC122" s="628"/>
      <c r="DD122" s="628"/>
      <c r="DE122" s="628"/>
      <c r="DF122" s="628"/>
      <c r="DG122" s="628"/>
      <c r="DH122" s="628"/>
    </row>
    <row r="123" spans="1:112" ht="15.75" customHeight="1">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468"/>
      <c r="CQ123" s="2"/>
      <c r="CR123" s="628"/>
      <c r="CS123" s="628"/>
      <c r="CT123" s="628"/>
      <c r="CU123" s="628"/>
      <c r="CV123" s="628"/>
      <c r="CW123" s="628"/>
      <c r="CX123" s="628"/>
      <c r="CY123" s="628"/>
      <c r="CZ123" s="628"/>
      <c r="DA123" s="628"/>
      <c r="DB123" s="628"/>
      <c r="DC123" s="628"/>
      <c r="DD123" s="628"/>
      <c r="DE123" s="628"/>
      <c r="DF123" s="628"/>
      <c r="DG123" s="628"/>
      <c r="DH123" s="628"/>
    </row>
    <row r="124" spans="1:112" ht="15.75" customHeight="1">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468"/>
      <c r="CQ124" s="2"/>
      <c r="CR124" s="628"/>
      <c r="CS124" s="628"/>
      <c r="CT124" s="628"/>
      <c r="CU124" s="628"/>
      <c r="CV124" s="628"/>
      <c r="CW124" s="628"/>
      <c r="CX124" s="628"/>
      <c r="CY124" s="628"/>
      <c r="CZ124" s="628"/>
      <c r="DA124" s="628"/>
      <c r="DB124" s="628"/>
      <c r="DC124" s="628"/>
      <c r="DD124" s="628"/>
      <c r="DE124" s="628"/>
      <c r="DF124" s="628"/>
      <c r="DG124" s="628"/>
      <c r="DH124" s="628"/>
    </row>
    <row r="125" spans="1:112" ht="15.75" customHeight="1">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468"/>
      <c r="CQ125" s="2"/>
      <c r="CR125" s="628"/>
      <c r="CS125" s="628"/>
      <c r="CT125" s="628"/>
      <c r="CU125" s="628"/>
      <c r="CV125" s="628"/>
      <c r="CW125" s="628"/>
      <c r="CX125" s="628"/>
      <c r="CY125" s="628"/>
      <c r="CZ125" s="628"/>
      <c r="DA125" s="628"/>
      <c r="DB125" s="628"/>
      <c r="DC125" s="628"/>
      <c r="DD125" s="628"/>
      <c r="DE125" s="628"/>
      <c r="DF125" s="628"/>
      <c r="DG125" s="628"/>
      <c r="DH125" s="628"/>
    </row>
    <row r="126" spans="1:112" ht="15.75" customHeight="1">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468"/>
      <c r="CQ126" s="2"/>
      <c r="CR126" s="628"/>
      <c r="CS126" s="628"/>
      <c r="CT126" s="628"/>
      <c r="CU126" s="628"/>
      <c r="CV126" s="628"/>
      <c r="CW126" s="628"/>
      <c r="CX126" s="628"/>
      <c r="CY126" s="628"/>
      <c r="CZ126" s="628"/>
      <c r="DA126" s="628"/>
      <c r="DB126" s="628"/>
      <c r="DC126" s="628"/>
      <c r="DD126" s="628"/>
      <c r="DE126" s="628"/>
      <c r="DF126" s="628"/>
      <c r="DG126" s="628"/>
      <c r="DH126" s="628"/>
    </row>
    <row r="127" spans="1:112" ht="15.75" customHeight="1">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468"/>
      <c r="CQ127" s="2"/>
      <c r="CR127" s="628"/>
      <c r="CS127" s="628"/>
      <c r="CT127" s="628"/>
      <c r="CU127" s="628"/>
      <c r="CV127" s="628"/>
      <c r="CW127" s="628"/>
      <c r="CX127" s="628"/>
      <c r="CY127" s="628"/>
      <c r="CZ127" s="628"/>
      <c r="DA127" s="628"/>
      <c r="DB127" s="628"/>
      <c r="DC127" s="628"/>
      <c r="DD127" s="628"/>
      <c r="DE127" s="628"/>
      <c r="DF127" s="628"/>
      <c r="DG127" s="628"/>
      <c r="DH127" s="628"/>
    </row>
    <row r="128" spans="1:112" ht="15.75" customHeight="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468"/>
      <c r="CQ128" s="2"/>
      <c r="CR128" s="628"/>
      <c r="CS128" s="628"/>
      <c r="CT128" s="628"/>
      <c r="CU128" s="628"/>
      <c r="CV128" s="628"/>
      <c r="CW128" s="628"/>
      <c r="CX128" s="628"/>
      <c r="CY128" s="628"/>
      <c r="CZ128" s="628"/>
      <c r="DA128" s="628"/>
      <c r="DB128" s="628"/>
      <c r="DC128" s="628"/>
      <c r="DD128" s="628"/>
      <c r="DE128" s="628"/>
      <c r="DF128" s="628"/>
      <c r="DG128" s="628"/>
      <c r="DH128" s="628"/>
    </row>
    <row r="129" spans="1:112" ht="15.75" customHeight="1">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468"/>
      <c r="CQ129" s="2"/>
      <c r="CR129" s="628"/>
      <c r="CS129" s="628"/>
      <c r="CT129" s="628"/>
      <c r="CU129" s="628"/>
      <c r="CV129" s="628"/>
      <c r="CW129" s="628"/>
      <c r="CX129" s="628"/>
      <c r="CY129" s="628"/>
      <c r="CZ129" s="628"/>
      <c r="DA129" s="628"/>
      <c r="DB129" s="628"/>
      <c r="DC129" s="628"/>
      <c r="DD129" s="628"/>
      <c r="DE129" s="628"/>
      <c r="DF129" s="628"/>
      <c r="DG129" s="628"/>
      <c r="DH129" s="628"/>
    </row>
    <row r="130" spans="1:112" ht="15.75" customHeight="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468"/>
      <c r="CQ130" s="2"/>
      <c r="CR130" s="628"/>
      <c r="CS130" s="628"/>
      <c r="CT130" s="628"/>
      <c r="CU130" s="628"/>
      <c r="CV130" s="628"/>
      <c r="CW130" s="628"/>
      <c r="CX130" s="628"/>
      <c r="CY130" s="628"/>
      <c r="CZ130" s="628"/>
      <c r="DA130" s="628"/>
      <c r="DB130" s="628"/>
      <c r="DC130" s="628"/>
      <c r="DD130" s="628"/>
      <c r="DE130" s="628"/>
      <c r="DF130" s="628"/>
      <c r="DG130" s="628"/>
      <c r="DH130" s="628"/>
    </row>
    <row r="131" spans="1:112" ht="15.75" customHeight="1">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468"/>
      <c r="CQ131" s="2"/>
      <c r="CR131" s="628"/>
      <c r="CS131" s="628"/>
      <c r="CT131" s="628"/>
      <c r="CU131" s="628"/>
      <c r="CV131" s="628"/>
      <c r="CW131" s="628"/>
      <c r="CX131" s="628"/>
      <c r="CY131" s="628"/>
      <c r="CZ131" s="628"/>
      <c r="DA131" s="628"/>
      <c r="DB131" s="628"/>
      <c r="DC131" s="628"/>
      <c r="DD131" s="628"/>
      <c r="DE131" s="628"/>
      <c r="DF131" s="628"/>
      <c r="DG131" s="628"/>
      <c r="DH131" s="628"/>
    </row>
    <row r="132" spans="1:112" ht="15.75" customHeight="1">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468"/>
      <c r="CQ132" s="2"/>
      <c r="CR132" s="628"/>
      <c r="CS132" s="628"/>
      <c r="CT132" s="628"/>
      <c r="CU132" s="628"/>
      <c r="CV132" s="628"/>
      <c r="CW132" s="628"/>
      <c r="CX132" s="628"/>
      <c r="CY132" s="628"/>
      <c r="CZ132" s="628"/>
      <c r="DA132" s="628"/>
      <c r="DB132" s="628"/>
      <c r="DC132" s="628"/>
      <c r="DD132" s="628"/>
      <c r="DE132" s="628"/>
      <c r="DF132" s="628"/>
      <c r="DG132" s="628"/>
      <c r="DH132" s="628"/>
    </row>
    <row r="133" spans="1:112" ht="15.75" customHeight="1">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468"/>
      <c r="CQ133" s="2"/>
      <c r="CR133" s="628"/>
      <c r="CS133" s="628"/>
      <c r="CT133" s="628"/>
      <c r="CU133" s="628"/>
      <c r="CV133" s="628"/>
      <c r="CW133" s="628"/>
      <c r="CX133" s="628"/>
      <c r="CY133" s="628"/>
      <c r="CZ133" s="628"/>
      <c r="DA133" s="628"/>
      <c r="DB133" s="628"/>
      <c r="DC133" s="628"/>
      <c r="DD133" s="628"/>
      <c r="DE133" s="628"/>
      <c r="DF133" s="628"/>
      <c r="DG133" s="628"/>
      <c r="DH133" s="628"/>
    </row>
    <row r="134" spans="1:112" ht="15.75" customHeight="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468"/>
      <c r="CQ134" s="2"/>
      <c r="CR134" s="628"/>
      <c r="CS134" s="628"/>
      <c r="CT134" s="628"/>
      <c r="CU134" s="628"/>
      <c r="CV134" s="628"/>
      <c r="CW134" s="628"/>
      <c r="CX134" s="628"/>
      <c r="CY134" s="628"/>
      <c r="CZ134" s="628"/>
      <c r="DA134" s="628"/>
      <c r="DB134" s="628"/>
      <c r="DC134" s="628"/>
      <c r="DD134" s="628"/>
      <c r="DE134" s="628"/>
      <c r="DF134" s="628"/>
      <c r="DG134" s="628"/>
      <c r="DH134" s="628"/>
    </row>
    <row r="135" spans="1:112" ht="15.75" customHeight="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468"/>
      <c r="CQ135" s="2"/>
      <c r="CR135" s="628"/>
      <c r="CS135" s="628"/>
      <c r="CT135" s="628"/>
      <c r="CU135" s="628"/>
      <c r="CV135" s="628"/>
      <c r="CW135" s="628"/>
      <c r="CX135" s="628"/>
      <c r="CY135" s="628"/>
      <c r="CZ135" s="628"/>
      <c r="DA135" s="628"/>
      <c r="DB135" s="628"/>
      <c r="DC135" s="628"/>
      <c r="DD135" s="628"/>
      <c r="DE135" s="628"/>
      <c r="DF135" s="628"/>
      <c r="DG135" s="628"/>
      <c r="DH135" s="628"/>
    </row>
    <row r="136" spans="1:112" ht="15.75" customHeight="1">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468"/>
      <c r="CQ136" s="2"/>
      <c r="CR136" s="628"/>
      <c r="CS136" s="628"/>
      <c r="CT136" s="628"/>
      <c r="CU136" s="628"/>
      <c r="CV136" s="628"/>
      <c r="CW136" s="628"/>
      <c r="CX136" s="628"/>
      <c r="CY136" s="628"/>
      <c r="CZ136" s="628"/>
      <c r="DA136" s="628"/>
      <c r="DB136" s="628"/>
      <c r="DC136" s="628"/>
      <c r="DD136" s="628"/>
      <c r="DE136" s="628"/>
      <c r="DF136" s="628"/>
      <c r="DG136" s="628"/>
      <c r="DH136" s="628"/>
    </row>
    <row r="137" spans="1:112" ht="15.75" customHeight="1">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468"/>
      <c r="CQ137" s="2"/>
      <c r="CR137" s="628"/>
      <c r="CS137" s="628"/>
      <c r="CT137" s="628"/>
      <c r="CU137" s="628"/>
      <c r="CV137" s="628"/>
      <c r="CW137" s="628"/>
      <c r="CX137" s="628"/>
      <c r="CY137" s="628"/>
      <c r="CZ137" s="628"/>
      <c r="DA137" s="628"/>
      <c r="DB137" s="628"/>
      <c r="DC137" s="628"/>
      <c r="DD137" s="628"/>
      <c r="DE137" s="628"/>
      <c r="DF137" s="628"/>
      <c r="DG137" s="628"/>
      <c r="DH137" s="628"/>
    </row>
    <row r="138" spans="1:112" ht="15.75" customHeight="1">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468"/>
      <c r="CQ138" s="2"/>
      <c r="CR138" s="628"/>
      <c r="CS138" s="628"/>
      <c r="CT138" s="628"/>
      <c r="CU138" s="628"/>
      <c r="CV138" s="628"/>
      <c r="CW138" s="628"/>
      <c r="CX138" s="628"/>
      <c r="CY138" s="628"/>
      <c r="CZ138" s="628"/>
      <c r="DA138" s="628"/>
      <c r="DB138" s="628"/>
      <c r="DC138" s="628"/>
      <c r="DD138" s="628"/>
      <c r="DE138" s="628"/>
      <c r="DF138" s="628"/>
      <c r="DG138" s="628"/>
      <c r="DH138" s="628"/>
    </row>
    <row r="139" spans="1:112" ht="15.75" customHeight="1">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468"/>
      <c r="CQ139" s="2"/>
      <c r="CR139" s="628"/>
      <c r="CS139" s="628"/>
      <c r="CT139" s="628"/>
      <c r="CU139" s="628"/>
      <c r="CV139" s="628"/>
      <c r="CW139" s="628"/>
      <c r="CX139" s="628"/>
      <c r="CY139" s="628"/>
      <c r="CZ139" s="628"/>
      <c r="DA139" s="628"/>
      <c r="DB139" s="628"/>
      <c r="DC139" s="628"/>
      <c r="DD139" s="628"/>
      <c r="DE139" s="628"/>
      <c r="DF139" s="628"/>
      <c r="DG139" s="628"/>
      <c r="DH139" s="628"/>
    </row>
    <row r="140" spans="1:112" ht="15.75" customHeight="1">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468"/>
      <c r="CQ140" s="2"/>
      <c r="CR140" s="628"/>
      <c r="CS140" s="628"/>
      <c r="CT140" s="628"/>
      <c r="CU140" s="628"/>
      <c r="CV140" s="628"/>
      <c r="CW140" s="628"/>
      <c r="CX140" s="628"/>
      <c r="CY140" s="628"/>
      <c r="CZ140" s="628"/>
      <c r="DA140" s="628"/>
      <c r="DB140" s="628"/>
      <c r="DC140" s="628"/>
      <c r="DD140" s="628"/>
      <c r="DE140" s="628"/>
      <c r="DF140" s="628"/>
      <c r="DG140" s="628"/>
      <c r="DH140" s="628"/>
    </row>
    <row r="141" spans="1:112" ht="15.75" customHeight="1">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468"/>
      <c r="CQ141" s="2"/>
      <c r="CR141" s="628"/>
      <c r="CS141" s="628"/>
      <c r="CT141" s="628"/>
      <c r="CU141" s="628"/>
      <c r="CV141" s="628"/>
      <c r="CW141" s="628"/>
      <c r="CX141" s="628"/>
      <c r="CY141" s="628"/>
      <c r="CZ141" s="628"/>
      <c r="DA141" s="628"/>
      <c r="DB141" s="628"/>
      <c r="DC141" s="628"/>
      <c r="DD141" s="628"/>
      <c r="DE141" s="628"/>
      <c r="DF141" s="628"/>
      <c r="DG141" s="628"/>
      <c r="DH141" s="628"/>
    </row>
    <row r="142" spans="1:112" ht="15.75" customHeight="1">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468"/>
      <c r="CQ142" s="2"/>
      <c r="CR142" s="628"/>
      <c r="CS142" s="628"/>
      <c r="CT142" s="628"/>
      <c r="CU142" s="628"/>
      <c r="CV142" s="628"/>
      <c r="CW142" s="628"/>
      <c r="CX142" s="628"/>
      <c r="CY142" s="628"/>
      <c r="CZ142" s="628"/>
      <c r="DA142" s="628"/>
      <c r="DB142" s="628"/>
      <c r="DC142" s="628"/>
      <c r="DD142" s="628"/>
      <c r="DE142" s="628"/>
      <c r="DF142" s="628"/>
      <c r="DG142" s="628"/>
      <c r="DH142" s="628"/>
    </row>
    <row r="143" spans="1:112" ht="15.75" customHeight="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468"/>
      <c r="CQ143" s="2"/>
      <c r="CR143" s="628"/>
      <c r="CS143" s="628"/>
      <c r="CT143" s="628"/>
      <c r="CU143" s="628"/>
      <c r="CV143" s="628"/>
      <c r="CW143" s="628"/>
      <c r="CX143" s="628"/>
      <c r="CY143" s="628"/>
      <c r="CZ143" s="628"/>
      <c r="DA143" s="628"/>
      <c r="DB143" s="628"/>
      <c r="DC143" s="628"/>
      <c r="DD143" s="628"/>
      <c r="DE143" s="628"/>
      <c r="DF143" s="628"/>
      <c r="DG143" s="628"/>
      <c r="DH143" s="628"/>
    </row>
    <row r="144" spans="1:112" ht="15.75" customHeight="1">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468"/>
      <c r="CQ144" s="2"/>
      <c r="CR144" s="628"/>
      <c r="CS144" s="628"/>
      <c r="CT144" s="628"/>
      <c r="CU144" s="628"/>
      <c r="CV144" s="628"/>
      <c r="CW144" s="628"/>
      <c r="CX144" s="628"/>
      <c r="CY144" s="628"/>
      <c r="CZ144" s="628"/>
      <c r="DA144" s="628"/>
      <c r="DB144" s="628"/>
      <c r="DC144" s="628"/>
      <c r="DD144" s="628"/>
      <c r="DE144" s="628"/>
      <c r="DF144" s="628"/>
      <c r="DG144" s="628"/>
      <c r="DH144" s="628"/>
    </row>
    <row r="145" spans="1:112" ht="15.75" customHeight="1">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468"/>
      <c r="CQ145" s="2"/>
      <c r="CR145" s="628"/>
      <c r="CS145" s="628"/>
      <c r="CT145" s="628"/>
      <c r="CU145" s="628"/>
      <c r="CV145" s="628"/>
      <c r="CW145" s="628"/>
      <c r="CX145" s="628"/>
      <c r="CY145" s="628"/>
      <c r="CZ145" s="628"/>
      <c r="DA145" s="628"/>
      <c r="DB145" s="628"/>
      <c r="DC145" s="628"/>
      <c r="DD145" s="628"/>
      <c r="DE145" s="628"/>
      <c r="DF145" s="628"/>
      <c r="DG145" s="628"/>
      <c r="DH145" s="628"/>
    </row>
    <row r="146" spans="1:112" ht="15.75" customHeight="1">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468"/>
      <c r="CQ146" s="2"/>
      <c r="CR146" s="628"/>
      <c r="CS146" s="628"/>
      <c r="CT146" s="628"/>
      <c r="CU146" s="628"/>
      <c r="CV146" s="628"/>
      <c r="CW146" s="628"/>
      <c r="CX146" s="628"/>
      <c r="CY146" s="628"/>
      <c r="CZ146" s="628"/>
      <c r="DA146" s="628"/>
      <c r="DB146" s="628"/>
      <c r="DC146" s="628"/>
      <c r="DD146" s="628"/>
      <c r="DE146" s="628"/>
      <c r="DF146" s="628"/>
      <c r="DG146" s="628"/>
      <c r="DH146" s="628"/>
    </row>
    <row r="147" spans="1:112" ht="15.75" customHeight="1">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468"/>
      <c r="CQ147" s="2"/>
      <c r="CR147" s="628"/>
      <c r="CS147" s="628"/>
      <c r="CT147" s="628"/>
      <c r="CU147" s="628"/>
      <c r="CV147" s="628"/>
      <c r="CW147" s="628"/>
      <c r="CX147" s="628"/>
      <c r="CY147" s="628"/>
      <c r="CZ147" s="628"/>
      <c r="DA147" s="628"/>
      <c r="DB147" s="628"/>
      <c r="DC147" s="628"/>
      <c r="DD147" s="628"/>
      <c r="DE147" s="628"/>
      <c r="DF147" s="628"/>
      <c r="DG147" s="628"/>
      <c r="DH147" s="628"/>
    </row>
    <row r="148" spans="1:112" ht="15.75" customHeight="1">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468"/>
      <c r="CQ148" s="2"/>
      <c r="CR148" s="628"/>
      <c r="CS148" s="628"/>
      <c r="CT148" s="628"/>
      <c r="CU148" s="628"/>
      <c r="CV148" s="628"/>
      <c r="CW148" s="628"/>
      <c r="CX148" s="628"/>
      <c r="CY148" s="628"/>
      <c r="CZ148" s="628"/>
      <c r="DA148" s="628"/>
      <c r="DB148" s="628"/>
      <c r="DC148" s="628"/>
      <c r="DD148" s="628"/>
      <c r="DE148" s="628"/>
      <c r="DF148" s="628"/>
      <c r="DG148" s="628"/>
      <c r="DH148" s="628"/>
    </row>
    <row r="149" spans="1:112" ht="15.75" customHeight="1">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468"/>
      <c r="CQ149" s="2"/>
      <c r="CR149" s="628"/>
      <c r="CS149" s="628"/>
      <c r="CT149" s="628"/>
      <c r="CU149" s="628"/>
      <c r="CV149" s="628"/>
      <c r="CW149" s="628"/>
      <c r="CX149" s="628"/>
      <c r="CY149" s="628"/>
      <c r="CZ149" s="628"/>
      <c r="DA149" s="628"/>
      <c r="DB149" s="628"/>
      <c r="DC149" s="628"/>
      <c r="DD149" s="628"/>
      <c r="DE149" s="628"/>
      <c r="DF149" s="628"/>
      <c r="DG149" s="628"/>
      <c r="DH149" s="628"/>
    </row>
    <row r="150" spans="1:112" ht="15.75" customHeight="1">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468"/>
      <c r="CQ150" s="2"/>
      <c r="CR150" s="628"/>
      <c r="CS150" s="628"/>
      <c r="CT150" s="628"/>
      <c r="CU150" s="628"/>
      <c r="CV150" s="628"/>
      <c r="CW150" s="628"/>
      <c r="CX150" s="628"/>
      <c r="CY150" s="628"/>
      <c r="CZ150" s="628"/>
      <c r="DA150" s="628"/>
      <c r="DB150" s="628"/>
      <c r="DC150" s="628"/>
      <c r="DD150" s="628"/>
      <c r="DE150" s="628"/>
      <c r="DF150" s="628"/>
      <c r="DG150" s="628"/>
      <c r="DH150" s="628"/>
    </row>
    <row r="151" spans="1:112" ht="15.75" customHeight="1">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468"/>
      <c r="CQ151" s="2"/>
      <c r="CR151" s="628"/>
      <c r="CS151" s="628"/>
      <c r="CT151" s="628"/>
      <c r="CU151" s="628"/>
      <c r="CV151" s="628"/>
      <c r="CW151" s="628"/>
      <c r="CX151" s="628"/>
      <c r="CY151" s="628"/>
      <c r="CZ151" s="628"/>
      <c r="DA151" s="628"/>
      <c r="DB151" s="628"/>
      <c r="DC151" s="628"/>
      <c r="DD151" s="628"/>
      <c r="DE151" s="628"/>
      <c r="DF151" s="628"/>
      <c r="DG151" s="628"/>
      <c r="DH151" s="628"/>
    </row>
    <row r="152" spans="1:112" ht="15.75" customHeight="1">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468"/>
      <c r="CQ152" s="2"/>
      <c r="CR152" s="628"/>
      <c r="CS152" s="628"/>
      <c r="CT152" s="628"/>
      <c r="CU152" s="628"/>
      <c r="CV152" s="628"/>
      <c r="CW152" s="628"/>
      <c r="CX152" s="628"/>
      <c r="CY152" s="628"/>
      <c r="CZ152" s="628"/>
      <c r="DA152" s="628"/>
      <c r="DB152" s="628"/>
      <c r="DC152" s="628"/>
      <c r="DD152" s="628"/>
      <c r="DE152" s="628"/>
      <c r="DF152" s="628"/>
      <c r="DG152" s="628"/>
      <c r="DH152" s="628"/>
    </row>
    <row r="153" spans="1:112" ht="15.75" customHeight="1">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468"/>
      <c r="CQ153" s="2"/>
      <c r="CR153" s="628"/>
      <c r="CS153" s="628"/>
      <c r="CT153" s="628"/>
      <c r="CU153" s="628"/>
      <c r="CV153" s="628"/>
      <c r="CW153" s="628"/>
      <c r="CX153" s="628"/>
      <c r="CY153" s="628"/>
      <c r="CZ153" s="628"/>
      <c r="DA153" s="628"/>
      <c r="DB153" s="628"/>
      <c r="DC153" s="628"/>
      <c r="DD153" s="628"/>
      <c r="DE153" s="628"/>
      <c r="DF153" s="628"/>
      <c r="DG153" s="628"/>
      <c r="DH153" s="628"/>
    </row>
    <row r="154" spans="1:112" ht="15.75" customHeight="1">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468"/>
      <c r="CQ154" s="2"/>
      <c r="CR154" s="628"/>
      <c r="CS154" s="628"/>
      <c r="CT154" s="628"/>
      <c r="CU154" s="628"/>
      <c r="CV154" s="628"/>
      <c r="CW154" s="628"/>
      <c r="CX154" s="628"/>
      <c r="CY154" s="628"/>
      <c r="CZ154" s="628"/>
      <c r="DA154" s="628"/>
      <c r="DB154" s="628"/>
      <c r="DC154" s="628"/>
      <c r="DD154" s="628"/>
      <c r="DE154" s="628"/>
      <c r="DF154" s="628"/>
      <c r="DG154" s="628"/>
      <c r="DH154" s="628"/>
    </row>
    <row r="155" spans="1:112" ht="15.75" customHeight="1">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468"/>
      <c r="CQ155" s="2"/>
      <c r="CR155" s="628"/>
      <c r="CS155" s="628"/>
      <c r="CT155" s="628"/>
      <c r="CU155" s="628"/>
      <c r="CV155" s="628"/>
      <c r="CW155" s="628"/>
      <c r="CX155" s="628"/>
      <c r="CY155" s="628"/>
      <c r="CZ155" s="628"/>
      <c r="DA155" s="628"/>
      <c r="DB155" s="628"/>
      <c r="DC155" s="628"/>
      <c r="DD155" s="628"/>
      <c r="DE155" s="628"/>
      <c r="DF155" s="628"/>
      <c r="DG155" s="628"/>
      <c r="DH155" s="628"/>
    </row>
    <row r="156" spans="1:112" ht="15.75" customHeight="1">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468"/>
      <c r="CQ156" s="2"/>
      <c r="CR156" s="628"/>
      <c r="CS156" s="628"/>
      <c r="CT156" s="628"/>
      <c r="CU156" s="628"/>
      <c r="CV156" s="628"/>
      <c r="CW156" s="628"/>
      <c r="CX156" s="628"/>
      <c r="CY156" s="628"/>
      <c r="CZ156" s="628"/>
      <c r="DA156" s="628"/>
      <c r="DB156" s="628"/>
      <c r="DC156" s="628"/>
      <c r="DD156" s="628"/>
      <c r="DE156" s="628"/>
      <c r="DF156" s="628"/>
      <c r="DG156" s="628"/>
      <c r="DH156" s="628"/>
    </row>
    <row r="157" spans="1:112" ht="15.75" customHeight="1">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468"/>
      <c r="CQ157" s="2"/>
      <c r="CR157" s="628"/>
      <c r="CS157" s="628"/>
      <c r="CT157" s="628"/>
      <c r="CU157" s="628"/>
      <c r="CV157" s="628"/>
      <c r="CW157" s="628"/>
      <c r="CX157" s="628"/>
      <c r="CY157" s="628"/>
      <c r="CZ157" s="628"/>
      <c r="DA157" s="628"/>
      <c r="DB157" s="628"/>
      <c r="DC157" s="628"/>
      <c r="DD157" s="628"/>
      <c r="DE157" s="628"/>
      <c r="DF157" s="628"/>
      <c r="DG157" s="628"/>
      <c r="DH157" s="628"/>
    </row>
    <row r="158" spans="1:112" ht="15.75" customHeight="1">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468"/>
      <c r="CQ158" s="2"/>
      <c r="CR158" s="628"/>
      <c r="CS158" s="628"/>
      <c r="CT158" s="628"/>
      <c r="CU158" s="628"/>
      <c r="CV158" s="628"/>
      <c r="CW158" s="628"/>
      <c r="CX158" s="628"/>
      <c r="CY158" s="628"/>
      <c r="CZ158" s="628"/>
      <c r="DA158" s="628"/>
      <c r="DB158" s="628"/>
      <c r="DC158" s="628"/>
      <c r="DD158" s="628"/>
      <c r="DE158" s="628"/>
      <c r="DF158" s="628"/>
      <c r="DG158" s="628"/>
      <c r="DH158" s="628"/>
    </row>
    <row r="159" spans="1:112" ht="15.75" customHeight="1">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468"/>
      <c r="CQ159" s="2"/>
      <c r="CR159" s="628"/>
      <c r="CS159" s="628"/>
      <c r="CT159" s="628"/>
      <c r="CU159" s="628"/>
      <c r="CV159" s="628"/>
      <c r="CW159" s="628"/>
      <c r="CX159" s="628"/>
      <c r="CY159" s="628"/>
      <c r="CZ159" s="628"/>
      <c r="DA159" s="628"/>
      <c r="DB159" s="628"/>
      <c r="DC159" s="628"/>
      <c r="DD159" s="628"/>
      <c r="DE159" s="628"/>
      <c r="DF159" s="628"/>
      <c r="DG159" s="628"/>
      <c r="DH159" s="628"/>
    </row>
    <row r="160" spans="1:112" ht="15.75" customHeight="1">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468"/>
      <c r="CQ160" s="2"/>
      <c r="CR160" s="628"/>
      <c r="CS160" s="628"/>
      <c r="CT160" s="628"/>
      <c r="CU160" s="628"/>
      <c r="CV160" s="628"/>
      <c r="CW160" s="628"/>
      <c r="CX160" s="628"/>
      <c r="CY160" s="628"/>
      <c r="CZ160" s="628"/>
      <c r="DA160" s="628"/>
      <c r="DB160" s="628"/>
      <c r="DC160" s="628"/>
      <c r="DD160" s="628"/>
      <c r="DE160" s="628"/>
      <c r="DF160" s="628"/>
      <c r="DG160" s="628"/>
      <c r="DH160" s="628"/>
    </row>
    <row r="161" spans="1:112" ht="15.75" customHeight="1">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468"/>
      <c r="CQ161" s="2"/>
      <c r="CR161" s="628"/>
      <c r="CS161" s="628"/>
      <c r="CT161" s="628"/>
      <c r="CU161" s="628"/>
      <c r="CV161" s="628"/>
      <c r="CW161" s="628"/>
      <c r="CX161" s="628"/>
      <c r="CY161" s="628"/>
      <c r="CZ161" s="628"/>
      <c r="DA161" s="628"/>
      <c r="DB161" s="628"/>
      <c r="DC161" s="628"/>
      <c r="DD161" s="628"/>
      <c r="DE161" s="628"/>
      <c r="DF161" s="628"/>
      <c r="DG161" s="628"/>
      <c r="DH161" s="628"/>
    </row>
    <row r="162" spans="1:112" ht="15.75" customHeight="1">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468"/>
      <c r="CQ162" s="2"/>
      <c r="CR162" s="628"/>
      <c r="CS162" s="628"/>
      <c r="CT162" s="628"/>
      <c r="CU162" s="628"/>
      <c r="CV162" s="628"/>
      <c r="CW162" s="628"/>
      <c r="CX162" s="628"/>
      <c r="CY162" s="628"/>
      <c r="CZ162" s="628"/>
      <c r="DA162" s="628"/>
      <c r="DB162" s="628"/>
      <c r="DC162" s="628"/>
      <c r="DD162" s="628"/>
      <c r="DE162" s="628"/>
      <c r="DF162" s="628"/>
      <c r="DG162" s="628"/>
      <c r="DH162" s="628"/>
    </row>
    <row r="163" spans="1:112" ht="15.75" customHeight="1">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468"/>
      <c r="CQ163" s="2"/>
      <c r="CR163" s="628"/>
      <c r="CS163" s="628"/>
      <c r="CT163" s="628"/>
      <c r="CU163" s="628"/>
      <c r="CV163" s="628"/>
      <c r="CW163" s="628"/>
      <c r="CX163" s="628"/>
      <c r="CY163" s="628"/>
      <c r="CZ163" s="628"/>
      <c r="DA163" s="628"/>
      <c r="DB163" s="628"/>
      <c r="DC163" s="628"/>
      <c r="DD163" s="628"/>
      <c r="DE163" s="628"/>
      <c r="DF163" s="628"/>
      <c r="DG163" s="628"/>
      <c r="DH163" s="628"/>
    </row>
    <row r="164" spans="1:112" ht="15.75" customHeight="1">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468"/>
      <c r="CQ164" s="2"/>
      <c r="CR164" s="628"/>
      <c r="CS164" s="628"/>
      <c r="CT164" s="628"/>
      <c r="CU164" s="628"/>
      <c r="CV164" s="628"/>
      <c r="CW164" s="628"/>
      <c r="CX164" s="628"/>
      <c r="CY164" s="628"/>
      <c r="CZ164" s="628"/>
      <c r="DA164" s="628"/>
      <c r="DB164" s="628"/>
      <c r="DC164" s="628"/>
      <c r="DD164" s="628"/>
      <c r="DE164" s="628"/>
      <c r="DF164" s="628"/>
      <c r="DG164" s="628"/>
      <c r="DH164" s="628"/>
    </row>
    <row r="165" spans="1:112" ht="15.75" customHeight="1">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468"/>
      <c r="CQ165" s="2"/>
      <c r="CR165" s="628"/>
      <c r="CS165" s="628"/>
      <c r="CT165" s="628"/>
      <c r="CU165" s="628"/>
      <c r="CV165" s="628"/>
      <c r="CW165" s="628"/>
      <c r="CX165" s="628"/>
      <c r="CY165" s="628"/>
      <c r="CZ165" s="628"/>
      <c r="DA165" s="628"/>
      <c r="DB165" s="628"/>
      <c r="DC165" s="628"/>
      <c r="DD165" s="628"/>
      <c r="DE165" s="628"/>
      <c r="DF165" s="628"/>
      <c r="DG165" s="628"/>
      <c r="DH165" s="628"/>
    </row>
    <row r="166" spans="1:112" ht="15.75" customHeight="1">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468"/>
      <c r="CQ166" s="2"/>
      <c r="CR166" s="628"/>
      <c r="CS166" s="628"/>
      <c r="CT166" s="628"/>
      <c r="CU166" s="628"/>
      <c r="CV166" s="628"/>
      <c r="CW166" s="628"/>
      <c r="CX166" s="628"/>
      <c r="CY166" s="628"/>
      <c r="CZ166" s="628"/>
      <c r="DA166" s="628"/>
      <c r="DB166" s="628"/>
      <c r="DC166" s="628"/>
      <c r="DD166" s="628"/>
      <c r="DE166" s="628"/>
      <c r="DF166" s="628"/>
      <c r="DG166" s="628"/>
      <c r="DH166" s="628"/>
    </row>
    <row r="167" spans="1:112" ht="15.75" customHeight="1">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468"/>
      <c r="CQ167" s="2"/>
      <c r="CR167" s="628"/>
      <c r="CS167" s="628"/>
      <c r="CT167" s="628"/>
      <c r="CU167" s="628"/>
      <c r="CV167" s="628"/>
      <c r="CW167" s="628"/>
      <c r="CX167" s="628"/>
      <c r="CY167" s="628"/>
      <c r="CZ167" s="628"/>
      <c r="DA167" s="628"/>
      <c r="DB167" s="628"/>
      <c r="DC167" s="628"/>
      <c r="DD167" s="628"/>
      <c r="DE167" s="628"/>
      <c r="DF167" s="628"/>
      <c r="DG167" s="628"/>
      <c r="DH167" s="628"/>
    </row>
    <row r="168" spans="1:112" ht="15.75" customHeight="1">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468"/>
      <c r="CQ168" s="2"/>
      <c r="CR168" s="628"/>
      <c r="CS168" s="628"/>
      <c r="CT168" s="628"/>
      <c r="CU168" s="628"/>
      <c r="CV168" s="628"/>
      <c r="CW168" s="628"/>
      <c r="CX168" s="628"/>
      <c r="CY168" s="628"/>
      <c r="CZ168" s="628"/>
      <c r="DA168" s="628"/>
      <c r="DB168" s="628"/>
      <c r="DC168" s="628"/>
      <c r="DD168" s="628"/>
      <c r="DE168" s="628"/>
      <c r="DF168" s="628"/>
      <c r="DG168" s="628"/>
      <c r="DH168" s="628"/>
    </row>
    <row r="169" spans="1:112" ht="15.75" customHeight="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468"/>
      <c r="CQ169" s="2"/>
      <c r="CR169" s="628"/>
      <c r="CS169" s="628"/>
      <c r="CT169" s="628"/>
      <c r="CU169" s="628"/>
      <c r="CV169" s="628"/>
      <c r="CW169" s="628"/>
      <c r="CX169" s="628"/>
      <c r="CY169" s="628"/>
      <c r="CZ169" s="628"/>
      <c r="DA169" s="628"/>
      <c r="DB169" s="628"/>
      <c r="DC169" s="628"/>
      <c r="DD169" s="628"/>
      <c r="DE169" s="628"/>
      <c r="DF169" s="628"/>
      <c r="DG169" s="628"/>
      <c r="DH169" s="628"/>
    </row>
    <row r="170" spans="1:112" ht="15.75" customHeight="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468"/>
      <c r="CQ170" s="2"/>
      <c r="CR170" s="628"/>
      <c r="CS170" s="628"/>
      <c r="CT170" s="628"/>
      <c r="CU170" s="628"/>
      <c r="CV170" s="628"/>
      <c r="CW170" s="628"/>
      <c r="CX170" s="628"/>
      <c r="CY170" s="628"/>
      <c r="CZ170" s="628"/>
      <c r="DA170" s="628"/>
      <c r="DB170" s="628"/>
      <c r="DC170" s="628"/>
      <c r="DD170" s="628"/>
      <c r="DE170" s="628"/>
      <c r="DF170" s="628"/>
      <c r="DG170" s="628"/>
      <c r="DH170" s="628"/>
    </row>
    <row r="171" spans="1:112" ht="15.75" customHeight="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468"/>
      <c r="CQ171" s="2"/>
      <c r="CR171" s="628"/>
      <c r="CS171" s="628"/>
      <c r="CT171" s="628"/>
      <c r="CU171" s="628"/>
      <c r="CV171" s="628"/>
      <c r="CW171" s="628"/>
      <c r="CX171" s="628"/>
      <c r="CY171" s="628"/>
      <c r="CZ171" s="628"/>
      <c r="DA171" s="628"/>
      <c r="DB171" s="628"/>
      <c r="DC171" s="628"/>
      <c r="DD171" s="628"/>
      <c r="DE171" s="628"/>
      <c r="DF171" s="628"/>
      <c r="DG171" s="628"/>
      <c r="DH171" s="628"/>
    </row>
    <row r="172" spans="1:112" ht="15.75" customHeight="1">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468"/>
      <c r="CQ172" s="2"/>
      <c r="CR172" s="628"/>
      <c r="CS172" s="628"/>
      <c r="CT172" s="628"/>
      <c r="CU172" s="628"/>
      <c r="CV172" s="628"/>
      <c r="CW172" s="628"/>
      <c r="CX172" s="628"/>
      <c r="CY172" s="628"/>
      <c r="CZ172" s="628"/>
      <c r="DA172" s="628"/>
      <c r="DB172" s="628"/>
      <c r="DC172" s="628"/>
      <c r="DD172" s="628"/>
      <c r="DE172" s="628"/>
      <c r="DF172" s="628"/>
      <c r="DG172" s="628"/>
      <c r="DH172" s="628"/>
    </row>
    <row r="173" spans="1:112" ht="15.75" customHeight="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468"/>
      <c r="CQ173" s="2"/>
      <c r="CR173" s="628"/>
      <c r="CS173" s="628"/>
      <c r="CT173" s="628"/>
      <c r="CU173" s="628"/>
      <c r="CV173" s="628"/>
      <c r="CW173" s="628"/>
      <c r="CX173" s="628"/>
      <c r="CY173" s="628"/>
      <c r="CZ173" s="628"/>
      <c r="DA173" s="628"/>
      <c r="DB173" s="628"/>
      <c r="DC173" s="628"/>
      <c r="DD173" s="628"/>
      <c r="DE173" s="628"/>
      <c r="DF173" s="628"/>
      <c r="DG173" s="628"/>
      <c r="DH173" s="628"/>
    </row>
    <row r="174" spans="1:112" ht="15.75" customHeight="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468"/>
      <c r="CQ174" s="2"/>
      <c r="CR174" s="628"/>
      <c r="CS174" s="628"/>
      <c r="CT174" s="628"/>
      <c r="CU174" s="628"/>
      <c r="CV174" s="628"/>
      <c r="CW174" s="628"/>
      <c r="CX174" s="628"/>
      <c r="CY174" s="628"/>
      <c r="CZ174" s="628"/>
      <c r="DA174" s="628"/>
      <c r="DB174" s="628"/>
      <c r="DC174" s="628"/>
      <c r="DD174" s="628"/>
      <c r="DE174" s="628"/>
      <c r="DF174" s="628"/>
      <c r="DG174" s="628"/>
      <c r="DH174" s="628"/>
    </row>
    <row r="175" spans="1:112" ht="15.75" customHeight="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468"/>
      <c r="CQ175" s="2"/>
      <c r="CR175" s="628"/>
      <c r="CS175" s="628"/>
      <c r="CT175" s="628"/>
      <c r="CU175" s="628"/>
      <c r="CV175" s="628"/>
      <c r="CW175" s="628"/>
      <c r="CX175" s="628"/>
      <c r="CY175" s="628"/>
      <c r="CZ175" s="628"/>
      <c r="DA175" s="628"/>
      <c r="DB175" s="628"/>
      <c r="DC175" s="628"/>
      <c r="DD175" s="628"/>
      <c r="DE175" s="628"/>
      <c r="DF175" s="628"/>
      <c r="DG175" s="628"/>
      <c r="DH175" s="628"/>
    </row>
    <row r="176" spans="1:112" ht="15.75" customHeight="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468"/>
      <c r="CQ176" s="2"/>
      <c r="CR176" s="628"/>
      <c r="CS176" s="628"/>
      <c r="CT176" s="628"/>
      <c r="CU176" s="628"/>
      <c r="CV176" s="628"/>
      <c r="CW176" s="628"/>
      <c r="CX176" s="628"/>
      <c r="CY176" s="628"/>
      <c r="CZ176" s="628"/>
      <c r="DA176" s="628"/>
      <c r="DB176" s="628"/>
      <c r="DC176" s="628"/>
      <c r="DD176" s="628"/>
      <c r="DE176" s="628"/>
      <c r="DF176" s="628"/>
      <c r="DG176" s="628"/>
      <c r="DH176" s="628"/>
    </row>
    <row r="177" spans="1:112" ht="15.75" customHeight="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468"/>
      <c r="CQ177" s="2"/>
      <c r="CR177" s="628"/>
      <c r="CS177" s="628"/>
      <c r="CT177" s="628"/>
      <c r="CU177" s="628"/>
      <c r="CV177" s="628"/>
      <c r="CW177" s="628"/>
      <c r="CX177" s="628"/>
      <c r="CY177" s="628"/>
      <c r="CZ177" s="628"/>
      <c r="DA177" s="628"/>
      <c r="DB177" s="628"/>
      <c r="DC177" s="628"/>
      <c r="DD177" s="628"/>
      <c r="DE177" s="628"/>
      <c r="DF177" s="628"/>
      <c r="DG177" s="628"/>
      <c r="DH177" s="628"/>
    </row>
    <row r="178" spans="1:112" ht="15.75" customHeight="1">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468"/>
      <c r="CQ178" s="2"/>
      <c r="CR178" s="628"/>
      <c r="CS178" s="628"/>
      <c r="CT178" s="628"/>
      <c r="CU178" s="628"/>
      <c r="CV178" s="628"/>
      <c r="CW178" s="628"/>
      <c r="CX178" s="628"/>
      <c r="CY178" s="628"/>
      <c r="CZ178" s="628"/>
      <c r="DA178" s="628"/>
      <c r="DB178" s="628"/>
      <c r="DC178" s="628"/>
      <c r="DD178" s="628"/>
      <c r="DE178" s="628"/>
      <c r="DF178" s="628"/>
      <c r="DG178" s="628"/>
      <c r="DH178" s="628"/>
    </row>
    <row r="179" spans="1:112" ht="15.75" customHeight="1">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468"/>
      <c r="CQ179" s="2"/>
      <c r="CR179" s="628"/>
      <c r="CS179" s="628"/>
      <c r="CT179" s="628"/>
      <c r="CU179" s="628"/>
      <c r="CV179" s="628"/>
      <c r="CW179" s="628"/>
      <c r="CX179" s="628"/>
      <c r="CY179" s="628"/>
      <c r="CZ179" s="628"/>
      <c r="DA179" s="628"/>
      <c r="DB179" s="628"/>
      <c r="DC179" s="628"/>
      <c r="DD179" s="628"/>
      <c r="DE179" s="628"/>
      <c r="DF179" s="628"/>
      <c r="DG179" s="628"/>
      <c r="DH179" s="628"/>
    </row>
    <row r="180" spans="1:112" ht="15.75" customHeight="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468"/>
      <c r="CQ180" s="2"/>
      <c r="CR180" s="628"/>
      <c r="CS180" s="628"/>
      <c r="CT180" s="628"/>
      <c r="CU180" s="628"/>
      <c r="CV180" s="628"/>
      <c r="CW180" s="628"/>
      <c r="CX180" s="628"/>
      <c r="CY180" s="628"/>
      <c r="CZ180" s="628"/>
      <c r="DA180" s="628"/>
      <c r="DB180" s="628"/>
      <c r="DC180" s="628"/>
      <c r="DD180" s="628"/>
      <c r="DE180" s="628"/>
      <c r="DF180" s="628"/>
      <c r="DG180" s="628"/>
      <c r="DH180" s="628"/>
    </row>
    <row r="181" spans="1:112" ht="15.75" customHeight="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468"/>
      <c r="CQ181" s="2"/>
      <c r="CR181" s="628"/>
      <c r="CS181" s="628"/>
      <c r="CT181" s="628"/>
      <c r="CU181" s="628"/>
      <c r="CV181" s="628"/>
      <c r="CW181" s="628"/>
      <c r="CX181" s="628"/>
      <c r="CY181" s="628"/>
      <c r="CZ181" s="628"/>
      <c r="DA181" s="628"/>
      <c r="DB181" s="628"/>
      <c r="DC181" s="628"/>
      <c r="DD181" s="628"/>
      <c r="DE181" s="628"/>
      <c r="DF181" s="628"/>
      <c r="DG181" s="628"/>
      <c r="DH181" s="628"/>
    </row>
    <row r="182" spans="1:112" ht="15.75" customHeight="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468"/>
      <c r="CQ182" s="2"/>
      <c r="CR182" s="628"/>
      <c r="CS182" s="628"/>
      <c r="CT182" s="628"/>
      <c r="CU182" s="628"/>
      <c r="CV182" s="628"/>
      <c r="CW182" s="628"/>
      <c r="CX182" s="628"/>
      <c r="CY182" s="628"/>
      <c r="CZ182" s="628"/>
      <c r="DA182" s="628"/>
      <c r="DB182" s="628"/>
      <c r="DC182" s="628"/>
      <c r="DD182" s="628"/>
      <c r="DE182" s="628"/>
      <c r="DF182" s="628"/>
      <c r="DG182" s="628"/>
      <c r="DH182" s="628"/>
    </row>
    <row r="183" spans="1:112" ht="15.75" customHeight="1">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468"/>
      <c r="CQ183" s="2"/>
      <c r="CR183" s="628"/>
      <c r="CS183" s="628"/>
      <c r="CT183" s="628"/>
      <c r="CU183" s="628"/>
      <c r="CV183" s="628"/>
      <c r="CW183" s="628"/>
      <c r="CX183" s="628"/>
      <c r="CY183" s="628"/>
      <c r="CZ183" s="628"/>
      <c r="DA183" s="628"/>
      <c r="DB183" s="628"/>
      <c r="DC183" s="628"/>
      <c r="DD183" s="628"/>
      <c r="DE183" s="628"/>
      <c r="DF183" s="628"/>
      <c r="DG183" s="628"/>
      <c r="DH183" s="628"/>
    </row>
    <row r="184" spans="1:112" ht="15.75" customHeight="1">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468"/>
      <c r="CQ184" s="2"/>
      <c r="CR184" s="628"/>
      <c r="CS184" s="628"/>
      <c r="CT184" s="628"/>
      <c r="CU184" s="628"/>
      <c r="CV184" s="628"/>
      <c r="CW184" s="628"/>
      <c r="CX184" s="628"/>
      <c r="CY184" s="628"/>
      <c r="CZ184" s="628"/>
      <c r="DA184" s="628"/>
      <c r="DB184" s="628"/>
      <c r="DC184" s="628"/>
      <c r="DD184" s="628"/>
      <c r="DE184" s="628"/>
      <c r="DF184" s="628"/>
      <c r="DG184" s="628"/>
      <c r="DH184" s="628"/>
    </row>
    <row r="185" spans="1:112" ht="15.75" customHeight="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468"/>
      <c r="CQ185" s="2"/>
      <c r="CR185" s="628"/>
      <c r="CS185" s="628"/>
      <c r="CT185" s="628"/>
      <c r="CU185" s="628"/>
      <c r="CV185" s="628"/>
      <c r="CW185" s="628"/>
      <c r="CX185" s="628"/>
      <c r="CY185" s="628"/>
      <c r="CZ185" s="628"/>
      <c r="DA185" s="628"/>
      <c r="DB185" s="628"/>
      <c r="DC185" s="628"/>
      <c r="DD185" s="628"/>
      <c r="DE185" s="628"/>
      <c r="DF185" s="628"/>
      <c r="DG185" s="628"/>
      <c r="DH185" s="628"/>
    </row>
    <row r="186" spans="1:112" ht="15.75" customHeight="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468"/>
      <c r="CQ186" s="2"/>
      <c r="CR186" s="628"/>
      <c r="CS186" s="628"/>
      <c r="CT186" s="628"/>
      <c r="CU186" s="628"/>
      <c r="CV186" s="628"/>
      <c r="CW186" s="628"/>
      <c r="CX186" s="628"/>
      <c r="CY186" s="628"/>
      <c r="CZ186" s="628"/>
      <c r="DA186" s="628"/>
      <c r="DB186" s="628"/>
      <c r="DC186" s="628"/>
      <c r="DD186" s="628"/>
      <c r="DE186" s="628"/>
      <c r="DF186" s="628"/>
      <c r="DG186" s="628"/>
      <c r="DH186" s="628"/>
    </row>
    <row r="187" spans="1:112" ht="15.75" customHeight="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468"/>
      <c r="CQ187" s="2"/>
      <c r="CR187" s="628"/>
      <c r="CS187" s="628"/>
      <c r="CT187" s="628"/>
      <c r="CU187" s="628"/>
      <c r="CV187" s="628"/>
      <c r="CW187" s="628"/>
      <c r="CX187" s="628"/>
      <c r="CY187" s="628"/>
      <c r="CZ187" s="628"/>
      <c r="DA187" s="628"/>
      <c r="DB187" s="628"/>
      <c r="DC187" s="628"/>
      <c r="DD187" s="628"/>
      <c r="DE187" s="628"/>
      <c r="DF187" s="628"/>
      <c r="DG187" s="628"/>
      <c r="DH187" s="628"/>
    </row>
    <row r="188" spans="1:112" ht="15.75" customHeight="1">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468"/>
      <c r="CQ188" s="2"/>
      <c r="CR188" s="628"/>
      <c r="CS188" s="628"/>
      <c r="CT188" s="628"/>
      <c r="CU188" s="628"/>
      <c r="CV188" s="628"/>
      <c r="CW188" s="628"/>
      <c r="CX188" s="628"/>
      <c r="CY188" s="628"/>
      <c r="CZ188" s="628"/>
      <c r="DA188" s="628"/>
      <c r="DB188" s="628"/>
      <c r="DC188" s="628"/>
      <c r="DD188" s="628"/>
      <c r="DE188" s="628"/>
      <c r="DF188" s="628"/>
      <c r="DG188" s="628"/>
      <c r="DH188" s="628"/>
    </row>
    <row r="189" spans="1:112" ht="15.75" customHeight="1">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468"/>
      <c r="CQ189" s="2"/>
      <c r="CR189" s="628"/>
      <c r="CS189" s="628"/>
      <c r="CT189" s="628"/>
      <c r="CU189" s="628"/>
      <c r="CV189" s="628"/>
      <c r="CW189" s="628"/>
      <c r="CX189" s="628"/>
      <c r="CY189" s="628"/>
      <c r="CZ189" s="628"/>
      <c r="DA189" s="628"/>
      <c r="DB189" s="628"/>
      <c r="DC189" s="628"/>
      <c r="DD189" s="628"/>
      <c r="DE189" s="628"/>
      <c r="DF189" s="628"/>
      <c r="DG189" s="628"/>
      <c r="DH189" s="628"/>
    </row>
    <row r="190" spans="1:112" ht="15.75" customHeight="1">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468"/>
      <c r="CQ190" s="2"/>
      <c r="CR190" s="628"/>
      <c r="CS190" s="628"/>
      <c r="CT190" s="628"/>
      <c r="CU190" s="628"/>
      <c r="CV190" s="628"/>
      <c r="CW190" s="628"/>
      <c r="CX190" s="628"/>
      <c r="CY190" s="628"/>
      <c r="CZ190" s="628"/>
      <c r="DA190" s="628"/>
      <c r="DB190" s="628"/>
      <c r="DC190" s="628"/>
      <c r="DD190" s="628"/>
      <c r="DE190" s="628"/>
      <c r="DF190" s="628"/>
      <c r="DG190" s="628"/>
      <c r="DH190" s="628"/>
    </row>
    <row r="191" spans="1:112" ht="15.75" customHeight="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468"/>
      <c r="CQ191" s="2"/>
      <c r="CR191" s="628"/>
      <c r="CS191" s="628"/>
      <c r="CT191" s="628"/>
      <c r="CU191" s="628"/>
      <c r="CV191" s="628"/>
      <c r="CW191" s="628"/>
      <c r="CX191" s="628"/>
      <c r="CY191" s="628"/>
      <c r="CZ191" s="628"/>
      <c r="DA191" s="628"/>
      <c r="DB191" s="628"/>
      <c r="DC191" s="628"/>
      <c r="DD191" s="628"/>
      <c r="DE191" s="628"/>
      <c r="DF191" s="628"/>
      <c r="DG191" s="628"/>
      <c r="DH191" s="628"/>
    </row>
    <row r="192" spans="1:112" ht="15.75" customHeight="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468"/>
      <c r="CQ192" s="2"/>
      <c r="CR192" s="628"/>
      <c r="CS192" s="628"/>
      <c r="CT192" s="628"/>
      <c r="CU192" s="628"/>
      <c r="CV192" s="628"/>
      <c r="CW192" s="628"/>
      <c r="CX192" s="628"/>
      <c r="CY192" s="628"/>
      <c r="CZ192" s="628"/>
      <c r="DA192" s="628"/>
      <c r="DB192" s="628"/>
      <c r="DC192" s="628"/>
      <c r="DD192" s="628"/>
      <c r="DE192" s="628"/>
      <c r="DF192" s="628"/>
      <c r="DG192" s="628"/>
      <c r="DH192" s="628"/>
    </row>
    <row r="193" spans="1:112" ht="15.75" customHeight="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468"/>
      <c r="CQ193" s="2"/>
      <c r="CR193" s="628"/>
      <c r="CS193" s="628"/>
      <c r="CT193" s="628"/>
      <c r="CU193" s="628"/>
      <c r="CV193" s="628"/>
      <c r="CW193" s="628"/>
      <c r="CX193" s="628"/>
      <c r="CY193" s="628"/>
      <c r="CZ193" s="628"/>
      <c r="DA193" s="628"/>
      <c r="DB193" s="628"/>
      <c r="DC193" s="628"/>
      <c r="DD193" s="628"/>
      <c r="DE193" s="628"/>
      <c r="DF193" s="628"/>
      <c r="DG193" s="628"/>
      <c r="DH193" s="628"/>
    </row>
    <row r="194" spans="1:112" ht="15.75" customHeight="1">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468"/>
      <c r="CQ194" s="2"/>
      <c r="CR194" s="628"/>
      <c r="CS194" s="628"/>
      <c r="CT194" s="628"/>
      <c r="CU194" s="628"/>
      <c r="CV194" s="628"/>
      <c r="CW194" s="628"/>
      <c r="CX194" s="628"/>
      <c r="CY194" s="628"/>
      <c r="CZ194" s="628"/>
      <c r="DA194" s="628"/>
      <c r="DB194" s="628"/>
      <c r="DC194" s="628"/>
      <c r="DD194" s="628"/>
      <c r="DE194" s="628"/>
      <c r="DF194" s="628"/>
      <c r="DG194" s="628"/>
      <c r="DH194" s="628"/>
    </row>
    <row r="195" spans="1:112" ht="15.75" customHeight="1">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468"/>
      <c r="CQ195" s="2"/>
      <c r="CR195" s="628"/>
      <c r="CS195" s="628"/>
      <c r="CT195" s="628"/>
      <c r="CU195" s="628"/>
      <c r="CV195" s="628"/>
      <c r="CW195" s="628"/>
      <c r="CX195" s="628"/>
      <c r="CY195" s="628"/>
      <c r="CZ195" s="628"/>
      <c r="DA195" s="628"/>
      <c r="DB195" s="628"/>
      <c r="DC195" s="628"/>
      <c r="DD195" s="628"/>
      <c r="DE195" s="628"/>
      <c r="DF195" s="628"/>
      <c r="DG195" s="628"/>
      <c r="DH195" s="628"/>
    </row>
    <row r="196" spans="1:112" ht="15.75" customHeight="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468"/>
      <c r="CQ196" s="2"/>
      <c r="CR196" s="628"/>
      <c r="CS196" s="628"/>
      <c r="CT196" s="628"/>
      <c r="CU196" s="628"/>
      <c r="CV196" s="628"/>
      <c r="CW196" s="628"/>
      <c r="CX196" s="628"/>
      <c r="CY196" s="628"/>
      <c r="CZ196" s="628"/>
      <c r="DA196" s="628"/>
      <c r="DB196" s="628"/>
      <c r="DC196" s="628"/>
      <c r="DD196" s="628"/>
      <c r="DE196" s="628"/>
      <c r="DF196" s="628"/>
      <c r="DG196" s="628"/>
      <c r="DH196" s="628"/>
    </row>
    <row r="197" spans="1:112" ht="15.75" customHeight="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468"/>
      <c r="CQ197" s="2"/>
      <c r="CR197" s="628"/>
      <c r="CS197" s="628"/>
      <c r="CT197" s="628"/>
      <c r="CU197" s="628"/>
      <c r="CV197" s="628"/>
      <c r="CW197" s="628"/>
      <c r="CX197" s="628"/>
      <c r="CY197" s="628"/>
      <c r="CZ197" s="628"/>
      <c r="DA197" s="628"/>
      <c r="DB197" s="628"/>
      <c r="DC197" s="628"/>
      <c r="DD197" s="628"/>
      <c r="DE197" s="628"/>
      <c r="DF197" s="628"/>
      <c r="DG197" s="628"/>
      <c r="DH197" s="628"/>
    </row>
    <row r="198" spans="1:112" ht="15.75" customHeight="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468"/>
      <c r="CQ198" s="2"/>
      <c r="CR198" s="628"/>
      <c r="CS198" s="628"/>
      <c r="CT198" s="628"/>
      <c r="CU198" s="628"/>
      <c r="CV198" s="628"/>
      <c r="CW198" s="628"/>
      <c r="CX198" s="628"/>
      <c r="CY198" s="628"/>
      <c r="CZ198" s="628"/>
      <c r="DA198" s="628"/>
      <c r="DB198" s="628"/>
      <c r="DC198" s="628"/>
      <c r="DD198" s="628"/>
      <c r="DE198" s="628"/>
      <c r="DF198" s="628"/>
      <c r="DG198" s="628"/>
      <c r="DH198" s="628"/>
    </row>
    <row r="199" spans="1:112" ht="15.75" customHeight="1">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468"/>
      <c r="CQ199" s="2"/>
      <c r="CR199" s="628"/>
      <c r="CS199" s="628"/>
      <c r="CT199" s="628"/>
      <c r="CU199" s="628"/>
      <c r="CV199" s="628"/>
      <c r="CW199" s="628"/>
      <c r="CX199" s="628"/>
      <c r="CY199" s="628"/>
      <c r="CZ199" s="628"/>
      <c r="DA199" s="628"/>
      <c r="DB199" s="628"/>
      <c r="DC199" s="628"/>
      <c r="DD199" s="628"/>
      <c r="DE199" s="628"/>
      <c r="DF199" s="628"/>
      <c r="DG199" s="628"/>
      <c r="DH199" s="628"/>
    </row>
    <row r="200" spans="1:112" ht="15.75" customHeight="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468"/>
      <c r="CQ200" s="2"/>
      <c r="CR200" s="628"/>
      <c r="CS200" s="628"/>
      <c r="CT200" s="628"/>
      <c r="CU200" s="628"/>
      <c r="CV200" s="628"/>
      <c r="CW200" s="628"/>
      <c r="CX200" s="628"/>
      <c r="CY200" s="628"/>
      <c r="CZ200" s="628"/>
      <c r="DA200" s="628"/>
      <c r="DB200" s="628"/>
      <c r="DC200" s="628"/>
      <c r="DD200" s="628"/>
      <c r="DE200" s="628"/>
      <c r="DF200" s="628"/>
      <c r="DG200" s="628"/>
      <c r="DH200" s="628"/>
    </row>
    <row r="201" spans="1:112" ht="15.7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468"/>
      <c r="CQ201" s="2"/>
      <c r="CR201" s="628"/>
      <c r="CS201" s="628"/>
      <c r="CT201" s="628"/>
      <c r="CU201" s="628"/>
      <c r="CV201" s="628"/>
      <c r="CW201" s="628"/>
      <c r="CX201" s="628"/>
      <c r="CY201" s="628"/>
      <c r="CZ201" s="628"/>
      <c r="DA201" s="628"/>
      <c r="DB201" s="628"/>
      <c r="DC201" s="628"/>
      <c r="DD201" s="628"/>
      <c r="DE201" s="628"/>
      <c r="DF201" s="628"/>
      <c r="DG201" s="628"/>
      <c r="DH201" s="628"/>
    </row>
    <row r="202" spans="1:112" ht="15.7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468"/>
      <c r="CQ202" s="2"/>
      <c r="CR202" s="628"/>
      <c r="CS202" s="628"/>
      <c r="CT202" s="628"/>
      <c r="CU202" s="628"/>
      <c r="CV202" s="628"/>
      <c r="CW202" s="628"/>
      <c r="CX202" s="628"/>
      <c r="CY202" s="628"/>
      <c r="CZ202" s="628"/>
      <c r="DA202" s="628"/>
      <c r="DB202" s="628"/>
      <c r="DC202" s="628"/>
      <c r="DD202" s="628"/>
      <c r="DE202" s="628"/>
      <c r="DF202" s="628"/>
      <c r="DG202" s="628"/>
      <c r="DH202" s="628"/>
    </row>
    <row r="203" spans="1:112" ht="15.7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468"/>
      <c r="CQ203" s="2"/>
      <c r="CR203" s="628"/>
      <c r="CS203" s="628"/>
      <c r="CT203" s="628"/>
      <c r="CU203" s="628"/>
      <c r="CV203" s="628"/>
      <c r="CW203" s="628"/>
      <c r="CX203" s="628"/>
      <c r="CY203" s="628"/>
      <c r="CZ203" s="628"/>
      <c r="DA203" s="628"/>
      <c r="DB203" s="628"/>
      <c r="DC203" s="628"/>
      <c r="DD203" s="628"/>
      <c r="DE203" s="628"/>
      <c r="DF203" s="628"/>
      <c r="DG203" s="628"/>
      <c r="DH203" s="628"/>
    </row>
    <row r="204" spans="1:112" ht="15.75" customHeight="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468"/>
      <c r="CQ204" s="2"/>
      <c r="CR204" s="628"/>
      <c r="CS204" s="628"/>
      <c r="CT204" s="628"/>
      <c r="CU204" s="628"/>
      <c r="CV204" s="628"/>
      <c r="CW204" s="628"/>
      <c r="CX204" s="628"/>
      <c r="CY204" s="628"/>
      <c r="CZ204" s="628"/>
      <c r="DA204" s="628"/>
      <c r="DB204" s="628"/>
      <c r="DC204" s="628"/>
      <c r="DD204" s="628"/>
      <c r="DE204" s="628"/>
      <c r="DF204" s="628"/>
      <c r="DG204" s="628"/>
      <c r="DH204" s="628"/>
    </row>
    <row r="205" spans="1:112" ht="15.75" customHeight="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468"/>
      <c r="CQ205" s="2"/>
      <c r="CR205" s="628"/>
      <c r="CS205" s="628"/>
      <c r="CT205" s="628"/>
      <c r="CU205" s="628"/>
      <c r="CV205" s="628"/>
      <c r="CW205" s="628"/>
      <c r="CX205" s="628"/>
      <c r="CY205" s="628"/>
      <c r="CZ205" s="628"/>
      <c r="DA205" s="628"/>
      <c r="DB205" s="628"/>
      <c r="DC205" s="628"/>
      <c r="DD205" s="628"/>
      <c r="DE205" s="628"/>
      <c r="DF205" s="628"/>
      <c r="DG205" s="628"/>
      <c r="DH205" s="628"/>
    </row>
    <row r="206" spans="1:112" ht="15.75" customHeight="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468"/>
      <c r="CQ206" s="2"/>
      <c r="CR206" s="628"/>
      <c r="CS206" s="628"/>
      <c r="CT206" s="628"/>
      <c r="CU206" s="628"/>
      <c r="CV206" s="628"/>
      <c r="CW206" s="628"/>
      <c r="CX206" s="628"/>
      <c r="CY206" s="628"/>
      <c r="CZ206" s="628"/>
      <c r="DA206" s="628"/>
      <c r="DB206" s="628"/>
      <c r="DC206" s="628"/>
      <c r="DD206" s="628"/>
      <c r="DE206" s="628"/>
      <c r="DF206" s="628"/>
      <c r="DG206" s="628"/>
      <c r="DH206" s="628"/>
    </row>
    <row r="207" spans="1:112" ht="15.7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468"/>
      <c r="CQ207" s="2"/>
      <c r="CR207" s="628"/>
      <c r="CS207" s="628"/>
      <c r="CT207" s="628"/>
      <c r="CU207" s="628"/>
      <c r="CV207" s="628"/>
      <c r="CW207" s="628"/>
      <c r="CX207" s="628"/>
      <c r="CY207" s="628"/>
      <c r="CZ207" s="628"/>
      <c r="DA207" s="628"/>
      <c r="DB207" s="628"/>
      <c r="DC207" s="628"/>
      <c r="DD207" s="628"/>
      <c r="DE207" s="628"/>
      <c r="DF207" s="628"/>
      <c r="DG207" s="628"/>
      <c r="DH207" s="628"/>
    </row>
    <row r="208" spans="1:112" ht="15.7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468"/>
      <c r="CQ208" s="2"/>
      <c r="CR208" s="628"/>
      <c r="CS208" s="628"/>
      <c r="CT208" s="628"/>
      <c r="CU208" s="628"/>
      <c r="CV208" s="628"/>
      <c r="CW208" s="628"/>
      <c r="CX208" s="628"/>
      <c r="CY208" s="628"/>
      <c r="CZ208" s="628"/>
      <c r="DA208" s="628"/>
      <c r="DB208" s="628"/>
      <c r="DC208" s="628"/>
      <c r="DD208" s="628"/>
      <c r="DE208" s="628"/>
      <c r="DF208" s="628"/>
      <c r="DG208" s="628"/>
      <c r="DH208" s="628"/>
    </row>
    <row r="209" spans="1:112" ht="15.75"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468"/>
      <c r="CQ209" s="2"/>
      <c r="CR209" s="628"/>
      <c r="CS209" s="628"/>
      <c r="CT209" s="628"/>
      <c r="CU209" s="628"/>
      <c r="CV209" s="628"/>
      <c r="CW209" s="628"/>
      <c r="CX209" s="628"/>
      <c r="CY209" s="628"/>
      <c r="CZ209" s="628"/>
      <c r="DA209" s="628"/>
      <c r="DB209" s="628"/>
      <c r="DC209" s="628"/>
      <c r="DD209" s="628"/>
      <c r="DE209" s="628"/>
      <c r="DF209" s="628"/>
      <c r="DG209" s="628"/>
      <c r="DH209" s="628"/>
    </row>
    <row r="210" spans="1:112" ht="15.75" customHeight="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468"/>
      <c r="CQ210" s="2"/>
      <c r="CR210" s="628"/>
      <c r="CS210" s="628"/>
      <c r="CT210" s="628"/>
      <c r="CU210" s="628"/>
      <c r="CV210" s="628"/>
      <c r="CW210" s="628"/>
      <c r="CX210" s="628"/>
      <c r="CY210" s="628"/>
      <c r="CZ210" s="628"/>
      <c r="DA210" s="628"/>
      <c r="DB210" s="628"/>
      <c r="DC210" s="628"/>
      <c r="DD210" s="628"/>
      <c r="DE210" s="628"/>
      <c r="DF210" s="628"/>
      <c r="DG210" s="628"/>
      <c r="DH210" s="628"/>
    </row>
    <row r="211" spans="1:112" ht="15.75" customHeight="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468"/>
      <c r="CQ211" s="2"/>
      <c r="CR211" s="628"/>
      <c r="CS211" s="628"/>
      <c r="CT211" s="628"/>
      <c r="CU211" s="628"/>
      <c r="CV211" s="628"/>
      <c r="CW211" s="628"/>
      <c r="CX211" s="628"/>
      <c r="CY211" s="628"/>
      <c r="CZ211" s="628"/>
      <c r="DA211" s="628"/>
      <c r="DB211" s="628"/>
      <c r="DC211" s="628"/>
      <c r="DD211" s="628"/>
      <c r="DE211" s="628"/>
      <c r="DF211" s="628"/>
      <c r="DG211" s="628"/>
      <c r="DH211" s="628"/>
    </row>
    <row r="212" spans="1:112" ht="15.7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468"/>
      <c r="CQ212" s="2"/>
      <c r="CR212" s="628"/>
      <c r="CS212" s="628"/>
      <c r="CT212" s="628"/>
      <c r="CU212" s="628"/>
      <c r="CV212" s="628"/>
      <c r="CW212" s="628"/>
      <c r="CX212" s="628"/>
      <c r="CY212" s="628"/>
      <c r="CZ212" s="628"/>
      <c r="DA212" s="628"/>
      <c r="DB212" s="628"/>
      <c r="DC212" s="628"/>
      <c r="DD212" s="628"/>
      <c r="DE212" s="628"/>
      <c r="DF212" s="628"/>
      <c r="DG212" s="628"/>
      <c r="DH212" s="628"/>
    </row>
    <row r="213" spans="1:112" ht="15.75"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468"/>
      <c r="CQ213" s="2"/>
      <c r="CR213" s="628"/>
      <c r="CS213" s="628"/>
      <c r="CT213" s="628"/>
      <c r="CU213" s="628"/>
      <c r="CV213" s="628"/>
      <c r="CW213" s="628"/>
      <c r="CX213" s="628"/>
      <c r="CY213" s="628"/>
      <c r="CZ213" s="628"/>
      <c r="DA213" s="628"/>
      <c r="DB213" s="628"/>
      <c r="DC213" s="628"/>
      <c r="DD213" s="628"/>
      <c r="DE213" s="628"/>
      <c r="DF213" s="628"/>
      <c r="DG213" s="628"/>
      <c r="DH213" s="628"/>
    </row>
    <row r="214" spans="1:112" ht="15.75"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468"/>
      <c r="CQ214" s="2"/>
      <c r="CR214" s="628"/>
      <c r="CS214" s="628"/>
      <c r="CT214" s="628"/>
      <c r="CU214" s="628"/>
      <c r="CV214" s="628"/>
      <c r="CW214" s="628"/>
      <c r="CX214" s="628"/>
      <c r="CY214" s="628"/>
      <c r="CZ214" s="628"/>
      <c r="DA214" s="628"/>
      <c r="DB214" s="628"/>
      <c r="DC214" s="628"/>
      <c r="DD214" s="628"/>
      <c r="DE214" s="628"/>
      <c r="DF214" s="628"/>
      <c r="DG214" s="628"/>
      <c r="DH214" s="628"/>
    </row>
    <row r="215" spans="1:112" ht="15.75" customHeight="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468"/>
      <c r="CQ215" s="2"/>
      <c r="CR215" s="628"/>
      <c r="CS215" s="628"/>
      <c r="CT215" s="628"/>
      <c r="CU215" s="628"/>
      <c r="CV215" s="628"/>
      <c r="CW215" s="628"/>
      <c r="CX215" s="628"/>
      <c r="CY215" s="628"/>
      <c r="CZ215" s="628"/>
      <c r="DA215" s="628"/>
      <c r="DB215" s="628"/>
      <c r="DC215" s="628"/>
      <c r="DD215" s="628"/>
      <c r="DE215" s="628"/>
      <c r="DF215" s="628"/>
      <c r="DG215" s="628"/>
      <c r="DH215" s="628"/>
    </row>
    <row r="216" spans="1:112" ht="15.75" customHeight="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468"/>
      <c r="CQ216" s="2"/>
      <c r="CR216" s="628"/>
      <c r="CS216" s="628"/>
      <c r="CT216" s="628"/>
      <c r="CU216" s="628"/>
      <c r="CV216" s="628"/>
      <c r="CW216" s="628"/>
      <c r="CX216" s="628"/>
      <c r="CY216" s="628"/>
      <c r="CZ216" s="628"/>
      <c r="DA216" s="628"/>
      <c r="DB216" s="628"/>
      <c r="DC216" s="628"/>
      <c r="DD216" s="628"/>
      <c r="DE216" s="628"/>
      <c r="DF216" s="628"/>
      <c r="DG216" s="628"/>
      <c r="DH216" s="628"/>
    </row>
    <row r="217" spans="1:112" ht="15.7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468"/>
      <c r="CQ217" s="2"/>
      <c r="CR217" s="628"/>
      <c r="CS217" s="628"/>
      <c r="CT217" s="628"/>
      <c r="CU217" s="628"/>
      <c r="CV217" s="628"/>
      <c r="CW217" s="628"/>
      <c r="CX217" s="628"/>
      <c r="CY217" s="628"/>
      <c r="CZ217" s="628"/>
      <c r="DA217" s="628"/>
      <c r="DB217" s="628"/>
      <c r="DC217" s="628"/>
      <c r="DD217" s="628"/>
      <c r="DE217" s="628"/>
      <c r="DF217" s="628"/>
      <c r="DG217" s="628"/>
      <c r="DH217" s="628"/>
    </row>
    <row r="218" spans="1:112" ht="15.7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468"/>
      <c r="CQ218" s="2"/>
      <c r="CR218" s="628"/>
      <c r="CS218" s="628"/>
      <c r="CT218" s="628"/>
      <c r="CU218" s="628"/>
      <c r="CV218" s="628"/>
      <c r="CW218" s="628"/>
      <c r="CX218" s="628"/>
      <c r="CY218" s="628"/>
      <c r="CZ218" s="628"/>
      <c r="DA218" s="628"/>
      <c r="DB218" s="628"/>
      <c r="DC218" s="628"/>
      <c r="DD218" s="628"/>
      <c r="DE218" s="628"/>
      <c r="DF218" s="628"/>
      <c r="DG218" s="628"/>
      <c r="DH218" s="628"/>
    </row>
    <row r="219" spans="1:112" ht="15.75"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468"/>
      <c r="CQ219" s="2"/>
      <c r="CR219" s="628"/>
      <c r="CS219" s="628"/>
      <c r="CT219" s="628"/>
      <c r="CU219" s="628"/>
      <c r="CV219" s="628"/>
      <c r="CW219" s="628"/>
      <c r="CX219" s="628"/>
      <c r="CY219" s="628"/>
      <c r="CZ219" s="628"/>
      <c r="DA219" s="628"/>
      <c r="DB219" s="628"/>
      <c r="DC219" s="628"/>
      <c r="DD219" s="628"/>
      <c r="DE219" s="628"/>
      <c r="DF219" s="628"/>
      <c r="DG219" s="628"/>
      <c r="DH219" s="628"/>
    </row>
    <row r="220" spans="1:112" ht="15.7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468"/>
      <c r="CQ220" s="2"/>
      <c r="CR220" s="628"/>
      <c r="CS220" s="628"/>
      <c r="CT220" s="628"/>
      <c r="CU220" s="628"/>
      <c r="CV220" s="628"/>
      <c r="CW220" s="628"/>
      <c r="CX220" s="628"/>
      <c r="CY220" s="628"/>
      <c r="CZ220" s="628"/>
      <c r="DA220" s="628"/>
      <c r="DB220" s="628"/>
      <c r="DC220" s="628"/>
      <c r="DD220" s="628"/>
      <c r="DE220" s="628"/>
      <c r="DF220" s="628"/>
      <c r="DG220" s="628"/>
      <c r="DH220" s="628"/>
    </row>
    <row r="221" spans="1:112" ht="15.7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468"/>
      <c r="CQ221" s="2"/>
      <c r="CR221" s="628"/>
      <c r="CS221" s="628"/>
      <c r="CT221" s="628"/>
      <c r="CU221" s="628"/>
      <c r="CV221" s="628"/>
      <c r="CW221" s="628"/>
      <c r="CX221" s="628"/>
      <c r="CY221" s="628"/>
      <c r="CZ221" s="628"/>
      <c r="DA221" s="628"/>
      <c r="DB221" s="628"/>
      <c r="DC221" s="628"/>
      <c r="DD221" s="628"/>
      <c r="DE221" s="628"/>
      <c r="DF221" s="628"/>
      <c r="DG221" s="628"/>
      <c r="DH221" s="628"/>
    </row>
    <row r="222" spans="1:112" ht="15.7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468"/>
      <c r="CQ222" s="2"/>
      <c r="CR222" s="628"/>
      <c r="CS222" s="628"/>
      <c r="CT222" s="628"/>
      <c r="CU222" s="628"/>
      <c r="CV222" s="628"/>
      <c r="CW222" s="628"/>
      <c r="CX222" s="628"/>
      <c r="CY222" s="628"/>
      <c r="CZ222" s="628"/>
      <c r="DA222" s="628"/>
      <c r="DB222" s="628"/>
      <c r="DC222" s="628"/>
      <c r="DD222" s="628"/>
      <c r="DE222" s="628"/>
      <c r="DF222" s="628"/>
      <c r="DG222" s="628"/>
      <c r="DH222" s="628"/>
    </row>
    <row r="223" spans="1:112" ht="15.7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468"/>
      <c r="CQ223" s="2"/>
      <c r="CR223" s="628"/>
      <c r="CS223" s="628"/>
      <c r="CT223" s="628"/>
      <c r="CU223" s="628"/>
      <c r="CV223" s="628"/>
      <c r="CW223" s="628"/>
      <c r="CX223" s="628"/>
      <c r="CY223" s="628"/>
      <c r="CZ223" s="628"/>
      <c r="DA223" s="628"/>
      <c r="DB223" s="628"/>
      <c r="DC223" s="628"/>
      <c r="DD223" s="628"/>
      <c r="DE223" s="628"/>
      <c r="DF223" s="628"/>
      <c r="DG223" s="628"/>
      <c r="DH223" s="628"/>
    </row>
    <row r="224" spans="1:112" ht="15.7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468"/>
      <c r="CQ224" s="2"/>
      <c r="CR224" s="628"/>
      <c r="CS224" s="628"/>
      <c r="CT224" s="628"/>
      <c r="CU224" s="628"/>
      <c r="CV224" s="628"/>
      <c r="CW224" s="628"/>
      <c r="CX224" s="628"/>
      <c r="CY224" s="628"/>
      <c r="CZ224" s="628"/>
      <c r="DA224" s="628"/>
      <c r="DB224" s="628"/>
      <c r="DC224" s="628"/>
      <c r="DD224" s="628"/>
      <c r="DE224" s="628"/>
      <c r="DF224" s="628"/>
      <c r="DG224" s="628"/>
      <c r="DH224" s="628"/>
    </row>
    <row r="225" spans="1:112" ht="15.7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468"/>
      <c r="CQ225" s="2"/>
      <c r="CR225" s="628"/>
      <c r="CS225" s="628"/>
      <c r="CT225" s="628"/>
      <c r="CU225" s="628"/>
      <c r="CV225" s="628"/>
      <c r="CW225" s="628"/>
      <c r="CX225" s="628"/>
      <c r="CY225" s="628"/>
      <c r="CZ225" s="628"/>
      <c r="DA225" s="628"/>
      <c r="DB225" s="628"/>
      <c r="DC225" s="628"/>
      <c r="DD225" s="628"/>
      <c r="DE225" s="628"/>
      <c r="DF225" s="628"/>
      <c r="DG225" s="628"/>
      <c r="DH225" s="628"/>
    </row>
    <row r="226" spans="1:112" ht="15.7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468"/>
      <c r="CQ226" s="2"/>
      <c r="CR226" s="628"/>
      <c r="CS226" s="628"/>
      <c r="CT226" s="628"/>
      <c r="CU226" s="628"/>
      <c r="CV226" s="628"/>
      <c r="CW226" s="628"/>
      <c r="CX226" s="628"/>
      <c r="CY226" s="628"/>
      <c r="CZ226" s="628"/>
      <c r="DA226" s="628"/>
      <c r="DB226" s="628"/>
      <c r="DC226" s="628"/>
      <c r="DD226" s="628"/>
      <c r="DE226" s="628"/>
      <c r="DF226" s="628"/>
      <c r="DG226" s="628"/>
      <c r="DH226" s="628"/>
    </row>
    <row r="227" spans="1:112" ht="15.7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468"/>
      <c r="CQ227" s="2"/>
      <c r="CR227" s="628"/>
      <c r="CS227" s="628"/>
      <c r="CT227" s="628"/>
      <c r="CU227" s="628"/>
      <c r="CV227" s="628"/>
      <c r="CW227" s="628"/>
      <c r="CX227" s="628"/>
      <c r="CY227" s="628"/>
      <c r="CZ227" s="628"/>
      <c r="DA227" s="628"/>
      <c r="DB227" s="628"/>
      <c r="DC227" s="628"/>
      <c r="DD227" s="628"/>
      <c r="DE227" s="628"/>
      <c r="DF227" s="628"/>
      <c r="DG227" s="628"/>
      <c r="DH227" s="628"/>
    </row>
    <row r="228" spans="1:112" ht="15.7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468"/>
      <c r="CQ228" s="2"/>
      <c r="CR228" s="628"/>
      <c r="CS228" s="628"/>
      <c r="CT228" s="628"/>
      <c r="CU228" s="628"/>
      <c r="CV228" s="628"/>
      <c r="CW228" s="628"/>
      <c r="CX228" s="628"/>
      <c r="CY228" s="628"/>
      <c r="CZ228" s="628"/>
      <c r="DA228" s="628"/>
      <c r="DB228" s="628"/>
      <c r="DC228" s="628"/>
      <c r="DD228" s="628"/>
      <c r="DE228" s="628"/>
      <c r="DF228" s="628"/>
      <c r="DG228" s="628"/>
      <c r="DH228" s="628"/>
    </row>
    <row r="229" spans="1:112" ht="15.7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468"/>
      <c r="CQ229" s="2"/>
      <c r="CR229" s="628"/>
      <c r="CS229" s="628"/>
      <c r="CT229" s="628"/>
      <c r="CU229" s="628"/>
      <c r="CV229" s="628"/>
      <c r="CW229" s="628"/>
      <c r="CX229" s="628"/>
      <c r="CY229" s="628"/>
      <c r="CZ229" s="628"/>
      <c r="DA229" s="628"/>
      <c r="DB229" s="628"/>
      <c r="DC229" s="628"/>
      <c r="DD229" s="628"/>
      <c r="DE229" s="628"/>
      <c r="DF229" s="628"/>
      <c r="DG229" s="628"/>
      <c r="DH229" s="628"/>
    </row>
    <row r="230" spans="1:112" ht="15.7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468"/>
      <c r="CQ230" s="2"/>
      <c r="CR230" s="628"/>
      <c r="CS230" s="628"/>
      <c r="CT230" s="628"/>
      <c r="CU230" s="628"/>
      <c r="CV230" s="628"/>
      <c r="CW230" s="628"/>
      <c r="CX230" s="628"/>
      <c r="CY230" s="628"/>
      <c r="CZ230" s="628"/>
      <c r="DA230" s="628"/>
      <c r="DB230" s="628"/>
      <c r="DC230" s="628"/>
      <c r="DD230" s="628"/>
      <c r="DE230" s="628"/>
      <c r="DF230" s="628"/>
      <c r="DG230" s="628"/>
      <c r="DH230" s="628"/>
    </row>
    <row r="231" spans="1:112" ht="15.7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468"/>
      <c r="CQ231" s="2"/>
      <c r="CR231" s="628"/>
      <c r="CS231" s="628"/>
      <c r="CT231" s="628"/>
      <c r="CU231" s="628"/>
      <c r="CV231" s="628"/>
      <c r="CW231" s="628"/>
      <c r="CX231" s="628"/>
      <c r="CY231" s="628"/>
      <c r="CZ231" s="628"/>
      <c r="DA231" s="628"/>
      <c r="DB231" s="628"/>
      <c r="DC231" s="628"/>
      <c r="DD231" s="628"/>
      <c r="DE231" s="628"/>
      <c r="DF231" s="628"/>
      <c r="DG231" s="628"/>
      <c r="DH231" s="628"/>
    </row>
    <row r="232" spans="1:112" ht="15.7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468"/>
      <c r="CQ232" s="2"/>
      <c r="CR232" s="628"/>
      <c r="CS232" s="628"/>
      <c r="CT232" s="628"/>
      <c r="CU232" s="628"/>
      <c r="CV232" s="628"/>
      <c r="CW232" s="628"/>
      <c r="CX232" s="628"/>
      <c r="CY232" s="628"/>
      <c r="CZ232" s="628"/>
      <c r="DA232" s="628"/>
      <c r="DB232" s="628"/>
      <c r="DC232" s="628"/>
      <c r="DD232" s="628"/>
      <c r="DE232" s="628"/>
      <c r="DF232" s="628"/>
      <c r="DG232" s="628"/>
      <c r="DH232" s="628"/>
    </row>
    <row r="233" spans="1:112" ht="15.7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468"/>
      <c r="CQ233" s="2"/>
      <c r="CR233" s="628"/>
      <c r="CS233" s="628"/>
      <c r="CT233" s="628"/>
      <c r="CU233" s="628"/>
      <c r="CV233" s="628"/>
      <c r="CW233" s="628"/>
      <c r="CX233" s="628"/>
      <c r="CY233" s="628"/>
      <c r="CZ233" s="628"/>
      <c r="DA233" s="628"/>
      <c r="DB233" s="628"/>
      <c r="DC233" s="628"/>
      <c r="DD233" s="628"/>
      <c r="DE233" s="628"/>
      <c r="DF233" s="628"/>
      <c r="DG233" s="628"/>
      <c r="DH233" s="628"/>
    </row>
    <row r="234" spans="1:112" ht="15.7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468"/>
      <c r="CQ234" s="2"/>
      <c r="CR234" s="628"/>
      <c r="CS234" s="628"/>
      <c r="CT234" s="628"/>
      <c r="CU234" s="628"/>
      <c r="CV234" s="628"/>
      <c r="CW234" s="628"/>
      <c r="CX234" s="628"/>
      <c r="CY234" s="628"/>
      <c r="CZ234" s="628"/>
      <c r="DA234" s="628"/>
      <c r="DB234" s="628"/>
      <c r="DC234" s="628"/>
      <c r="DD234" s="628"/>
      <c r="DE234" s="628"/>
      <c r="DF234" s="628"/>
      <c r="DG234" s="628"/>
      <c r="DH234" s="628"/>
    </row>
    <row r="235" spans="1:112" ht="15.7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468"/>
      <c r="CQ235" s="2"/>
      <c r="CR235" s="628"/>
      <c r="CS235" s="628"/>
      <c r="CT235" s="628"/>
      <c r="CU235" s="628"/>
      <c r="CV235" s="628"/>
      <c r="CW235" s="628"/>
      <c r="CX235" s="628"/>
      <c r="CY235" s="628"/>
      <c r="CZ235" s="628"/>
      <c r="DA235" s="628"/>
      <c r="DB235" s="628"/>
      <c r="DC235" s="628"/>
      <c r="DD235" s="628"/>
      <c r="DE235" s="628"/>
      <c r="DF235" s="628"/>
      <c r="DG235" s="628"/>
      <c r="DH235" s="628"/>
    </row>
    <row r="236" spans="1:112" ht="15.7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468"/>
      <c r="CQ236" s="2"/>
      <c r="CR236" s="628"/>
      <c r="CS236" s="628"/>
      <c r="CT236" s="628"/>
      <c r="CU236" s="628"/>
      <c r="CV236" s="628"/>
      <c r="CW236" s="628"/>
      <c r="CX236" s="628"/>
      <c r="CY236" s="628"/>
      <c r="CZ236" s="628"/>
      <c r="DA236" s="628"/>
      <c r="DB236" s="628"/>
      <c r="DC236" s="628"/>
      <c r="DD236" s="628"/>
      <c r="DE236" s="628"/>
      <c r="DF236" s="628"/>
      <c r="DG236" s="628"/>
      <c r="DH236" s="628"/>
    </row>
    <row r="237" spans="1:112" ht="15.7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468"/>
      <c r="CQ237" s="2"/>
      <c r="CR237" s="628"/>
      <c r="CS237" s="628"/>
      <c r="CT237" s="628"/>
      <c r="CU237" s="628"/>
      <c r="CV237" s="628"/>
      <c r="CW237" s="628"/>
      <c r="CX237" s="628"/>
      <c r="CY237" s="628"/>
      <c r="CZ237" s="628"/>
      <c r="DA237" s="628"/>
      <c r="DB237" s="628"/>
      <c r="DC237" s="628"/>
      <c r="DD237" s="628"/>
      <c r="DE237" s="628"/>
      <c r="DF237" s="628"/>
      <c r="DG237" s="628"/>
      <c r="DH237" s="628"/>
    </row>
  </sheetData>
  <mergeCells count="32">
    <mergeCell ref="A50:XFD50"/>
    <mergeCell ref="A43:XFD43"/>
    <mergeCell ref="A44:XFD44"/>
    <mergeCell ref="A45:XFD45"/>
    <mergeCell ref="A46:XFD46"/>
    <mergeCell ref="A47:XFD47"/>
    <mergeCell ref="A40:XFD40"/>
    <mergeCell ref="A41:XFD41"/>
    <mergeCell ref="A42:XFD42"/>
    <mergeCell ref="A48:XFD48"/>
    <mergeCell ref="A49:XFD49"/>
    <mergeCell ref="AF3:AK3"/>
    <mergeCell ref="AL3:AQ3"/>
    <mergeCell ref="BV3:CA3"/>
    <mergeCell ref="A38:CP38"/>
    <mergeCell ref="A39:XFD39"/>
    <mergeCell ref="CB3:CG3"/>
    <mergeCell ref="B1:P1"/>
    <mergeCell ref="A2:CM2"/>
    <mergeCell ref="CN2:CQ2"/>
    <mergeCell ref="A3:A4"/>
    <mergeCell ref="B3:G3"/>
    <mergeCell ref="H3:M3"/>
    <mergeCell ref="CH3:CM3"/>
    <mergeCell ref="AR3:AW3"/>
    <mergeCell ref="AX3:BC3"/>
    <mergeCell ref="BD3:BI3"/>
    <mergeCell ref="BJ3:BO3"/>
    <mergeCell ref="BP3:BU3"/>
    <mergeCell ref="N3:S3"/>
    <mergeCell ref="T3:Y3"/>
    <mergeCell ref="Z3:AE3"/>
  </mergeCells>
  <conditionalFormatting sqref="A6:CQ6 A8:CQ8 A10:CQ10 A12:CQ12 A14:CQ14 A16:CQ16 A18:CQ18">
    <cfRule type="cellIs" dxfId="15" priority="5" operator="equal">
      <formula>0</formula>
    </cfRule>
    <cfRule type="cellIs" dxfId="14" priority="6" operator="greaterThan">
      <formula>0</formula>
    </cfRule>
  </conditionalFormatting>
  <conditionalFormatting sqref="A20:CQ20 A22:CQ22 A24:CQ24 A26:CQ26 A28:CQ28 A30:CQ30 A32:CQ32 A34:CQ34">
    <cfRule type="cellIs" dxfId="13" priority="3" operator="equal">
      <formula>0</formula>
    </cfRule>
    <cfRule type="cellIs" dxfId="12" priority="4" operator="greaterThan">
      <formula>0</formula>
    </cfRule>
  </conditionalFormatting>
  <conditionalFormatting sqref="A5:XFD5 CO6:CP34 A7:CN7 CQ7:XFD7 A9:CN9 CQ9:XFD9 A11:CN11 CQ11:XFD11 A13:CN13 CQ13:XFD13 A15:CN15 CQ15:XFD15 A17:CN17 CQ17:XFD17 A19:CN19 CQ19:XFD19 A21:CN21 CQ21:XFD21 A23:CN23 CQ23:XFD23 A25:CN25 CQ25:XFD25 A27:CN27 CQ27:XFD27 A29:CN29 CQ29:XFD29 A31:CN31 CQ31:XFD31 A33:CN33 CQ33:XFD33">
    <cfRule type="cellIs" dxfId="11" priority="12" operator="greaterThan">
      <formula>0</formula>
    </cfRule>
  </conditionalFormatting>
  <conditionalFormatting sqref="A5:XFD5 CQ7:XFD7 CQ9:XFD9 CQ11:XFD11 CQ13:XFD13 CQ15:XFD15 CQ17:XFD17 CQ19:XFD19 CQ21:XFD21 CQ23:XFD23 CQ25:XFD25 CQ27:XFD27 CQ29:XFD29 CQ31:XFD31 CQ33:XFD33 CO6:CP34 A7:CN7 A9:CN9 A11:CN11 A13:CN13 A15:CN15 A17:CN17 A19:CN19 A21:CN21 A23:CN23 A25:CN25 A27:CN27 A29:CN29 A31:CN31 A33:CN33">
    <cfRule type="cellIs" dxfId="10" priority="11" operator="greaterThan">
      <formula>0</formula>
    </cfRule>
    <cfRule type="cellIs" dxfId="9" priority="13" operator="equal">
      <formula>0</formula>
    </cfRule>
  </conditionalFormatting>
  <conditionalFormatting sqref="B6 H6:I6 N6:O6 T6:U6 Z6:AA6 AF6:AG6 AL6:AM6 AR6:AS6 AX6:AY6 BD6:BE6 BJ6:BK6 BP6:BQ6 BV6:BW6 CB6:CC6 CH6:CI6 CN6 B8 H8:I8 N8:O8 T8:U8 Z8:AA8 AF8:AG8 AL8:AM8 AR8:AS8 AX8:AY8 BD8:BE8 BJ8:BK8 BP8:BQ8 BV8:BW8 CB8:CC8 CH8:CI8 CN8 B10 H10:I10 N10:O10 T10:U10 Z10:AA10 AF10:AG10 AL10:AM10 AR10:AS10 AX10:AY10 BD10:BE10 BJ10:BK10 BP10:BQ10 BV10:BW10 CB10:CC10 CH10:CI10 CN10 B12 H12:I12 N12:O12 T12:U12 Z12:AA12 AF12:AG12 AL12:AM12 AR12:AS12 AX12:AY12 BD12:BE12 BJ12:BK12 BP12:BQ12 BV12:BW12 CB12:CC12 CH12:CI12 CN12 B14 H14:I14 N14:O14 T14:U14 Z14:AA14 AF14:AG14 AL14:AM14 AR14:AS14 AX14:AY14 BD14:BE14 BJ14:BK14 BP14:BQ14 BV14:BW14 CB14:CC14 CH14:CI14 CN14">
    <cfRule type="cellIs" dxfId="8" priority="17" operator="greaterThan">
      <formula>7500</formula>
    </cfRule>
    <cfRule type="cellIs" dxfId="7" priority="19" operator="greaterThan">
      <formula>0</formula>
    </cfRule>
  </conditionalFormatting>
  <conditionalFormatting sqref="B6 H6:I6 N6:O6 T6:U6 Z6:AA6 AF6:AG6 AL6:AM6 AR6:AS6 AX6:AY6 BD6:BE6 BJ6:BK6 BP6:BQ6 BV6:BW6 CB6:CC6 CH6:CI6 CN6 B8 H8:I8 N8:O8 T8:U8 Z8:AA8 AF8:AG8 AL8:AM8 AR8:AS8 AX8:AY8 BD8:BE8 BJ8:BK8 BP8:BQ8 BV8:BW8 CB8:CC8 CH8:CI8 CN8 B10 H10:I10 N10:O10 T10:U10 Z10:AA10 AF10:AG10 AL10:AM10 AR10:AS10 AX10:AY10 BD10:BE10 BJ10:BK10 BP10:BQ10 BV10:BW10 CB10:CC10 CH10:CI10 CN10 B12 H12:I12 N12:O12 T12:U12 Z12:AA12 AF12:AG12 AL12:AM12 AR12:AS12 AX12:AY12 BD12:BE12 BJ12:BK12 BP12:BQ12 BV12:BW12 CB12:CC12 CH12:CI12 CN12">
    <cfRule type="cellIs" dxfId="6" priority="16" operator="greaterThan">
      <formula>0</formula>
    </cfRule>
  </conditionalFormatting>
  <conditionalFormatting sqref="CQ38:CBY38">
    <cfRule type="cellIs" dxfId="5" priority="1" operator="equal">
      <formula>0</formula>
    </cfRule>
    <cfRule type="cellIs" dxfId="4" priority="2" operator="greaterThan">
      <formula>0</formula>
    </cfRule>
  </conditionalFormatting>
  <conditionalFormatting sqref="CQ6:XFD6 CQ8:XFD8 CQ10:XFD10 CQ12:XFD12 CQ14:XFD14 CQ16:XFD16 CQ18:XFD18 CQ20:XFD20 CQ22:XFD22 CQ24:XFD24 CQ26:XFD26 CQ28:XFD28 CQ30:XFD30 CQ32:XFD32 CQ34:XFD34">
    <cfRule type="cellIs" dxfId="3" priority="9" operator="greaterThan">
      <formula>0</formula>
    </cfRule>
    <cfRule type="cellIs" dxfId="2" priority="10" operator="equal">
      <formula>0</formula>
    </cfRule>
  </conditionalFormatting>
  <conditionalFormatting sqref="CR1:CBZ37 CR51:CBZ1048576">
    <cfRule type="cellIs" dxfId="1" priority="7" operator="equal">
      <formula>0</formula>
    </cfRule>
    <cfRule type="cellIs" dxfId="0" priority="8" operator="greaterThan">
      <formula>0</formula>
    </cfRule>
  </conditionalFormatting>
  <pageMargins left="0.511811024" right="0.511811024" top="0.78740157499999996" bottom="0.78740157499999996" header="0" footer="0"/>
  <pageSetup orientation="landscape"/>
  <drawing r:id="rId1"/>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'Lista Suspensa'!$AL$2:$AL$4</xm:f>
          </x14:formula1>
          <xm:sqref>CO3:CP3</xm:sqref>
        </x14:dataValidation>
        <x14:dataValidation type="list" allowBlank="1" showInputMessage="1" showErrorMessage="1" xr:uid="{4D943EF5-28A1-4C9A-A456-E198E2B15626}">
          <x14:formula1>
            <xm:f>'Lista Suspensa'!$A$2:$A$92</xm:f>
          </x14:formula1>
          <xm:sqref>A5:A34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1000"/>
  <sheetViews>
    <sheetView topLeftCell="A61" workbookViewId="0">
      <selection activeCell="B72" sqref="B72"/>
    </sheetView>
  </sheetViews>
  <sheetFormatPr defaultColWidth="14.42578125" defaultRowHeight="15" customHeight="1"/>
  <cols>
    <col min="1" max="1" width="52" customWidth="1"/>
    <col min="2" max="2" width="14.28515625" customWidth="1"/>
    <col min="3" max="4" width="11.5703125" customWidth="1"/>
    <col min="5" max="5" width="12.28515625" customWidth="1"/>
    <col min="6" max="6" width="23" customWidth="1"/>
    <col min="7" max="7" width="8.7109375" customWidth="1"/>
    <col min="8" max="8" width="28.85546875" customWidth="1"/>
    <col min="9" max="9" width="9" customWidth="1"/>
    <col min="10" max="10" width="27.7109375" customWidth="1"/>
    <col min="11" max="11" width="9" customWidth="1"/>
    <col min="12" max="12" width="29.140625" customWidth="1"/>
    <col min="13" max="13" width="9" customWidth="1"/>
    <col min="14" max="14" width="26.85546875" customWidth="1"/>
    <col min="15" max="15" width="9" customWidth="1"/>
    <col min="16" max="16" width="37" customWidth="1"/>
    <col min="17" max="17" width="9" customWidth="1"/>
    <col min="18" max="18" width="39.28515625" bestFit="1" customWidth="1"/>
    <col min="19" max="19" width="8.7109375" customWidth="1"/>
    <col min="20" max="20" width="25.140625" customWidth="1"/>
    <col min="21" max="21" width="8.7109375" customWidth="1"/>
    <col min="22" max="22" width="48.28515625" customWidth="1"/>
    <col min="23" max="23" width="8.7109375" customWidth="1"/>
    <col min="24" max="24" width="59.5703125" customWidth="1"/>
    <col min="25" max="25" width="8.7109375" customWidth="1"/>
    <col min="26" max="26" width="58.5703125" customWidth="1"/>
    <col min="27" max="27" width="8.7109375" customWidth="1"/>
    <col min="28" max="28" width="91.28515625" customWidth="1"/>
    <col min="29" max="29" width="8.7109375" customWidth="1"/>
    <col min="30" max="30" width="78.28515625" customWidth="1"/>
    <col min="31" max="31" width="8.7109375" customWidth="1"/>
    <col min="32" max="32" width="72.7109375" customWidth="1"/>
    <col min="33" max="33" width="8.7109375" customWidth="1"/>
    <col min="34" max="34" width="81.85546875" customWidth="1"/>
    <col min="35" max="35" width="8.7109375" customWidth="1"/>
    <col min="36" max="36" width="25" customWidth="1"/>
    <col min="38" max="38" width="27" customWidth="1"/>
    <col min="40" max="40" width="32.42578125" customWidth="1"/>
    <col min="42" max="42" width="24.7109375" customWidth="1"/>
    <col min="44" max="44" width="39.5703125" customWidth="1"/>
    <col min="46" max="46" width="18.42578125" customWidth="1"/>
    <col min="48" max="48" width="26.85546875" customWidth="1"/>
    <col min="50" max="50" width="29.28515625" customWidth="1"/>
  </cols>
  <sheetData>
    <row r="1" spans="1:52" ht="63" customHeight="1" thickBot="1">
      <c r="A1" s="824" t="s">
        <v>97</v>
      </c>
      <c r="B1" s="824" t="s">
        <v>15</v>
      </c>
      <c r="C1" s="825" t="s">
        <v>98</v>
      </c>
      <c r="D1" s="825" t="s">
        <v>99</v>
      </c>
      <c r="E1" s="825" t="s">
        <v>100</v>
      </c>
      <c r="F1" s="825" t="s">
        <v>101</v>
      </c>
      <c r="H1" s="62" t="s">
        <v>102</v>
      </c>
      <c r="I1" s="63"/>
      <c r="J1" s="62" t="s">
        <v>102</v>
      </c>
      <c r="K1" s="63"/>
      <c r="L1" s="62" t="s">
        <v>102</v>
      </c>
      <c r="M1" s="63"/>
      <c r="N1" s="64" t="s">
        <v>103</v>
      </c>
      <c r="O1" s="63"/>
      <c r="P1" s="64" t="s">
        <v>103</v>
      </c>
      <c r="Q1" s="63"/>
      <c r="R1" s="64" t="s">
        <v>103</v>
      </c>
      <c r="S1" s="65"/>
      <c r="T1" s="64" t="s">
        <v>104</v>
      </c>
      <c r="U1" s="65"/>
      <c r="V1" s="64" t="s">
        <v>105</v>
      </c>
      <c r="W1" s="63"/>
      <c r="X1" s="64" t="s">
        <v>10</v>
      </c>
      <c r="Z1" s="64" t="s">
        <v>12</v>
      </c>
      <c r="AB1" s="64" t="s">
        <v>106</v>
      </c>
      <c r="AD1" s="64" t="s">
        <v>106</v>
      </c>
      <c r="AF1" s="64" t="s">
        <v>106</v>
      </c>
      <c r="AH1" s="66" t="s">
        <v>107</v>
      </c>
      <c r="AJ1" s="64" t="s">
        <v>39</v>
      </c>
      <c r="AL1" s="64" t="s">
        <v>108</v>
      </c>
      <c r="AN1" s="67" t="s">
        <v>109</v>
      </c>
      <c r="AP1" s="469" t="s">
        <v>994</v>
      </c>
      <c r="AR1" s="469" t="s">
        <v>1038</v>
      </c>
      <c r="AT1" s="469" t="s">
        <v>1067</v>
      </c>
      <c r="AV1" s="686" t="s">
        <v>1084</v>
      </c>
      <c r="AX1" s="686" t="s">
        <v>1114</v>
      </c>
      <c r="AZ1" s="686" t="s">
        <v>1115</v>
      </c>
    </row>
    <row r="2" spans="1:52" ht="15.75" customHeight="1" thickBot="1">
      <c r="A2" s="826" t="s">
        <v>142</v>
      </c>
      <c r="B2" s="827" t="s">
        <v>1177</v>
      </c>
      <c r="C2" s="827">
        <v>90.66</v>
      </c>
      <c r="D2" s="827">
        <v>22.94</v>
      </c>
      <c r="E2" s="827">
        <v>95.62</v>
      </c>
      <c r="F2" s="828">
        <v>0.42226999999999998</v>
      </c>
      <c r="H2" s="31" t="s">
        <v>110</v>
      </c>
      <c r="I2" s="68"/>
      <c r="J2" s="31" t="s">
        <v>111</v>
      </c>
      <c r="K2" s="68"/>
      <c r="L2" s="31" t="s">
        <v>110</v>
      </c>
      <c r="M2" s="68"/>
      <c r="N2" s="69" t="s">
        <v>112</v>
      </c>
      <c r="O2" s="68"/>
      <c r="P2" s="59" t="s">
        <v>40</v>
      </c>
      <c r="Q2" s="68"/>
      <c r="R2" s="539" t="s">
        <v>40</v>
      </c>
      <c r="S2" s="65"/>
      <c r="T2" s="59" t="s">
        <v>113</v>
      </c>
      <c r="U2" s="65"/>
      <c r="V2" s="59" t="s">
        <v>114</v>
      </c>
      <c r="W2" s="68"/>
      <c r="X2" s="59" t="s">
        <v>11</v>
      </c>
      <c r="Z2" s="59" t="s">
        <v>11</v>
      </c>
      <c r="AB2" s="59" t="s">
        <v>115</v>
      </c>
      <c r="AD2" s="59" t="s">
        <v>42</v>
      </c>
      <c r="AF2" s="59" t="s">
        <v>42</v>
      </c>
      <c r="AH2" s="25" t="s">
        <v>116</v>
      </c>
      <c r="AJ2" s="59" t="s">
        <v>11</v>
      </c>
      <c r="AL2" s="70" t="s">
        <v>117</v>
      </c>
      <c r="AN2" s="71" t="s">
        <v>56</v>
      </c>
      <c r="AP2" s="470" t="s">
        <v>995</v>
      </c>
      <c r="AR2" s="473" t="s">
        <v>1059</v>
      </c>
      <c r="AT2" s="472" t="s">
        <v>1068</v>
      </c>
      <c r="AV2" s="684" t="s">
        <v>1072</v>
      </c>
      <c r="AX2" s="684" t="s">
        <v>1116</v>
      </c>
      <c r="AZ2" s="703" t="s">
        <v>1119</v>
      </c>
    </row>
    <row r="3" spans="1:52" ht="14.25" customHeight="1" thickBot="1">
      <c r="A3" s="829" t="s">
        <v>143</v>
      </c>
      <c r="B3" s="827" t="s">
        <v>1177</v>
      </c>
      <c r="C3" s="830">
        <v>90.28</v>
      </c>
      <c r="D3" s="830">
        <v>5.27</v>
      </c>
      <c r="E3" s="830">
        <v>55.27</v>
      </c>
      <c r="F3" s="830">
        <v>1.40899</v>
      </c>
      <c r="H3" s="72" t="s">
        <v>111</v>
      </c>
      <c r="I3" s="68"/>
      <c r="J3" s="68"/>
      <c r="K3" s="68"/>
      <c r="L3" s="72" t="s">
        <v>41</v>
      </c>
      <c r="M3" s="68"/>
      <c r="N3" s="68"/>
      <c r="O3" s="68"/>
      <c r="P3" s="60" t="s">
        <v>118</v>
      </c>
      <c r="Q3" s="68"/>
      <c r="R3" s="542" t="s">
        <v>112</v>
      </c>
      <c r="S3" s="65"/>
      <c r="T3" s="60" t="s">
        <v>120</v>
      </c>
      <c r="U3" s="65"/>
      <c r="V3" s="59" t="s">
        <v>121</v>
      </c>
      <c r="W3" s="68"/>
      <c r="X3" s="73" t="s">
        <v>13</v>
      </c>
      <c r="Z3" s="73" t="s">
        <v>13</v>
      </c>
      <c r="AB3" s="73" t="s">
        <v>122</v>
      </c>
      <c r="AD3" s="74" t="s">
        <v>1065</v>
      </c>
      <c r="AF3" s="61" t="s">
        <v>1065</v>
      </c>
      <c r="AH3" s="27" t="s">
        <v>123</v>
      </c>
      <c r="AJ3" s="73" t="s">
        <v>13</v>
      </c>
      <c r="AL3" s="30" t="s">
        <v>66</v>
      </c>
      <c r="AN3" s="75" t="s">
        <v>124</v>
      </c>
      <c r="AP3" s="471" t="s">
        <v>996</v>
      </c>
      <c r="AR3" s="472" t="s">
        <v>1039</v>
      </c>
      <c r="AT3" s="473" t="s">
        <v>1069</v>
      </c>
      <c r="AV3" s="700" t="s">
        <v>1082</v>
      </c>
      <c r="AX3" s="688" t="s">
        <v>1122</v>
      </c>
      <c r="AZ3" s="691" t="s">
        <v>1121</v>
      </c>
    </row>
    <row r="4" spans="1:52" ht="15.75" thickBot="1">
      <c r="A4" s="826" t="s">
        <v>94</v>
      </c>
      <c r="B4" s="827" t="s">
        <v>1177</v>
      </c>
      <c r="C4" s="827">
        <v>90.11</v>
      </c>
      <c r="D4" s="827">
        <v>12.59</v>
      </c>
      <c r="E4" s="827">
        <v>73.08</v>
      </c>
      <c r="F4" s="830">
        <v>1.40899</v>
      </c>
      <c r="H4" s="31" t="s">
        <v>41</v>
      </c>
      <c r="I4" s="68"/>
      <c r="J4" s="68"/>
      <c r="K4" s="68"/>
      <c r="L4" s="76"/>
      <c r="M4" s="68"/>
      <c r="N4" s="68"/>
      <c r="O4" s="68"/>
      <c r="P4" s="68"/>
      <c r="Q4" s="68"/>
      <c r="R4" s="543" t="s">
        <v>119</v>
      </c>
      <c r="S4" s="65"/>
      <c r="T4" s="59" t="s">
        <v>126</v>
      </c>
      <c r="U4" s="65"/>
      <c r="V4" s="60" t="s">
        <v>127</v>
      </c>
      <c r="W4" s="68"/>
      <c r="AB4" s="68"/>
      <c r="AD4" s="68"/>
      <c r="AF4" s="59" t="s">
        <v>115</v>
      </c>
      <c r="AH4" s="27" t="s">
        <v>128</v>
      </c>
      <c r="AJ4" s="68"/>
      <c r="AL4" s="70" t="s">
        <v>129</v>
      </c>
      <c r="AN4" s="71" t="s">
        <v>130</v>
      </c>
      <c r="AP4" s="470" t="s">
        <v>997</v>
      </c>
      <c r="AR4" s="691" t="s">
        <v>1040</v>
      </c>
      <c r="AT4" s="472" t="s">
        <v>1070</v>
      </c>
      <c r="AV4" s="687" t="s">
        <v>1079</v>
      </c>
      <c r="AX4" s="687" t="s">
        <v>1120</v>
      </c>
      <c r="AZ4" s="687" t="s">
        <v>1117</v>
      </c>
    </row>
    <row r="5" spans="1:52" ht="15.75" thickBot="1">
      <c r="A5" s="829" t="s">
        <v>1178</v>
      </c>
      <c r="B5" s="827" t="s">
        <v>1177</v>
      </c>
      <c r="C5" s="830">
        <v>22.28</v>
      </c>
      <c r="D5" s="830">
        <v>28.78</v>
      </c>
      <c r="E5" s="830">
        <v>74.209999999999994</v>
      </c>
      <c r="F5" s="830">
        <v>0.45978999999999998</v>
      </c>
      <c r="R5" s="544" t="s">
        <v>125</v>
      </c>
      <c r="S5" s="65"/>
      <c r="T5" s="59" t="s">
        <v>3</v>
      </c>
      <c r="U5" s="65"/>
      <c r="V5" s="59" t="s">
        <v>131</v>
      </c>
      <c r="AB5" s="68"/>
      <c r="AD5" s="68"/>
      <c r="AF5" s="73" t="s">
        <v>122</v>
      </c>
      <c r="AH5" s="77" t="s">
        <v>132</v>
      </c>
      <c r="AJ5" s="68"/>
      <c r="AN5" s="75" t="s">
        <v>133</v>
      </c>
      <c r="AP5" s="471" t="s">
        <v>998</v>
      </c>
      <c r="AV5" s="688" t="s">
        <v>1076</v>
      </c>
      <c r="AX5" s="688" t="s">
        <v>1123</v>
      </c>
      <c r="AZ5" s="701"/>
    </row>
    <row r="6" spans="1:52" ht="14.25" customHeight="1" thickBot="1">
      <c r="A6" s="829" t="s">
        <v>1179</v>
      </c>
      <c r="B6" s="827" t="s">
        <v>1177</v>
      </c>
      <c r="C6" s="830">
        <v>93</v>
      </c>
      <c r="D6" s="830">
        <v>26</v>
      </c>
      <c r="E6" s="830">
        <v>66</v>
      </c>
      <c r="F6" s="830">
        <v>0.45978999999999998</v>
      </c>
      <c r="R6" s="541" t="s">
        <v>5</v>
      </c>
      <c r="S6" s="65"/>
      <c r="T6" s="60" t="s">
        <v>134</v>
      </c>
      <c r="U6" s="65"/>
      <c r="V6" s="60" t="s">
        <v>135</v>
      </c>
      <c r="AF6" s="78"/>
      <c r="AH6" s="27" t="s">
        <v>136</v>
      </c>
      <c r="AJ6" s="68"/>
      <c r="AN6" s="71" t="s">
        <v>1099</v>
      </c>
      <c r="AP6" s="470" t="s">
        <v>999</v>
      </c>
      <c r="AV6" s="684" t="s">
        <v>1074</v>
      </c>
      <c r="AX6" s="703" t="s">
        <v>1124</v>
      </c>
      <c r="AZ6" s="701"/>
    </row>
    <row r="7" spans="1:52" ht="15" customHeight="1" thickBot="1">
      <c r="A7" s="826" t="s">
        <v>144</v>
      </c>
      <c r="B7" s="827" t="s">
        <v>1177</v>
      </c>
      <c r="C7" s="827">
        <v>88.95</v>
      </c>
      <c r="D7" s="827">
        <v>13.42</v>
      </c>
      <c r="E7" s="827">
        <v>88.53</v>
      </c>
      <c r="F7" s="827">
        <v>1.2595000000000001</v>
      </c>
      <c r="R7" s="540" t="s">
        <v>118</v>
      </c>
      <c r="S7" s="65"/>
      <c r="T7" s="60" t="s">
        <v>137</v>
      </c>
      <c r="U7" s="65"/>
      <c r="V7" s="65"/>
      <c r="AF7" s="68"/>
      <c r="AH7" s="79" t="s">
        <v>138</v>
      </c>
      <c r="AJ7" s="68"/>
      <c r="AN7" s="75" t="s">
        <v>1100</v>
      </c>
      <c r="AP7" s="471" t="s">
        <v>1000</v>
      </c>
      <c r="AV7" s="470" t="s">
        <v>1108</v>
      </c>
      <c r="AX7" s="700" t="s">
        <v>1118</v>
      </c>
      <c r="AZ7" s="702"/>
    </row>
    <row r="8" spans="1:52" ht="18" customHeight="1" thickBot="1">
      <c r="A8" s="829" t="s">
        <v>91</v>
      </c>
      <c r="B8" s="827" t="s">
        <v>1177</v>
      </c>
      <c r="C8" s="830">
        <v>88.65</v>
      </c>
      <c r="D8" s="830">
        <v>48.84</v>
      </c>
      <c r="E8" s="830">
        <v>79.45</v>
      </c>
      <c r="F8" s="830">
        <v>1.4099900000000001</v>
      </c>
      <c r="R8" s="80"/>
      <c r="S8" s="65"/>
      <c r="T8" s="65"/>
      <c r="U8" s="65"/>
      <c r="V8" s="65"/>
      <c r="AH8" s="27" t="s">
        <v>139</v>
      </c>
      <c r="AJ8" s="68"/>
      <c r="AN8" s="71" t="s">
        <v>1101</v>
      </c>
      <c r="AP8" s="470" t="s">
        <v>1001</v>
      </c>
      <c r="AV8" s="685" t="s">
        <v>1077</v>
      </c>
    </row>
    <row r="9" spans="1:52" ht="15.75" customHeight="1" thickBot="1">
      <c r="A9" s="826" t="s">
        <v>93</v>
      </c>
      <c r="B9" s="827" t="s">
        <v>1177</v>
      </c>
      <c r="C9" s="827">
        <v>87.64</v>
      </c>
      <c r="D9" s="827">
        <v>16.68</v>
      </c>
      <c r="E9" s="827">
        <v>77.540000000000006</v>
      </c>
      <c r="F9" s="827">
        <v>1.2855000000000001</v>
      </c>
      <c r="H9" s="81"/>
      <c r="S9" s="65"/>
      <c r="T9" s="65"/>
      <c r="U9" s="65"/>
      <c r="V9" s="65"/>
      <c r="AH9" s="25" t="s">
        <v>49</v>
      </c>
      <c r="AJ9" s="68"/>
      <c r="AN9" s="82" t="s">
        <v>1102</v>
      </c>
      <c r="AP9" s="471" t="s">
        <v>1002</v>
      </c>
      <c r="AV9" s="689" t="s">
        <v>1080</v>
      </c>
    </row>
    <row r="10" spans="1:52" ht="16.5" customHeight="1" thickBot="1">
      <c r="A10" s="829" t="s">
        <v>145</v>
      </c>
      <c r="B10" s="827" t="s">
        <v>1177</v>
      </c>
      <c r="C10" s="830">
        <v>89.71</v>
      </c>
      <c r="D10" s="830">
        <v>31.48</v>
      </c>
      <c r="E10" s="830">
        <v>77.08</v>
      </c>
      <c r="F10" s="830">
        <v>0.47749999999999998</v>
      </c>
      <c r="S10" s="65"/>
      <c r="T10" s="65"/>
      <c r="U10" s="65"/>
      <c r="V10" s="65"/>
      <c r="AH10" s="25" t="s">
        <v>140</v>
      </c>
      <c r="AJ10" s="68"/>
      <c r="AN10" s="83" t="s">
        <v>1103</v>
      </c>
      <c r="AP10" s="470" t="s">
        <v>1003</v>
      </c>
      <c r="AV10" s="471" t="s">
        <v>1109</v>
      </c>
    </row>
    <row r="11" spans="1:52">
      <c r="A11" s="826" t="s">
        <v>146</v>
      </c>
      <c r="B11" s="827" t="s">
        <v>1177</v>
      </c>
      <c r="C11" s="827">
        <v>89.74</v>
      </c>
      <c r="D11" s="827">
        <v>39.630000000000003</v>
      </c>
      <c r="E11" s="827">
        <v>75.709999999999994</v>
      </c>
      <c r="F11" s="827">
        <v>0.47749999999999998</v>
      </c>
      <c r="S11" s="65"/>
      <c r="T11" s="65"/>
      <c r="U11" s="65"/>
      <c r="V11" s="65"/>
      <c r="AH11" s="27" t="s">
        <v>141</v>
      </c>
      <c r="AJ11" s="68"/>
      <c r="AP11" s="471" t="s">
        <v>1004</v>
      </c>
      <c r="AV11" s="690" t="s">
        <v>1073</v>
      </c>
    </row>
    <row r="12" spans="1:52">
      <c r="A12" s="829" t="s">
        <v>147</v>
      </c>
      <c r="B12" s="827" t="s">
        <v>1177</v>
      </c>
      <c r="C12" s="830">
        <v>89.41</v>
      </c>
      <c r="D12" s="830">
        <v>56.74</v>
      </c>
      <c r="E12" s="830">
        <v>79.64</v>
      </c>
      <c r="F12" s="830">
        <v>0.94328999999999996</v>
      </c>
      <c r="S12" s="65"/>
      <c r="T12" s="65"/>
      <c r="U12" s="65"/>
      <c r="V12" s="65"/>
      <c r="AJ12" s="68"/>
      <c r="AP12" s="470" t="s">
        <v>1005</v>
      </c>
      <c r="AV12" s="684" t="s">
        <v>1078</v>
      </c>
    </row>
    <row r="13" spans="1:52">
      <c r="A13" s="826" t="s">
        <v>148</v>
      </c>
      <c r="B13" s="827" t="s">
        <v>1177</v>
      </c>
      <c r="C13" s="827">
        <v>90.55</v>
      </c>
      <c r="D13" s="827">
        <v>63.96</v>
      </c>
      <c r="E13" s="827">
        <v>81.98</v>
      </c>
      <c r="F13" s="827">
        <v>2.0148299999999999</v>
      </c>
      <c r="S13" s="65"/>
      <c r="T13" s="65"/>
      <c r="U13" s="65"/>
      <c r="V13" s="65"/>
      <c r="AH13" s="84"/>
      <c r="AJ13" s="68"/>
      <c r="AP13" s="471" t="s">
        <v>1006</v>
      </c>
      <c r="AV13" s="470" t="s">
        <v>1110</v>
      </c>
    </row>
    <row r="14" spans="1:52">
      <c r="A14" s="829" t="s">
        <v>149</v>
      </c>
      <c r="B14" s="827" t="s">
        <v>1177</v>
      </c>
      <c r="C14" s="830">
        <v>31.8</v>
      </c>
      <c r="D14" s="830">
        <v>29.39</v>
      </c>
      <c r="E14" s="830">
        <v>83.02</v>
      </c>
      <c r="F14" s="830">
        <v>2.9860000000000001E-2</v>
      </c>
      <c r="S14" s="65"/>
      <c r="T14" s="65"/>
      <c r="U14" s="65"/>
      <c r="V14" s="65"/>
      <c r="AH14" s="85"/>
      <c r="AJ14" s="68"/>
      <c r="AP14" s="470" t="s">
        <v>1007</v>
      </c>
      <c r="AV14" s="703" t="s">
        <v>1083</v>
      </c>
    </row>
    <row r="15" spans="1:52">
      <c r="A15" s="826" t="s">
        <v>150</v>
      </c>
      <c r="B15" s="827" t="s">
        <v>1177</v>
      </c>
      <c r="C15" s="827">
        <v>89</v>
      </c>
      <c r="D15" s="827">
        <v>28.21</v>
      </c>
      <c r="E15" s="827">
        <v>78.739999999999995</v>
      </c>
      <c r="F15" s="830">
        <v>2.9860000000000001E-2</v>
      </c>
      <c r="S15" s="65"/>
      <c r="T15" s="65"/>
      <c r="U15" s="65"/>
      <c r="V15" s="65"/>
      <c r="AH15" s="85"/>
      <c r="AJ15" s="68"/>
      <c r="AP15" s="471" t="s">
        <v>1008</v>
      </c>
      <c r="AV15" s="690" t="s">
        <v>1071</v>
      </c>
    </row>
    <row r="16" spans="1:52">
      <c r="A16" s="829" t="s">
        <v>151</v>
      </c>
      <c r="B16" s="827" t="s">
        <v>1177</v>
      </c>
      <c r="C16" s="830">
        <v>87.88</v>
      </c>
      <c r="D16" s="830">
        <v>8.9600000000000009</v>
      </c>
      <c r="E16" s="830">
        <v>86.92</v>
      </c>
      <c r="F16" s="830">
        <v>1.3873200000000001</v>
      </c>
      <c r="S16" s="65"/>
      <c r="T16" s="65"/>
      <c r="U16" s="65"/>
      <c r="V16" s="65"/>
      <c r="AH16" s="85"/>
      <c r="AJ16" s="68"/>
      <c r="AP16" s="470" t="s">
        <v>1009</v>
      </c>
      <c r="AV16" s="470" t="s">
        <v>1111</v>
      </c>
    </row>
    <row r="17" spans="1:48">
      <c r="A17" s="826" t="s">
        <v>92</v>
      </c>
      <c r="B17" s="827" t="s">
        <v>1177</v>
      </c>
      <c r="C17" s="830">
        <v>87.88</v>
      </c>
      <c r="D17" s="830">
        <v>8.9600000000000009</v>
      </c>
      <c r="E17" s="830">
        <v>86.92</v>
      </c>
      <c r="F17" s="830">
        <v>1.3873200000000001</v>
      </c>
      <c r="S17" s="65"/>
      <c r="T17" s="65"/>
      <c r="U17" s="65"/>
      <c r="V17" s="65"/>
      <c r="AH17" s="85"/>
      <c r="AJ17" s="68"/>
      <c r="AP17" s="471" t="s">
        <v>1010</v>
      </c>
      <c r="AV17" s="685" t="s">
        <v>1075</v>
      </c>
    </row>
    <row r="18" spans="1:48">
      <c r="A18" s="829" t="s">
        <v>152</v>
      </c>
      <c r="B18" s="827" t="s">
        <v>1177</v>
      </c>
      <c r="C18" s="830">
        <v>65</v>
      </c>
      <c r="D18" s="827">
        <v>9.4</v>
      </c>
      <c r="E18" s="827">
        <v>88.1</v>
      </c>
      <c r="F18" s="830">
        <v>1.3873200000000001</v>
      </c>
      <c r="S18" s="65"/>
      <c r="T18" s="65"/>
      <c r="U18" s="65"/>
      <c r="V18" s="65"/>
      <c r="AH18" s="85"/>
      <c r="AJ18" s="68"/>
      <c r="AP18" s="470" t="s">
        <v>1011</v>
      </c>
      <c r="AV18" s="691" t="s">
        <v>1081</v>
      </c>
    </row>
    <row r="19" spans="1:48">
      <c r="A19" s="826" t="s">
        <v>1180</v>
      </c>
      <c r="B19" s="827" t="s">
        <v>1177</v>
      </c>
      <c r="C19" s="827">
        <v>88.1</v>
      </c>
      <c r="D19" s="827">
        <v>9.4</v>
      </c>
      <c r="E19" s="827">
        <v>88.1</v>
      </c>
      <c r="F19" s="830">
        <v>1.3873200000000001</v>
      </c>
      <c r="S19" s="65"/>
      <c r="T19" s="65"/>
      <c r="U19" s="65"/>
      <c r="V19" s="65"/>
      <c r="AH19" s="85"/>
      <c r="AJ19" s="68"/>
      <c r="AP19" s="471" t="s">
        <v>1012</v>
      </c>
      <c r="AV19" s="471" t="s">
        <v>1112</v>
      </c>
    </row>
    <row r="20" spans="1:48">
      <c r="A20" s="829" t="s">
        <v>153</v>
      </c>
      <c r="B20" s="827" t="s">
        <v>1177</v>
      </c>
      <c r="C20" s="830">
        <v>88.38</v>
      </c>
      <c r="D20" s="830">
        <v>6.93</v>
      </c>
      <c r="E20" s="830">
        <v>79.12</v>
      </c>
      <c r="F20" s="828">
        <v>-14.756790000000001</v>
      </c>
      <c r="S20" s="65"/>
      <c r="T20" s="65"/>
      <c r="U20" s="65"/>
      <c r="V20" s="65"/>
      <c r="AH20" s="85"/>
      <c r="AJ20" s="68"/>
      <c r="AP20" s="470" t="s">
        <v>1013</v>
      </c>
      <c r="AV20" s="470" t="s">
        <v>1113</v>
      </c>
    </row>
    <row r="21" spans="1:48" ht="15.75" customHeight="1">
      <c r="A21" s="826" t="s">
        <v>154</v>
      </c>
      <c r="B21" s="827" t="s">
        <v>1177</v>
      </c>
      <c r="C21" s="827">
        <v>88.83</v>
      </c>
      <c r="D21" s="827">
        <v>23.99</v>
      </c>
      <c r="E21" s="827">
        <v>77.34</v>
      </c>
      <c r="F21" s="827">
        <v>2.0148299999999999</v>
      </c>
      <c r="S21" s="65"/>
      <c r="T21" s="65"/>
      <c r="U21" s="65"/>
      <c r="V21" s="65"/>
      <c r="AH21" s="68"/>
      <c r="AJ21" s="68"/>
      <c r="AP21" s="471" t="s">
        <v>1014</v>
      </c>
      <c r="AV21" s="700" t="s">
        <v>1085</v>
      </c>
    </row>
    <row r="22" spans="1:48" ht="15.75" customHeight="1">
      <c r="A22" s="829" t="s">
        <v>155</v>
      </c>
      <c r="B22" s="827" t="s">
        <v>1177</v>
      </c>
      <c r="C22" s="830">
        <v>89.99</v>
      </c>
      <c r="D22" s="830">
        <v>28.7</v>
      </c>
      <c r="E22" s="830">
        <v>61.96</v>
      </c>
      <c r="F22" s="830">
        <v>1.40899</v>
      </c>
      <c r="S22" s="65"/>
      <c r="T22" s="65"/>
      <c r="U22" s="65"/>
      <c r="V22" s="65"/>
      <c r="AH22" s="68"/>
      <c r="AJ22" s="68"/>
      <c r="AP22" s="470" t="s">
        <v>1015</v>
      </c>
      <c r="AV22" s="692"/>
    </row>
    <row r="23" spans="1:48" ht="15.75" customHeight="1">
      <c r="A23" s="826" t="s">
        <v>156</v>
      </c>
      <c r="B23" s="827" t="s">
        <v>1177</v>
      </c>
      <c r="C23" s="827">
        <v>90.92</v>
      </c>
      <c r="D23" s="827">
        <v>38.47</v>
      </c>
      <c r="E23" s="827">
        <v>96.11</v>
      </c>
      <c r="F23" s="827">
        <v>1.5261899999999999</v>
      </c>
      <c r="S23" s="65"/>
      <c r="T23" s="65"/>
      <c r="U23" s="65"/>
      <c r="V23" s="65"/>
      <c r="AH23" s="68"/>
      <c r="AJ23" s="68"/>
      <c r="AP23" s="471" t="s">
        <v>1016</v>
      </c>
    </row>
    <row r="24" spans="1:48" ht="15.75" customHeight="1">
      <c r="A24" s="829" t="s">
        <v>157</v>
      </c>
      <c r="B24" s="827" t="s">
        <v>1177</v>
      </c>
      <c r="C24" s="830">
        <v>88.01</v>
      </c>
      <c r="D24" s="830">
        <v>9.33</v>
      </c>
      <c r="E24" s="830">
        <v>84.19</v>
      </c>
      <c r="F24" s="830">
        <v>0.86112999999999995</v>
      </c>
      <c r="S24" s="65"/>
      <c r="T24" s="65"/>
      <c r="U24" s="65"/>
      <c r="V24" s="65"/>
      <c r="AH24" s="68"/>
      <c r="AJ24" s="68"/>
      <c r="AP24" s="470" t="s">
        <v>1017</v>
      </c>
    </row>
    <row r="25" spans="1:48" ht="15.75" customHeight="1">
      <c r="A25" s="829" t="s">
        <v>1181</v>
      </c>
      <c r="B25" s="827" t="s">
        <v>1177</v>
      </c>
      <c r="C25" s="830">
        <v>85</v>
      </c>
      <c r="D25" s="830">
        <v>16</v>
      </c>
      <c r="E25" s="830">
        <v>89</v>
      </c>
      <c r="F25" s="831">
        <v>1.3986550000000002</v>
      </c>
      <c r="S25" s="65"/>
      <c r="T25" s="65"/>
      <c r="U25" s="65"/>
      <c r="V25" s="65"/>
      <c r="AH25" s="68"/>
      <c r="AJ25" s="68"/>
      <c r="AP25" s="471" t="s">
        <v>1018</v>
      </c>
    </row>
    <row r="26" spans="1:48" ht="15.75" customHeight="1">
      <c r="A26" s="829" t="s">
        <v>1182</v>
      </c>
      <c r="B26" s="827" t="s">
        <v>1177</v>
      </c>
      <c r="C26" s="830">
        <v>85</v>
      </c>
      <c r="D26" s="830">
        <v>18</v>
      </c>
      <c r="E26" s="830">
        <v>89</v>
      </c>
      <c r="F26" s="831">
        <v>1.3986550000000002</v>
      </c>
      <c r="S26" s="65"/>
      <c r="T26" s="65"/>
      <c r="U26" s="65"/>
      <c r="V26" s="65"/>
      <c r="AH26" s="68"/>
      <c r="AJ26" s="68"/>
      <c r="AP26" s="470" t="s">
        <v>1019</v>
      </c>
    </row>
    <row r="27" spans="1:48" ht="15.75" customHeight="1">
      <c r="A27" s="826" t="s">
        <v>1183</v>
      </c>
      <c r="B27" s="827" t="s">
        <v>1177</v>
      </c>
      <c r="C27" s="830">
        <v>85</v>
      </c>
      <c r="D27" s="827">
        <v>20</v>
      </c>
      <c r="E27" s="830">
        <v>89</v>
      </c>
      <c r="F27" s="831">
        <v>1.3986550000000002</v>
      </c>
      <c r="S27" s="65"/>
      <c r="T27" s="65"/>
      <c r="U27" s="65"/>
      <c r="V27" s="65"/>
      <c r="AH27" s="68"/>
      <c r="AJ27" s="68"/>
      <c r="AP27" s="471" t="s">
        <v>1020</v>
      </c>
    </row>
    <row r="28" spans="1:48" ht="15.75" customHeight="1">
      <c r="A28" s="826" t="s">
        <v>1184</v>
      </c>
      <c r="B28" s="827" t="s">
        <v>1177</v>
      </c>
      <c r="C28" s="830">
        <v>85</v>
      </c>
      <c r="D28" s="827">
        <v>22</v>
      </c>
      <c r="E28" s="830">
        <v>89</v>
      </c>
      <c r="F28" s="831">
        <v>1.3986550000000002</v>
      </c>
      <c r="S28" s="65"/>
      <c r="T28" s="65"/>
      <c r="U28" s="65"/>
      <c r="V28" s="65"/>
      <c r="AH28" s="68"/>
      <c r="AJ28" s="68"/>
    </row>
    <row r="29" spans="1:48" ht="15.75" customHeight="1">
      <c r="A29" s="829" t="s">
        <v>1185</v>
      </c>
      <c r="B29" s="827" t="s">
        <v>1177</v>
      </c>
      <c r="C29" s="830">
        <v>85</v>
      </c>
      <c r="D29" s="830">
        <v>24</v>
      </c>
      <c r="E29" s="830">
        <v>89</v>
      </c>
      <c r="F29" s="831">
        <v>1.3986550000000002</v>
      </c>
      <c r="S29" s="65"/>
      <c r="T29" s="65"/>
      <c r="U29" s="65"/>
      <c r="V29" s="65"/>
      <c r="AH29" s="68"/>
      <c r="AJ29" s="68"/>
    </row>
    <row r="30" spans="1:48" ht="15.75" customHeight="1">
      <c r="A30" s="829" t="s">
        <v>1186</v>
      </c>
      <c r="B30" s="827" t="s">
        <v>1177</v>
      </c>
      <c r="C30" s="830">
        <v>85</v>
      </c>
      <c r="D30" s="830">
        <v>30</v>
      </c>
      <c r="E30" s="830">
        <v>89</v>
      </c>
      <c r="F30" s="831">
        <v>1.3986550000000002</v>
      </c>
      <c r="S30" s="65"/>
      <c r="T30" s="65"/>
      <c r="U30" s="65"/>
      <c r="V30" s="65"/>
      <c r="AH30" s="86"/>
      <c r="AJ30" s="68"/>
    </row>
    <row r="31" spans="1:48" ht="15.75" customHeight="1">
      <c r="A31" s="829" t="s">
        <v>1187</v>
      </c>
      <c r="B31" s="827" t="s">
        <v>1177</v>
      </c>
      <c r="C31" s="830">
        <v>85</v>
      </c>
      <c r="D31" s="830">
        <v>366</v>
      </c>
      <c r="E31" s="830">
        <v>89</v>
      </c>
      <c r="F31" s="831">
        <v>1.3986550000000002</v>
      </c>
      <c r="S31" s="65"/>
      <c r="T31" s="65"/>
      <c r="U31" s="65"/>
      <c r="V31" s="65"/>
      <c r="AH31" s="87"/>
    </row>
    <row r="32" spans="1:48" ht="15.75" customHeight="1">
      <c r="A32" s="826" t="s">
        <v>1188</v>
      </c>
      <c r="B32" s="827" t="s">
        <v>1189</v>
      </c>
      <c r="C32" s="827">
        <v>99.9</v>
      </c>
      <c r="D32" s="827">
        <v>86</v>
      </c>
      <c r="E32" s="827">
        <v>0</v>
      </c>
      <c r="F32" s="827">
        <v>2.1520000000000001</v>
      </c>
      <c r="S32" s="65"/>
      <c r="T32" s="65"/>
      <c r="U32" s="65"/>
      <c r="V32" s="65"/>
      <c r="AH32" s="87"/>
    </row>
    <row r="33" spans="1:34" ht="15.75" customHeight="1">
      <c r="A33" s="826" t="s">
        <v>1190</v>
      </c>
      <c r="B33" s="827" t="s">
        <v>1189</v>
      </c>
      <c r="C33" s="827">
        <v>99.9</v>
      </c>
      <c r="D33" s="827">
        <v>78</v>
      </c>
      <c r="E33" s="827">
        <v>0</v>
      </c>
      <c r="F33" s="827">
        <v>2.1520000000000001</v>
      </c>
      <c r="S33" s="65"/>
      <c r="T33" s="65"/>
      <c r="U33" s="65"/>
      <c r="V33" s="65"/>
      <c r="AH33" s="87"/>
    </row>
    <row r="34" spans="1:34" ht="15.75" customHeight="1">
      <c r="A34" s="826" t="s">
        <v>1191</v>
      </c>
      <c r="B34" s="827" t="s">
        <v>1189</v>
      </c>
      <c r="C34" s="827">
        <v>99.9</v>
      </c>
      <c r="D34" s="827">
        <v>89</v>
      </c>
      <c r="E34" s="827">
        <v>0</v>
      </c>
      <c r="F34" s="827">
        <v>2.1520000000000001</v>
      </c>
      <c r="S34" s="65"/>
      <c r="T34" s="65"/>
      <c r="U34" s="65"/>
      <c r="V34" s="65"/>
      <c r="AH34" s="87"/>
    </row>
    <row r="35" spans="1:34" ht="15.75" customHeight="1">
      <c r="A35" s="826" t="s">
        <v>1192</v>
      </c>
      <c r="B35" s="827" t="s">
        <v>1189</v>
      </c>
      <c r="C35" s="827">
        <v>99.9</v>
      </c>
      <c r="D35" s="827">
        <v>86</v>
      </c>
      <c r="E35" s="827">
        <v>0</v>
      </c>
      <c r="F35" s="827">
        <v>2.1520000000000001</v>
      </c>
      <c r="S35" s="65"/>
      <c r="T35" s="65"/>
      <c r="U35" s="65"/>
      <c r="V35" s="65"/>
      <c r="AH35" s="87"/>
    </row>
    <row r="36" spans="1:34" ht="15.75" customHeight="1">
      <c r="A36" s="826" t="s">
        <v>1193</v>
      </c>
      <c r="B36" s="827" t="s">
        <v>1189</v>
      </c>
      <c r="C36" s="827">
        <v>99.9</v>
      </c>
      <c r="D36" s="827">
        <v>55.8</v>
      </c>
      <c r="E36" s="827">
        <v>0</v>
      </c>
      <c r="F36" s="830">
        <v>2.1520000000000001</v>
      </c>
      <c r="S36" s="65"/>
      <c r="T36" s="65"/>
      <c r="U36" s="65"/>
      <c r="V36" s="65"/>
      <c r="AH36" s="87"/>
    </row>
    <row r="37" spans="1:34" ht="15.75" customHeight="1">
      <c r="A37" s="829" t="s">
        <v>1194</v>
      </c>
      <c r="B37" s="830" t="s">
        <v>1189</v>
      </c>
      <c r="C37" s="830">
        <v>99.9</v>
      </c>
      <c r="D37" s="827">
        <v>33.35</v>
      </c>
      <c r="E37" s="830">
        <v>0</v>
      </c>
      <c r="F37" s="830">
        <v>2.1520000000000001</v>
      </c>
      <c r="S37" s="65"/>
      <c r="T37" s="65"/>
      <c r="U37" s="65"/>
      <c r="V37" s="65"/>
      <c r="AH37" s="87"/>
    </row>
    <row r="38" spans="1:34" ht="15.75" customHeight="1">
      <c r="A38" s="829" t="s">
        <v>167</v>
      </c>
      <c r="B38" s="830" t="s">
        <v>1195</v>
      </c>
      <c r="C38" s="830">
        <v>12</v>
      </c>
      <c r="D38" s="830">
        <v>3.2</v>
      </c>
      <c r="E38" s="830">
        <v>98.3</v>
      </c>
      <c r="F38" s="830">
        <v>1.542</v>
      </c>
      <c r="S38" s="65"/>
      <c r="T38" s="65"/>
      <c r="U38" s="65"/>
      <c r="V38" s="65"/>
      <c r="AH38" s="87"/>
    </row>
    <row r="39" spans="1:34" ht="15.75" customHeight="1">
      <c r="A39" s="826" t="s">
        <v>168</v>
      </c>
      <c r="B39" s="827" t="s">
        <v>1195</v>
      </c>
      <c r="C39" s="827">
        <v>11</v>
      </c>
      <c r="D39" s="827">
        <v>21</v>
      </c>
      <c r="E39" s="827">
        <v>98.3</v>
      </c>
      <c r="F39" s="827">
        <v>8.8405299999999993</v>
      </c>
      <c r="S39" s="65"/>
      <c r="T39" s="65"/>
      <c r="U39" s="65"/>
      <c r="V39" s="65"/>
      <c r="AH39" s="87"/>
    </row>
    <row r="40" spans="1:34" ht="15.75" customHeight="1">
      <c r="A40" s="829" t="s">
        <v>169</v>
      </c>
      <c r="B40" s="830" t="s">
        <v>1196</v>
      </c>
      <c r="C40" s="830">
        <v>98.97</v>
      </c>
      <c r="D40" s="830">
        <v>0</v>
      </c>
      <c r="E40" s="830">
        <v>0</v>
      </c>
      <c r="F40" s="830">
        <v>0.64598999999999995</v>
      </c>
      <c r="S40" s="65"/>
      <c r="T40" s="65"/>
      <c r="U40" s="65"/>
      <c r="V40" s="65"/>
      <c r="AH40" s="87"/>
    </row>
    <row r="41" spans="1:34" ht="15.75" customHeight="1">
      <c r="A41" s="826" t="s">
        <v>158</v>
      </c>
      <c r="B41" s="827" t="s">
        <v>1197</v>
      </c>
      <c r="C41" s="827">
        <v>97.88</v>
      </c>
      <c r="D41" s="827">
        <v>281.92</v>
      </c>
      <c r="E41" s="827">
        <v>0</v>
      </c>
      <c r="F41" s="832">
        <v>1.5697700000000001</v>
      </c>
      <c r="S41" s="65"/>
      <c r="T41" s="65"/>
      <c r="U41" s="65"/>
      <c r="V41" s="65"/>
      <c r="AH41" s="87"/>
    </row>
    <row r="42" spans="1:34" ht="15.75" customHeight="1">
      <c r="A42" s="826" t="s">
        <v>159</v>
      </c>
      <c r="B42" s="830" t="s">
        <v>1198</v>
      </c>
      <c r="C42" s="827">
        <v>94.12</v>
      </c>
      <c r="D42" s="827">
        <v>7.3</v>
      </c>
      <c r="E42" s="827">
        <v>80.67</v>
      </c>
      <c r="F42" s="827">
        <v>0.47749999999999998</v>
      </c>
      <c r="S42" s="65"/>
      <c r="T42" s="65"/>
      <c r="U42" s="65"/>
      <c r="V42" s="65"/>
      <c r="AH42" s="87"/>
    </row>
    <row r="43" spans="1:34" ht="15.75" customHeight="1">
      <c r="A43" s="829" t="s">
        <v>160</v>
      </c>
      <c r="B43" s="830" t="s">
        <v>1198</v>
      </c>
      <c r="C43" s="830">
        <v>28.86</v>
      </c>
      <c r="D43" s="830">
        <v>2.8</v>
      </c>
      <c r="E43" s="830">
        <v>63.3</v>
      </c>
      <c r="F43" s="833">
        <v>-1.7799999999999999E-3</v>
      </c>
      <c r="S43" s="65"/>
      <c r="T43" s="65"/>
      <c r="U43" s="65"/>
      <c r="V43" s="65"/>
      <c r="AH43" s="87"/>
    </row>
    <row r="44" spans="1:34" ht="15.75" customHeight="1">
      <c r="A44" s="829" t="s">
        <v>1199</v>
      </c>
      <c r="B44" s="830" t="s">
        <v>1198</v>
      </c>
      <c r="C44" s="830">
        <v>57.17</v>
      </c>
      <c r="D44" s="830">
        <v>2.14</v>
      </c>
      <c r="E44" s="830">
        <v>53.35</v>
      </c>
      <c r="F44" s="830">
        <v>1.0740000000000001E-3</v>
      </c>
      <c r="S44" s="65"/>
      <c r="T44" s="65"/>
      <c r="U44" s="65"/>
      <c r="V44" s="65"/>
      <c r="AH44" s="87"/>
    </row>
    <row r="45" spans="1:34" ht="15.75" customHeight="1">
      <c r="A45" s="826" t="s">
        <v>161</v>
      </c>
      <c r="B45" s="827" t="s">
        <v>1198</v>
      </c>
      <c r="C45" s="827">
        <v>89.32</v>
      </c>
      <c r="D45" s="827">
        <v>18.77</v>
      </c>
      <c r="E45" s="827">
        <v>52.87</v>
      </c>
      <c r="F45" s="827">
        <v>0.44762000000000002</v>
      </c>
      <c r="S45" s="65"/>
      <c r="T45" s="65"/>
      <c r="U45" s="65"/>
      <c r="V45" s="65"/>
      <c r="AH45" s="87"/>
    </row>
    <row r="46" spans="1:34" ht="15.75" customHeight="1">
      <c r="A46" s="829" t="s">
        <v>1200</v>
      </c>
      <c r="B46" s="830" t="s">
        <v>1198</v>
      </c>
      <c r="C46" s="830">
        <v>88.66</v>
      </c>
      <c r="D46" s="830">
        <v>9.24</v>
      </c>
      <c r="E46" s="830">
        <v>55.38</v>
      </c>
      <c r="F46" s="830">
        <v>0.44762000000000002</v>
      </c>
      <c r="S46" s="65"/>
      <c r="T46" s="65"/>
      <c r="U46" s="65"/>
      <c r="V46" s="65"/>
      <c r="AH46" s="87"/>
    </row>
    <row r="47" spans="1:34" ht="15.75" customHeight="1">
      <c r="A47" s="829" t="s">
        <v>162</v>
      </c>
      <c r="B47" s="830" t="s">
        <v>1198</v>
      </c>
      <c r="C47" s="830">
        <v>62.2</v>
      </c>
      <c r="D47" s="830">
        <v>6.7</v>
      </c>
      <c r="E47" s="830">
        <v>66.849999999999994</v>
      </c>
      <c r="F47" s="830">
        <v>0.23202999999999999</v>
      </c>
      <c r="S47" s="65"/>
      <c r="T47" s="65"/>
      <c r="U47" s="65"/>
      <c r="V47" s="65"/>
      <c r="AH47" s="87"/>
    </row>
    <row r="48" spans="1:34" ht="15.75" customHeight="1">
      <c r="A48" s="826" t="s">
        <v>163</v>
      </c>
      <c r="B48" s="827" t="s">
        <v>1198</v>
      </c>
      <c r="C48" s="827">
        <v>13.8</v>
      </c>
      <c r="D48" s="827">
        <v>4.3600000000000003</v>
      </c>
      <c r="E48" s="827">
        <v>50.92</v>
      </c>
      <c r="F48" s="830">
        <v>1.108E-2</v>
      </c>
      <c r="S48" s="65"/>
      <c r="T48" s="65"/>
      <c r="U48" s="65"/>
      <c r="V48" s="65"/>
    </row>
    <row r="49" spans="1:22" ht="15.75" customHeight="1">
      <c r="A49" s="829" t="s">
        <v>164</v>
      </c>
      <c r="B49" s="827" t="s">
        <v>1198</v>
      </c>
      <c r="C49" s="830">
        <v>25.68</v>
      </c>
      <c r="D49" s="830">
        <v>3.47</v>
      </c>
      <c r="E49" s="830">
        <v>58.75</v>
      </c>
      <c r="F49" s="830">
        <v>1.108E-2</v>
      </c>
      <c r="S49" s="65"/>
      <c r="T49" s="65"/>
      <c r="U49" s="65"/>
      <c r="V49" s="65"/>
    </row>
    <row r="50" spans="1:22" ht="15.75" customHeight="1">
      <c r="A50" s="829" t="s">
        <v>165</v>
      </c>
      <c r="B50" s="827" t="s">
        <v>1198</v>
      </c>
      <c r="C50" s="830">
        <v>26.49</v>
      </c>
      <c r="D50" s="830">
        <v>8.07</v>
      </c>
      <c r="E50" s="830">
        <v>55.96</v>
      </c>
      <c r="F50" s="830">
        <v>5.3609999999999998E-2</v>
      </c>
      <c r="S50" s="65"/>
      <c r="T50" s="65"/>
      <c r="U50" s="65"/>
      <c r="V50" s="65"/>
    </row>
    <row r="51" spans="1:22" ht="15.75" customHeight="1">
      <c r="A51" s="826" t="s">
        <v>95</v>
      </c>
      <c r="B51" s="827" t="s">
        <v>1198</v>
      </c>
      <c r="C51" s="827">
        <v>31.22</v>
      </c>
      <c r="D51" s="827">
        <v>7.18</v>
      </c>
      <c r="E51" s="827">
        <v>63.58</v>
      </c>
      <c r="F51" s="830">
        <v>5.3609999999999998E-2</v>
      </c>
      <c r="S51" s="65"/>
      <c r="T51" s="65"/>
      <c r="U51" s="65"/>
      <c r="V51" s="65"/>
    </row>
    <row r="52" spans="1:22" ht="15.75" customHeight="1">
      <c r="A52" s="834" t="s">
        <v>166</v>
      </c>
      <c r="B52" s="835" t="s">
        <v>1198</v>
      </c>
      <c r="C52" s="836">
        <v>29.71</v>
      </c>
      <c r="D52" s="836">
        <v>6.46</v>
      </c>
      <c r="E52" s="836">
        <v>61.41</v>
      </c>
      <c r="F52" s="830">
        <v>5.3609999999999998E-2</v>
      </c>
      <c r="S52" s="65"/>
      <c r="T52" s="65"/>
      <c r="U52" s="65"/>
      <c r="V52" s="65"/>
    </row>
    <row r="53" spans="1:22" ht="15.75" customHeight="1">
      <c r="A53" s="837" t="s">
        <v>1201</v>
      </c>
      <c r="B53" s="827" t="s">
        <v>1198</v>
      </c>
      <c r="C53" s="838">
        <v>24.01</v>
      </c>
      <c r="D53" s="838">
        <v>13</v>
      </c>
      <c r="E53" s="838">
        <v>62</v>
      </c>
      <c r="F53" s="839">
        <v>0.14699999999999999</v>
      </c>
      <c r="S53" s="65"/>
      <c r="T53" s="65"/>
      <c r="U53" s="65"/>
      <c r="V53" s="65"/>
    </row>
    <row r="54" spans="1:22" ht="15.75" customHeight="1">
      <c r="A54" s="837" t="s">
        <v>1202</v>
      </c>
      <c r="B54" s="827" t="s">
        <v>1198</v>
      </c>
      <c r="C54" s="838">
        <v>15</v>
      </c>
      <c r="D54" s="838">
        <v>9.5</v>
      </c>
      <c r="E54" s="838">
        <v>55</v>
      </c>
      <c r="F54" s="839">
        <v>0.14699999999999999</v>
      </c>
      <c r="S54" s="65"/>
      <c r="T54" s="65"/>
      <c r="U54" s="65"/>
      <c r="V54" s="65"/>
    </row>
    <row r="55" spans="1:22" ht="15.75" customHeight="1">
      <c r="A55" s="837" t="s">
        <v>1203</v>
      </c>
      <c r="B55" s="827" t="s">
        <v>1198</v>
      </c>
      <c r="C55" s="838">
        <v>24.36</v>
      </c>
      <c r="D55" s="838">
        <v>12.21</v>
      </c>
      <c r="E55" s="838">
        <v>57.25</v>
      </c>
      <c r="F55" s="839">
        <v>0.14699999999999999</v>
      </c>
      <c r="S55" s="65"/>
      <c r="T55" s="65"/>
      <c r="U55" s="65"/>
      <c r="V55" s="65"/>
    </row>
    <row r="56" spans="1:22" ht="15.75" customHeight="1">
      <c r="A56" s="837" t="s">
        <v>1204</v>
      </c>
      <c r="B56" s="827" t="s">
        <v>1198</v>
      </c>
      <c r="C56" s="838">
        <v>30.95</v>
      </c>
      <c r="D56" s="838">
        <v>9.5</v>
      </c>
      <c r="E56" s="838">
        <v>60</v>
      </c>
      <c r="F56" s="839">
        <v>0.14699999999999999</v>
      </c>
      <c r="S56" s="65"/>
      <c r="T56" s="65"/>
      <c r="U56" s="65"/>
      <c r="V56" s="65"/>
    </row>
    <row r="57" spans="1:22" ht="15.75" customHeight="1">
      <c r="A57" s="837" t="s">
        <v>1205</v>
      </c>
      <c r="B57" s="827" t="s">
        <v>1198</v>
      </c>
      <c r="C57" s="838">
        <v>24.01</v>
      </c>
      <c r="D57" s="838">
        <v>9.5</v>
      </c>
      <c r="E57" s="838">
        <v>55.5</v>
      </c>
      <c r="F57" s="839">
        <v>0.14699999999999999</v>
      </c>
      <c r="S57" s="65"/>
      <c r="T57" s="65"/>
      <c r="U57" s="65"/>
      <c r="V57" s="65"/>
    </row>
    <row r="58" spans="1:22" ht="15.75" customHeight="1">
      <c r="A58" s="837" t="s">
        <v>1206</v>
      </c>
      <c r="B58" s="827" t="s">
        <v>1198</v>
      </c>
      <c r="C58" s="838">
        <v>30.95</v>
      </c>
      <c r="D58" s="838">
        <v>7.5</v>
      </c>
      <c r="E58" s="838">
        <v>52.5</v>
      </c>
      <c r="F58" s="839">
        <v>0.14699999999999999</v>
      </c>
      <c r="S58" s="65"/>
      <c r="T58" s="65"/>
      <c r="U58" s="65"/>
      <c r="V58" s="65"/>
    </row>
    <row r="59" spans="1:22" ht="15.75" customHeight="1">
      <c r="A59" s="837" t="s">
        <v>1207</v>
      </c>
      <c r="B59" s="827" t="s">
        <v>1198</v>
      </c>
      <c r="C59" s="838">
        <v>30.95</v>
      </c>
      <c r="D59" s="838">
        <v>9.5</v>
      </c>
      <c r="E59" s="838">
        <v>55.5</v>
      </c>
      <c r="F59" s="839">
        <v>0.14699999999999999</v>
      </c>
      <c r="S59" s="65"/>
      <c r="T59" s="65"/>
      <c r="U59" s="65"/>
      <c r="V59" s="65"/>
    </row>
    <row r="60" spans="1:22" ht="15.75" customHeight="1">
      <c r="A60" s="837" t="s">
        <v>1208</v>
      </c>
      <c r="B60" s="827" t="s">
        <v>1198</v>
      </c>
      <c r="C60" s="838">
        <v>25.5</v>
      </c>
      <c r="D60" s="838">
        <v>9.5299999999999994</v>
      </c>
      <c r="E60" s="838">
        <v>55</v>
      </c>
      <c r="F60" s="839">
        <v>0.14699999999999999</v>
      </c>
      <c r="S60" s="65"/>
      <c r="T60" s="65"/>
      <c r="U60" s="65"/>
      <c r="V60" s="65"/>
    </row>
    <row r="61" spans="1:22" ht="15.75" customHeight="1">
      <c r="A61" s="837" t="s">
        <v>1209</v>
      </c>
      <c r="B61" s="827" t="s">
        <v>1198</v>
      </c>
      <c r="C61" s="838">
        <v>25.55</v>
      </c>
      <c r="D61" s="838">
        <v>11.5</v>
      </c>
      <c r="E61" s="838">
        <v>58</v>
      </c>
      <c r="F61" s="839">
        <v>0.14699999999999999</v>
      </c>
      <c r="S61" s="65"/>
      <c r="T61" s="65"/>
      <c r="U61" s="65"/>
      <c r="V61" s="65"/>
    </row>
    <row r="62" spans="1:22" ht="15.75" customHeight="1">
      <c r="A62" s="837" t="s">
        <v>1210</v>
      </c>
      <c r="B62" s="827" t="s">
        <v>1198</v>
      </c>
      <c r="C62" s="838">
        <v>38.520000000000003</v>
      </c>
      <c r="D62" s="838">
        <v>7.5</v>
      </c>
      <c r="E62" s="838">
        <v>54</v>
      </c>
      <c r="F62" s="839">
        <v>0.14699999999999999</v>
      </c>
      <c r="S62" s="65"/>
      <c r="T62" s="65"/>
      <c r="U62" s="65"/>
      <c r="V62" s="65"/>
    </row>
    <row r="63" spans="1:22" ht="15.75" customHeight="1">
      <c r="A63" s="837" t="s">
        <v>1211</v>
      </c>
      <c r="B63" s="827" t="s">
        <v>1198</v>
      </c>
      <c r="C63" s="838">
        <v>38.520000000000003</v>
      </c>
      <c r="D63" s="838">
        <v>8</v>
      </c>
      <c r="E63" s="838">
        <v>50.75</v>
      </c>
      <c r="F63" s="839">
        <v>0.14699999999999999</v>
      </c>
      <c r="S63" s="65"/>
      <c r="T63" s="65"/>
      <c r="U63" s="65"/>
      <c r="V63" s="65"/>
    </row>
    <row r="64" spans="1:22" ht="15.75" customHeight="1">
      <c r="A64" s="837" t="s">
        <v>1212</v>
      </c>
      <c r="B64" s="827" t="s">
        <v>1198</v>
      </c>
      <c r="C64" s="838">
        <v>38.520000000000003</v>
      </c>
      <c r="D64" s="838">
        <v>6.75</v>
      </c>
      <c r="E64" s="838">
        <v>50.75</v>
      </c>
      <c r="F64" s="839">
        <v>0.14699999999999999</v>
      </c>
      <c r="S64" s="65"/>
      <c r="T64" s="65"/>
      <c r="U64" s="65"/>
      <c r="V64" s="65"/>
    </row>
    <row r="65" spans="1:22" ht="15.75" customHeight="1">
      <c r="A65" s="837" t="s">
        <v>1213</v>
      </c>
      <c r="B65" s="827" t="s">
        <v>1198</v>
      </c>
      <c r="C65" s="838">
        <v>22</v>
      </c>
      <c r="D65" s="838">
        <v>7.73</v>
      </c>
      <c r="E65" s="838">
        <v>50</v>
      </c>
      <c r="F65" s="839">
        <v>0.14699999999999999</v>
      </c>
      <c r="S65" s="65"/>
      <c r="T65" s="65"/>
      <c r="U65" s="65"/>
      <c r="V65" s="65"/>
    </row>
    <row r="66" spans="1:22" ht="15.75" customHeight="1">
      <c r="A66" s="837" t="s">
        <v>1214</v>
      </c>
      <c r="B66" s="827" t="s">
        <v>1198</v>
      </c>
      <c r="C66" s="838">
        <v>30.43</v>
      </c>
      <c r="D66" s="838">
        <v>5.42</v>
      </c>
      <c r="E66" s="838">
        <v>50</v>
      </c>
      <c r="F66" s="839">
        <v>0.14699999999999999</v>
      </c>
      <c r="S66" s="65"/>
      <c r="T66" s="65"/>
      <c r="U66" s="65"/>
      <c r="V66" s="65"/>
    </row>
    <row r="67" spans="1:22" ht="15.75" customHeight="1">
      <c r="A67" s="837" t="s">
        <v>1215</v>
      </c>
      <c r="B67" s="827" t="s">
        <v>1198</v>
      </c>
      <c r="C67" s="838">
        <v>25.55</v>
      </c>
      <c r="D67" s="838">
        <v>10</v>
      </c>
      <c r="E67" s="838">
        <v>51</v>
      </c>
      <c r="F67" s="839">
        <v>0.14699999999999999</v>
      </c>
      <c r="S67" s="65"/>
      <c r="T67" s="65"/>
      <c r="U67" s="65"/>
      <c r="V67" s="65"/>
    </row>
    <row r="68" spans="1:22" ht="15.75" customHeight="1">
      <c r="A68" s="840" t="s">
        <v>1216</v>
      </c>
      <c r="B68" s="841" t="s">
        <v>1177</v>
      </c>
      <c r="C68" s="842"/>
      <c r="D68" s="842"/>
      <c r="E68" s="842"/>
      <c r="F68" s="843">
        <v>0.61606249999999996</v>
      </c>
      <c r="S68" s="65"/>
      <c r="T68" s="65"/>
      <c r="U68" s="65"/>
      <c r="V68" s="65"/>
    </row>
    <row r="69" spans="1:22" ht="15.75" customHeight="1">
      <c r="A69" s="844" t="s">
        <v>1217</v>
      </c>
      <c r="B69" s="845" t="s">
        <v>1198</v>
      </c>
      <c r="C69" s="846"/>
      <c r="D69" s="846"/>
      <c r="E69" s="846"/>
      <c r="F69" s="847">
        <v>0.15354053846153837</v>
      </c>
      <c r="S69" s="65"/>
      <c r="T69" s="65"/>
      <c r="U69" s="65"/>
      <c r="V69" s="65"/>
    </row>
    <row r="70" spans="1:22" ht="15.75" customHeight="1">
      <c r="A70" s="848"/>
      <c r="B70" s="849"/>
      <c r="C70" s="850"/>
      <c r="D70" s="850"/>
      <c r="E70" s="850"/>
      <c r="F70" s="849"/>
      <c r="S70" s="65"/>
      <c r="T70" s="65"/>
      <c r="U70" s="65"/>
      <c r="V70" s="65"/>
    </row>
    <row r="71" spans="1:22" ht="15.75" customHeight="1">
      <c r="A71" s="851"/>
      <c r="B71" s="852"/>
      <c r="C71" s="853"/>
      <c r="D71" s="853"/>
      <c r="E71" s="853"/>
      <c r="F71" s="853"/>
      <c r="S71" s="65"/>
      <c r="T71" s="65"/>
      <c r="U71" s="65"/>
      <c r="V71" s="65"/>
    </row>
    <row r="72" spans="1:22" ht="15.75" customHeight="1">
      <c r="A72" s="848"/>
      <c r="B72" s="849"/>
      <c r="C72" s="850"/>
      <c r="D72" s="850"/>
      <c r="E72" s="850"/>
      <c r="F72" s="849"/>
      <c r="S72" s="65"/>
      <c r="T72" s="65"/>
      <c r="U72" s="65"/>
      <c r="V72" s="65"/>
    </row>
    <row r="73" spans="1:22" ht="15.75" customHeight="1">
      <c r="A73" s="851"/>
      <c r="B73" s="852"/>
      <c r="C73" s="853"/>
      <c r="D73" s="853"/>
      <c r="E73" s="853"/>
      <c r="F73" s="853"/>
      <c r="S73" s="65"/>
      <c r="T73" s="65"/>
      <c r="U73" s="65"/>
      <c r="V73" s="65"/>
    </row>
    <row r="74" spans="1:22" ht="15.75" customHeight="1">
      <c r="A74" s="848"/>
      <c r="B74" s="849"/>
      <c r="C74" s="850"/>
      <c r="D74" s="850"/>
      <c r="E74" s="850"/>
      <c r="F74" s="849"/>
      <c r="S74" s="65"/>
      <c r="T74" s="65"/>
      <c r="U74" s="65"/>
      <c r="V74" s="65"/>
    </row>
    <row r="75" spans="1:22" ht="15.75" customHeight="1">
      <c r="A75" s="851"/>
      <c r="B75" s="852"/>
      <c r="C75" s="853"/>
      <c r="D75" s="853"/>
      <c r="E75" s="853"/>
      <c r="F75" s="852"/>
      <c r="S75" s="65"/>
      <c r="T75" s="65"/>
      <c r="U75" s="65"/>
      <c r="V75" s="65"/>
    </row>
    <row r="76" spans="1:22" ht="15.75" customHeight="1">
      <c r="A76" s="848"/>
      <c r="B76" s="849"/>
      <c r="C76" s="850"/>
      <c r="D76" s="850"/>
      <c r="E76" s="850"/>
      <c r="F76" s="849"/>
      <c r="S76" s="65"/>
      <c r="T76" s="65"/>
      <c r="U76" s="65"/>
      <c r="V76" s="65"/>
    </row>
    <row r="77" spans="1:22" ht="15.75" customHeight="1">
      <c r="A77" s="851"/>
      <c r="B77" s="852"/>
      <c r="C77" s="853"/>
      <c r="D77" s="853"/>
      <c r="E77" s="853"/>
      <c r="F77" s="852"/>
      <c r="S77" s="65"/>
      <c r="T77" s="65"/>
      <c r="U77" s="65"/>
      <c r="V77" s="65"/>
    </row>
    <row r="78" spans="1:22" ht="15.75" customHeight="1">
      <c r="A78" s="848"/>
      <c r="B78" s="849"/>
      <c r="C78" s="850"/>
      <c r="D78" s="850"/>
      <c r="E78" s="850"/>
      <c r="F78" s="850"/>
      <c r="S78" s="65"/>
      <c r="T78" s="65"/>
      <c r="U78" s="65"/>
      <c r="V78" s="65"/>
    </row>
    <row r="79" spans="1:22" ht="15.75" customHeight="1">
      <c r="A79" s="851"/>
      <c r="B79" s="852"/>
      <c r="C79" s="853"/>
      <c r="D79" s="853"/>
      <c r="E79" s="853"/>
      <c r="F79" s="853"/>
      <c r="S79" s="65"/>
      <c r="T79" s="65"/>
      <c r="U79" s="65"/>
      <c r="V79" s="65"/>
    </row>
    <row r="80" spans="1:22" ht="15.75" customHeight="1">
      <c r="A80" s="848"/>
      <c r="B80" s="849"/>
      <c r="C80" s="850"/>
      <c r="D80" s="850"/>
      <c r="E80" s="850"/>
      <c r="F80" s="850"/>
      <c r="S80" s="65"/>
      <c r="T80" s="65"/>
      <c r="U80" s="65"/>
      <c r="V80" s="65"/>
    </row>
    <row r="81" spans="1:22" ht="15.75" customHeight="1">
      <c r="A81" s="851"/>
      <c r="B81" s="852"/>
      <c r="C81" s="853"/>
      <c r="D81" s="853"/>
      <c r="E81" s="853"/>
      <c r="F81" s="853"/>
      <c r="S81" s="65"/>
      <c r="T81" s="65"/>
      <c r="U81" s="65"/>
      <c r="V81" s="65"/>
    </row>
    <row r="82" spans="1:22" ht="15.75" customHeight="1">
      <c r="A82" s="848"/>
      <c r="B82" s="849"/>
      <c r="C82" s="850"/>
      <c r="D82" s="850"/>
      <c r="E82" s="850"/>
      <c r="F82" s="850"/>
      <c r="S82" s="65"/>
      <c r="T82" s="65"/>
      <c r="U82" s="65"/>
      <c r="V82" s="65"/>
    </row>
    <row r="83" spans="1:22" ht="15.75" customHeight="1">
      <c r="A83" s="851"/>
      <c r="B83" s="852"/>
      <c r="C83" s="853"/>
      <c r="D83" s="853"/>
      <c r="E83" s="853"/>
      <c r="F83" s="852"/>
      <c r="S83" s="65"/>
      <c r="T83" s="65"/>
      <c r="U83" s="65"/>
      <c r="V83" s="65"/>
    </row>
    <row r="84" spans="1:22" ht="15.75" customHeight="1">
      <c r="A84" s="848"/>
      <c r="B84" s="849"/>
      <c r="C84" s="850"/>
      <c r="D84" s="850"/>
      <c r="E84" s="850"/>
      <c r="F84" s="849"/>
      <c r="S84" s="65"/>
      <c r="T84" s="65"/>
      <c r="U84" s="65"/>
      <c r="V84" s="65"/>
    </row>
    <row r="85" spans="1:22" ht="15.75" customHeight="1">
      <c r="A85" s="851"/>
      <c r="B85" s="852"/>
      <c r="C85" s="853"/>
      <c r="D85" s="853"/>
      <c r="E85" s="853"/>
      <c r="F85" s="852"/>
      <c r="S85" s="65"/>
      <c r="T85" s="65"/>
      <c r="U85" s="65"/>
      <c r="V85" s="65"/>
    </row>
    <row r="86" spans="1:22" ht="15.75" customHeight="1">
      <c r="A86" s="848"/>
      <c r="B86" s="849"/>
      <c r="C86" s="850"/>
      <c r="D86" s="849"/>
      <c r="E86" s="849"/>
      <c r="F86" s="849"/>
      <c r="S86" s="65"/>
      <c r="T86" s="65"/>
      <c r="U86" s="65"/>
      <c r="V86" s="65"/>
    </row>
    <row r="87" spans="1:22" ht="15.75" customHeight="1">
      <c r="A87" s="851"/>
      <c r="B87" s="852"/>
      <c r="C87" s="852"/>
      <c r="D87" s="852"/>
      <c r="E87" s="852"/>
      <c r="F87" s="852"/>
      <c r="S87" s="65"/>
      <c r="T87" s="65"/>
      <c r="U87" s="65"/>
      <c r="V87" s="65"/>
    </row>
    <row r="88" spans="1:22" ht="15.75" customHeight="1">
      <c r="A88" s="848"/>
      <c r="B88" s="849"/>
      <c r="C88" s="849"/>
      <c r="D88" s="849"/>
      <c r="E88" s="849"/>
      <c r="F88" s="849"/>
      <c r="S88" s="65"/>
      <c r="T88" s="65"/>
      <c r="U88" s="65"/>
      <c r="V88" s="65"/>
    </row>
    <row r="89" spans="1:22" ht="15.75" customHeight="1">
      <c r="A89" s="851"/>
      <c r="B89" s="852"/>
      <c r="C89" s="852"/>
      <c r="D89" s="852"/>
      <c r="E89" s="852"/>
      <c r="F89" s="852"/>
      <c r="S89" s="65"/>
      <c r="T89" s="65"/>
      <c r="U89" s="65"/>
      <c r="V89" s="65"/>
    </row>
    <row r="90" spans="1:22" ht="15.75" customHeight="1">
      <c r="A90" s="848"/>
      <c r="B90" s="849"/>
      <c r="C90" s="849"/>
      <c r="D90" s="849"/>
      <c r="E90" s="849"/>
      <c r="F90" s="849"/>
      <c r="S90" s="65"/>
      <c r="T90" s="65"/>
      <c r="U90" s="65"/>
      <c r="V90" s="65"/>
    </row>
    <row r="91" spans="1:22" ht="15.75" customHeight="1">
      <c r="A91" s="854"/>
      <c r="B91" s="854"/>
      <c r="C91" s="854"/>
      <c r="D91" s="854"/>
      <c r="E91" s="854"/>
      <c r="F91" s="854"/>
      <c r="S91" s="65"/>
      <c r="T91" s="65"/>
      <c r="U91" s="65"/>
      <c r="V91" s="65"/>
    </row>
    <row r="92" spans="1:22" ht="15.75" customHeight="1">
      <c r="A92" s="855"/>
      <c r="B92" s="855"/>
      <c r="C92" s="855"/>
      <c r="D92" s="855"/>
      <c r="E92" s="855"/>
      <c r="F92" s="855"/>
      <c r="S92" s="65"/>
      <c r="T92" s="65"/>
      <c r="U92" s="65"/>
      <c r="V92" s="65"/>
    </row>
    <row r="93" spans="1:22" ht="15.75" customHeight="1">
      <c r="S93" s="65"/>
      <c r="T93" s="65"/>
      <c r="U93" s="65"/>
      <c r="V93" s="65"/>
    </row>
    <row r="94" spans="1:22" ht="15.75" customHeight="1">
      <c r="S94" s="65"/>
      <c r="T94" s="65"/>
      <c r="U94" s="65"/>
      <c r="V94" s="65"/>
    </row>
    <row r="95" spans="1:22" ht="15.75" customHeight="1">
      <c r="S95" s="65"/>
      <c r="T95" s="65"/>
      <c r="U95" s="65"/>
      <c r="V95" s="65"/>
    </row>
    <row r="96" spans="1:22" ht="15.75" customHeight="1">
      <c r="S96" s="65"/>
      <c r="T96" s="65"/>
      <c r="U96" s="65"/>
      <c r="V96" s="65"/>
    </row>
    <row r="97" spans="19:22" ht="15.75" customHeight="1">
      <c r="S97" s="65"/>
      <c r="T97" s="65"/>
      <c r="U97" s="65"/>
      <c r="V97" s="65"/>
    </row>
    <row r="98" spans="19:22" ht="15.75" customHeight="1">
      <c r="S98" s="65"/>
      <c r="T98" s="65"/>
      <c r="U98" s="65"/>
      <c r="V98" s="65"/>
    </row>
    <row r="99" spans="19:22" ht="15.75" customHeight="1">
      <c r="S99" s="65"/>
      <c r="T99" s="65"/>
      <c r="U99" s="65"/>
      <c r="V99" s="65"/>
    </row>
    <row r="100" spans="19:22" ht="15.75" customHeight="1">
      <c r="S100" s="65"/>
      <c r="T100" s="65"/>
      <c r="U100" s="65"/>
      <c r="V100" s="65"/>
    </row>
    <row r="101" spans="19:22" ht="15.75" customHeight="1">
      <c r="S101" s="65"/>
      <c r="T101" s="65"/>
      <c r="U101" s="65"/>
      <c r="V101" s="65"/>
    </row>
    <row r="102" spans="19:22" ht="15.75" customHeight="1">
      <c r="S102" s="65"/>
      <c r="T102" s="65"/>
      <c r="U102" s="65"/>
      <c r="V102" s="65"/>
    </row>
    <row r="103" spans="19:22" ht="15.75" customHeight="1">
      <c r="S103" s="65"/>
      <c r="T103" s="65"/>
      <c r="U103" s="65"/>
      <c r="V103" s="65"/>
    </row>
    <row r="104" spans="19:22" ht="15.75" customHeight="1">
      <c r="S104" s="65"/>
      <c r="T104" s="65"/>
      <c r="U104" s="65"/>
      <c r="V104" s="65"/>
    </row>
    <row r="105" spans="19:22" ht="15.75" customHeight="1">
      <c r="S105" s="65"/>
      <c r="T105" s="65"/>
      <c r="U105" s="65"/>
      <c r="V105" s="65"/>
    </row>
    <row r="106" spans="19:22" ht="15.75" customHeight="1">
      <c r="S106" s="65"/>
      <c r="T106" s="65"/>
      <c r="U106" s="65"/>
      <c r="V106" s="65"/>
    </row>
    <row r="107" spans="19:22" ht="15.75" customHeight="1">
      <c r="S107" s="65"/>
      <c r="T107" s="65"/>
      <c r="U107" s="65"/>
      <c r="V107" s="65"/>
    </row>
    <row r="108" spans="19:22" ht="15.75" customHeight="1">
      <c r="S108" s="65"/>
      <c r="T108" s="65"/>
      <c r="U108" s="65"/>
      <c r="V108" s="65"/>
    </row>
    <row r="109" spans="19:22" ht="15.75" customHeight="1">
      <c r="S109" s="65"/>
      <c r="T109" s="65"/>
      <c r="U109" s="65"/>
      <c r="V109" s="65"/>
    </row>
    <row r="110" spans="19:22" ht="15.75" customHeight="1">
      <c r="S110" s="65"/>
      <c r="T110" s="65"/>
      <c r="U110" s="65"/>
      <c r="V110" s="65"/>
    </row>
    <row r="111" spans="19:22" ht="15.75" customHeight="1">
      <c r="S111" s="65"/>
      <c r="T111" s="65"/>
      <c r="U111" s="65"/>
      <c r="V111" s="65"/>
    </row>
    <row r="112" spans="19:22" ht="15.75" customHeight="1">
      <c r="S112" s="65"/>
      <c r="T112" s="65"/>
      <c r="U112" s="65"/>
      <c r="V112" s="65"/>
    </row>
    <row r="113" spans="19:22" ht="15.75" customHeight="1">
      <c r="S113" s="65"/>
      <c r="T113" s="65"/>
      <c r="U113" s="65"/>
      <c r="V113" s="65"/>
    </row>
    <row r="114" spans="19:22" ht="15.75" customHeight="1">
      <c r="S114" s="65"/>
      <c r="T114" s="65"/>
      <c r="U114" s="65"/>
      <c r="V114" s="65"/>
    </row>
    <row r="115" spans="19:22" ht="15.75" customHeight="1">
      <c r="S115" s="65"/>
      <c r="T115" s="65"/>
      <c r="U115" s="65"/>
      <c r="V115" s="65"/>
    </row>
    <row r="116" spans="19:22" ht="15.75" customHeight="1">
      <c r="S116" s="65"/>
      <c r="T116" s="65"/>
      <c r="U116" s="65"/>
      <c r="V116" s="65"/>
    </row>
    <row r="117" spans="19:22" ht="15.75" customHeight="1">
      <c r="S117" s="65"/>
      <c r="T117" s="65"/>
      <c r="U117" s="65"/>
      <c r="V117" s="65"/>
    </row>
    <row r="118" spans="19:22" ht="15.75" customHeight="1">
      <c r="S118" s="65"/>
      <c r="T118" s="65"/>
      <c r="U118" s="65"/>
      <c r="V118" s="65"/>
    </row>
    <row r="119" spans="19:22" ht="15.75" customHeight="1">
      <c r="S119" s="65"/>
      <c r="T119" s="65"/>
      <c r="U119" s="65"/>
      <c r="V119" s="65"/>
    </row>
    <row r="120" spans="19:22" ht="15.75" customHeight="1">
      <c r="S120" s="65"/>
      <c r="T120" s="65"/>
      <c r="U120" s="65"/>
      <c r="V120" s="65"/>
    </row>
    <row r="121" spans="19:22" ht="15.75" customHeight="1">
      <c r="S121" s="65"/>
      <c r="T121" s="65"/>
      <c r="U121" s="65"/>
      <c r="V121" s="65"/>
    </row>
    <row r="122" spans="19:22" ht="15.75" customHeight="1">
      <c r="S122" s="65"/>
      <c r="T122" s="65"/>
      <c r="U122" s="65"/>
      <c r="V122" s="65"/>
    </row>
    <row r="123" spans="19:22" ht="15.75" customHeight="1">
      <c r="S123" s="65"/>
      <c r="T123" s="65"/>
      <c r="U123" s="65"/>
      <c r="V123" s="65"/>
    </row>
    <row r="124" spans="19:22" ht="15.75" customHeight="1">
      <c r="S124" s="65"/>
      <c r="T124" s="65"/>
      <c r="U124" s="65"/>
      <c r="V124" s="65"/>
    </row>
    <row r="125" spans="19:22" ht="15.75" customHeight="1">
      <c r="S125" s="65"/>
      <c r="T125" s="65"/>
      <c r="U125" s="65"/>
      <c r="V125" s="65"/>
    </row>
    <row r="126" spans="19:22" ht="15.75" customHeight="1">
      <c r="S126" s="65"/>
      <c r="T126" s="65"/>
      <c r="U126" s="65"/>
      <c r="V126" s="65"/>
    </row>
    <row r="127" spans="19:22" ht="15.75" customHeight="1">
      <c r="S127" s="65"/>
      <c r="T127" s="65"/>
      <c r="U127" s="65"/>
      <c r="V127" s="65"/>
    </row>
    <row r="128" spans="19:22" ht="15.75" customHeight="1">
      <c r="S128" s="65"/>
      <c r="T128" s="65"/>
      <c r="U128" s="65"/>
      <c r="V128" s="65"/>
    </row>
    <row r="129" spans="19:22" ht="15.75" customHeight="1">
      <c r="S129" s="65"/>
      <c r="T129" s="65"/>
      <c r="U129" s="65"/>
      <c r="V129" s="65"/>
    </row>
    <row r="130" spans="19:22" ht="15.75" customHeight="1">
      <c r="S130" s="65"/>
      <c r="T130" s="65"/>
      <c r="U130" s="65"/>
      <c r="V130" s="65"/>
    </row>
    <row r="131" spans="19:22" ht="15.75" customHeight="1">
      <c r="S131" s="65"/>
      <c r="T131" s="65"/>
      <c r="U131" s="65"/>
      <c r="V131" s="65"/>
    </row>
    <row r="132" spans="19:22" ht="15.75" customHeight="1">
      <c r="S132" s="65"/>
      <c r="T132" s="65"/>
      <c r="U132" s="65"/>
      <c r="V132" s="65"/>
    </row>
    <row r="133" spans="19:22" ht="15.75" customHeight="1">
      <c r="S133" s="65"/>
      <c r="T133" s="65"/>
      <c r="U133" s="65"/>
      <c r="V133" s="65"/>
    </row>
    <row r="134" spans="19:22" ht="15.75" customHeight="1">
      <c r="S134" s="65"/>
      <c r="T134" s="65"/>
      <c r="U134" s="65"/>
      <c r="V134" s="65"/>
    </row>
    <row r="135" spans="19:22" ht="15.75" customHeight="1">
      <c r="S135" s="65"/>
      <c r="T135" s="65"/>
      <c r="U135" s="65"/>
      <c r="V135" s="65"/>
    </row>
    <row r="136" spans="19:22" ht="15.75" customHeight="1">
      <c r="S136" s="65"/>
      <c r="T136" s="65"/>
      <c r="U136" s="65"/>
      <c r="V136" s="65"/>
    </row>
    <row r="137" spans="19:22" ht="15.75" customHeight="1">
      <c r="S137" s="65"/>
      <c r="T137" s="65"/>
      <c r="U137" s="65"/>
      <c r="V137" s="65"/>
    </row>
    <row r="138" spans="19:22" ht="15.75" customHeight="1">
      <c r="S138" s="65"/>
      <c r="T138" s="65"/>
      <c r="U138" s="65"/>
      <c r="V138" s="65"/>
    </row>
    <row r="139" spans="19:22" ht="15.75" customHeight="1">
      <c r="S139" s="65"/>
      <c r="T139" s="65"/>
      <c r="U139" s="65"/>
      <c r="V139" s="65"/>
    </row>
    <row r="140" spans="19:22" ht="15.75" customHeight="1">
      <c r="S140" s="65"/>
      <c r="T140" s="65"/>
      <c r="U140" s="65"/>
      <c r="V140" s="65"/>
    </row>
    <row r="141" spans="19:22" ht="15.75" customHeight="1">
      <c r="S141" s="65"/>
      <c r="T141" s="65"/>
      <c r="U141" s="65"/>
      <c r="V141" s="65"/>
    </row>
    <row r="142" spans="19:22" ht="15.75" customHeight="1">
      <c r="S142" s="65"/>
      <c r="T142" s="65"/>
      <c r="U142" s="65"/>
      <c r="V142" s="65"/>
    </row>
    <row r="143" spans="19:22" ht="15.75" customHeight="1">
      <c r="S143" s="65"/>
      <c r="T143" s="65"/>
      <c r="U143" s="65"/>
      <c r="V143" s="65"/>
    </row>
    <row r="144" spans="19:22" ht="15.75" customHeight="1">
      <c r="S144" s="65"/>
      <c r="T144" s="65"/>
      <c r="U144" s="65"/>
      <c r="V144" s="65"/>
    </row>
    <row r="145" spans="19:22" ht="15.75" customHeight="1">
      <c r="S145" s="65"/>
      <c r="T145" s="65"/>
      <c r="U145" s="65"/>
      <c r="V145" s="65"/>
    </row>
    <row r="146" spans="19:22" ht="15.75" customHeight="1">
      <c r="S146" s="65"/>
      <c r="T146" s="65"/>
      <c r="U146" s="65"/>
      <c r="V146" s="65"/>
    </row>
    <row r="147" spans="19:22" ht="15.75" customHeight="1">
      <c r="S147" s="65"/>
      <c r="T147" s="65"/>
      <c r="U147" s="65"/>
      <c r="V147" s="65"/>
    </row>
    <row r="148" spans="19:22" ht="15.75" customHeight="1">
      <c r="S148" s="65"/>
      <c r="T148" s="65"/>
      <c r="U148" s="65"/>
      <c r="V148" s="65"/>
    </row>
    <row r="149" spans="19:22" ht="15.75" customHeight="1">
      <c r="S149" s="65"/>
      <c r="T149" s="65"/>
      <c r="U149" s="65"/>
      <c r="V149" s="65"/>
    </row>
    <row r="150" spans="19:22" ht="15.75" customHeight="1">
      <c r="S150" s="65"/>
      <c r="T150" s="65"/>
      <c r="U150" s="65"/>
      <c r="V150" s="65"/>
    </row>
    <row r="151" spans="19:22" ht="15.75" customHeight="1">
      <c r="S151" s="65"/>
      <c r="T151" s="65"/>
      <c r="U151" s="65"/>
      <c r="V151" s="65"/>
    </row>
    <row r="152" spans="19:22" ht="15.75" customHeight="1">
      <c r="S152" s="65"/>
      <c r="T152" s="65"/>
      <c r="U152" s="65"/>
      <c r="V152" s="65"/>
    </row>
    <row r="153" spans="19:22" ht="15.75" customHeight="1">
      <c r="S153" s="65"/>
      <c r="T153" s="65"/>
      <c r="U153" s="65"/>
      <c r="V153" s="65"/>
    </row>
    <row r="154" spans="19:22" ht="15.75" customHeight="1">
      <c r="S154" s="65"/>
      <c r="T154" s="65"/>
      <c r="U154" s="65"/>
      <c r="V154" s="65"/>
    </row>
    <row r="155" spans="19:22" ht="15.75" customHeight="1">
      <c r="S155" s="65"/>
      <c r="T155" s="65"/>
      <c r="U155" s="65"/>
      <c r="V155" s="65"/>
    </row>
    <row r="156" spans="19:22" ht="15.75" customHeight="1">
      <c r="S156" s="65"/>
      <c r="T156" s="65"/>
      <c r="U156" s="65"/>
      <c r="V156" s="65"/>
    </row>
    <row r="157" spans="19:22" ht="15.75" customHeight="1">
      <c r="S157" s="65"/>
      <c r="T157" s="65"/>
      <c r="U157" s="65"/>
      <c r="V157" s="65"/>
    </row>
    <row r="158" spans="19:22" ht="15.75" customHeight="1">
      <c r="S158" s="65"/>
      <c r="T158" s="65"/>
      <c r="U158" s="65"/>
      <c r="V158" s="65"/>
    </row>
    <row r="159" spans="19:22" ht="15.75" customHeight="1">
      <c r="S159" s="65"/>
      <c r="T159" s="65"/>
      <c r="U159" s="65"/>
      <c r="V159" s="65"/>
    </row>
    <row r="160" spans="19:22" ht="15.75" customHeight="1">
      <c r="S160" s="65"/>
      <c r="T160" s="65"/>
      <c r="U160" s="65"/>
      <c r="V160" s="65"/>
    </row>
    <row r="161" spans="19:22" ht="15.75" customHeight="1">
      <c r="S161" s="65"/>
      <c r="T161" s="65"/>
      <c r="U161" s="65"/>
      <c r="V161" s="65"/>
    </row>
    <row r="162" spans="19:22" ht="15.75" customHeight="1">
      <c r="S162" s="65"/>
      <c r="T162" s="65"/>
      <c r="U162" s="65"/>
      <c r="V162" s="65"/>
    </row>
    <row r="163" spans="19:22" ht="15.75" customHeight="1">
      <c r="S163" s="65"/>
      <c r="T163" s="65"/>
      <c r="U163" s="65"/>
      <c r="V163" s="65"/>
    </row>
    <row r="164" spans="19:22" ht="15.75" customHeight="1">
      <c r="S164" s="65"/>
      <c r="T164" s="65"/>
      <c r="U164" s="65"/>
      <c r="V164" s="65"/>
    </row>
    <row r="165" spans="19:22" ht="15.75" customHeight="1">
      <c r="S165" s="65"/>
      <c r="T165" s="65"/>
      <c r="U165" s="65"/>
      <c r="V165" s="65"/>
    </row>
    <row r="166" spans="19:22" ht="15.75" customHeight="1">
      <c r="S166" s="65"/>
      <c r="T166" s="65"/>
      <c r="U166" s="65"/>
      <c r="V166" s="65"/>
    </row>
    <row r="167" spans="19:22" ht="15.75" customHeight="1">
      <c r="S167" s="65"/>
      <c r="T167" s="65"/>
      <c r="U167" s="65"/>
      <c r="V167" s="65"/>
    </row>
    <row r="168" spans="19:22" ht="15.75" customHeight="1">
      <c r="S168" s="65"/>
      <c r="T168" s="65"/>
      <c r="U168" s="65"/>
      <c r="V168" s="65"/>
    </row>
    <row r="169" spans="19:22" ht="15.75" customHeight="1">
      <c r="S169" s="65"/>
      <c r="T169" s="65"/>
      <c r="U169" s="65"/>
      <c r="V169" s="65"/>
    </row>
    <row r="170" spans="19:22" ht="15.75" customHeight="1">
      <c r="S170" s="65"/>
      <c r="T170" s="65"/>
      <c r="U170" s="65"/>
      <c r="V170" s="65"/>
    </row>
    <row r="171" spans="19:22" ht="15.75" customHeight="1">
      <c r="S171" s="65"/>
      <c r="T171" s="65"/>
      <c r="U171" s="65"/>
      <c r="V171" s="65"/>
    </row>
    <row r="172" spans="19:22" ht="15.75" customHeight="1">
      <c r="S172" s="65"/>
      <c r="T172" s="65"/>
      <c r="U172" s="65"/>
      <c r="V172" s="65"/>
    </row>
    <row r="173" spans="19:22" ht="15.75" customHeight="1">
      <c r="S173" s="65"/>
      <c r="T173" s="65"/>
      <c r="U173" s="65"/>
      <c r="V173" s="65"/>
    </row>
    <row r="174" spans="19:22" ht="15.75" customHeight="1">
      <c r="S174" s="65"/>
      <c r="T174" s="65"/>
      <c r="U174" s="65"/>
      <c r="V174" s="65"/>
    </row>
    <row r="175" spans="19:22" ht="15.75" customHeight="1">
      <c r="S175" s="65"/>
      <c r="T175" s="65"/>
      <c r="U175" s="65"/>
      <c r="V175" s="65"/>
    </row>
    <row r="176" spans="19:22" ht="15.75" customHeight="1">
      <c r="S176" s="65"/>
      <c r="T176" s="65"/>
      <c r="U176" s="65"/>
      <c r="V176" s="65"/>
    </row>
    <row r="177" spans="19:22" ht="15.75" customHeight="1">
      <c r="S177" s="65"/>
      <c r="T177" s="65"/>
      <c r="U177" s="65"/>
      <c r="V177" s="65"/>
    </row>
    <row r="178" spans="19:22" ht="15.75" customHeight="1">
      <c r="S178" s="65"/>
      <c r="T178" s="65"/>
      <c r="U178" s="65"/>
      <c r="V178" s="65"/>
    </row>
    <row r="179" spans="19:22" ht="15.75" customHeight="1">
      <c r="S179" s="65"/>
      <c r="T179" s="65"/>
      <c r="U179" s="65"/>
      <c r="V179" s="65"/>
    </row>
    <row r="180" spans="19:22" ht="15.75" customHeight="1">
      <c r="S180" s="65"/>
      <c r="T180" s="65"/>
      <c r="U180" s="65"/>
      <c r="V180" s="65"/>
    </row>
    <row r="181" spans="19:22" ht="15.75" customHeight="1">
      <c r="S181" s="65"/>
      <c r="T181" s="65"/>
      <c r="U181" s="65"/>
      <c r="V181" s="65"/>
    </row>
    <row r="182" spans="19:22" ht="15.75" customHeight="1">
      <c r="S182" s="65"/>
      <c r="T182" s="65"/>
      <c r="U182" s="65"/>
      <c r="V182" s="65"/>
    </row>
    <row r="183" spans="19:22" ht="15.75" customHeight="1">
      <c r="S183" s="65"/>
      <c r="T183" s="65"/>
      <c r="U183" s="65"/>
      <c r="V183" s="65"/>
    </row>
    <row r="184" spans="19:22" ht="15.75" customHeight="1">
      <c r="S184" s="65"/>
      <c r="T184" s="65"/>
      <c r="U184" s="65"/>
      <c r="V184" s="65"/>
    </row>
    <row r="185" spans="19:22" ht="15.75" customHeight="1">
      <c r="S185" s="65"/>
      <c r="T185" s="65"/>
      <c r="U185" s="65"/>
      <c r="V185" s="65"/>
    </row>
    <row r="186" spans="19:22" ht="15.75" customHeight="1">
      <c r="S186" s="65"/>
      <c r="T186" s="65"/>
      <c r="U186" s="65"/>
      <c r="V186" s="65"/>
    </row>
    <row r="187" spans="19:22" ht="15.75" customHeight="1">
      <c r="S187" s="65"/>
      <c r="T187" s="65"/>
      <c r="U187" s="65"/>
      <c r="V187" s="65"/>
    </row>
    <row r="188" spans="19:22" ht="15.75" customHeight="1">
      <c r="S188" s="65"/>
      <c r="T188" s="65"/>
      <c r="U188" s="65"/>
      <c r="V188" s="65"/>
    </row>
    <row r="189" spans="19:22" ht="15.75" customHeight="1">
      <c r="S189" s="65"/>
      <c r="T189" s="65"/>
      <c r="U189" s="65"/>
      <c r="V189" s="65"/>
    </row>
    <row r="190" spans="19:22" ht="15.75" customHeight="1">
      <c r="S190" s="65"/>
      <c r="T190" s="65"/>
      <c r="U190" s="65"/>
      <c r="V190" s="65"/>
    </row>
    <row r="191" spans="19:22" ht="15.75" customHeight="1">
      <c r="S191" s="65"/>
      <c r="T191" s="65"/>
      <c r="U191" s="65"/>
      <c r="V191" s="65"/>
    </row>
    <row r="192" spans="19:22" ht="15.75" customHeight="1">
      <c r="S192" s="65"/>
      <c r="T192" s="65"/>
      <c r="U192" s="65"/>
      <c r="V192" s="65"/>
    </row>
    <row r="193" spans="19:22" ht="15.75" customHeight="1">
      <c r="S193" s="65"/>
      <c r="T193" s="65"/>
      <c r="U193" s="65"/>
      <c r="V193" s="65"/>
    </row>
    <row r="194" spans="19:22" ht="15.75" customHeight="1">
      <c r="S194" s="65"/>
      <c r="T194" s="65"/>
      <c r="U194" s="65"/>
      <c r="V194" s="65"/>
    </row>
    <row r="195" spans="19:22" ht="15.75" customHeight="1">
      <c r="S195" s="65"/>
      <c r="T195" s="65"/>
      <c r="U195" s="65"/>
      <c r="V195" s="65"/>
    </row>
    <row r="196" spans="19:22" ht="15.75" customHeight="1">
      <c r="S196" s="65"/>
      <c r="T196" s="65"/>
      <c r="U196" s="65"/>
      <c r="V196" s="65"/>
    </row>
    <row r="197" spans="19:22" ht="15.75" customHeight="1">
      <c r="S197" s="65"/>
      <c r="T197" s="65"/>
      <c r="U197" s="65"/>
      <c r="V197" s="65"/>
    </row>
    <row r="198" spans="19:22" ht="15.75" customHeight="1">
      <c r="S198" s="65"/>
      <c r="T198" s="65"/>
      <c r="U198" s="65"/>
      <c r="V198" s="65"/>
    </row>
    <row r="199" spans="19:22" ht="15.75" customHeight="1">
      <c r="S199" s="65"/>
      <c r="T199" s="65"/>
      <c r="U199" s="65"/>
      <c r="V199" s="65"/>
    </row>
    <row r="200" spans="19:22" ht="15.75" customHeight="1">
      <c r="S200" s="65"/>
      <c r="T200" s="65"/>
      <c r="U200" s="65"/>
      <c r="V200" s="65"/>
    </row>
    <row r="201" spans="19:22" ht="15.75" customHeight="1">
      <c r="S201" s="65"/>
      <c r="T201" s="65"/>
      <c r="U201" s="65"/>
      <c r="V201" s="65"/>
    </row>
    <row r="202" spans="19:22" ht="15.75" customHeight="1">
      <c r="S202" s="65"/>
      <c r="T202" s="65"/>
      <c r="U202" s="65"/>
      <c r="V202" s="65"/>
    </row>
    <row r="203" spans="19:22" ht="15.75" customHeight="1">
      <c r="S203" s="65"/>
      <c r="T203" s="65"/>
      <c r="U203" s="65"/>
      <c r="V203" s="65"/>
    </row>
    <row r="204" spans="19:22" ht="15.75" customHeight="1">
      <c r="S204" s="65"/>
      <c r="T204" s="65"/>
      <c r="U204" s="65"/>
      <c r="V204" s="65"/>
    </row>
    <row r="205" spans="19:22" ht="15.75" customHeight="1">
      <c r="S205" s="65"/>
      <c r="T205" s="65"/>
      <c r="U205" s="65"/>
      <c r="V205" s="65"/>
    </row>
    <row r="206" spans="19:22" ht="15.75" customHeight="1">
      <c r="S206" s="65"/>
      <c r="T206" s="65"/>
      <c r="U206" s="65"/>
      <c r="V206" s="65"/>
    </row>
    <row r="207" spans="19:22" ht="15.75" customHeight="1">
      <c r="S207" s="65"/>
      <c r="T207" s="65"/>
      <c r="U207" s="65"/>
      <c r="V207" s="65"/>
    </row>
    <row r="208" spans="19:22" ht="15.75" customHeight="1">
      <c r="S208" s="65"/>
      <c r="T208" s="65"/>
      <c r="U208" s="65"/>
      <c r="V208" s="65"/>
    </row>
    <row r="209" spans="19:22" ht="15.75" customHeight="1">
      <c r="S209" s="65"/>
      <c r="T209" s="65"/>
      <c r="U209" s="65"/>
      <c r="V209" s="65"/>
    </row>
    <row r="210" spans="19:22" ht="15.75" customHeight="1">
      <c r="S210" s="65"/>
      <c r="T210" s="65"/>
      <c r="U210" s="65"/>
      <c r="V210" s="65"/>
    </row>
    <row r="211" spans="19:22" ht="15.75" customHeight="1">
      <c r="S211" s="65"/>
      <c r="T211" s="65"/>
      <c r="U211" s="65"/>
      <c r="V211" s="65"/>
    </row>
    <row r="212" spans="19:22" ht="15.75" customHeight="1">
      <c r="S212" s="65"/>
      <c r="T212" s="65"/>
      <c r="U212" s="65"/>
      <c r="V212" s="65"/>
    </row>
    <row r="213" spans="19:22" ht="15.75" customHeight="1">
      <c r="S213" s="65"/>
      <c r="T213" s="65"/>
      <c r="U213" s="65"/>
      <c r="V213" s="65"/>
    </row>
    <row r="214" spans="19:22" ht="15.75" customHeight="1">
      <c r="S214" s="65"/>
      <c r="T214" s="65"/>
      <c r="U214" s="65"/>
      <c r="V214" s="65"/>
    </row>
    <row r="215" spans="19:22" ht="15.75" customHeight="1">
      <c r="S215" s="65"/>
      <c r="T215" s="65"/>
      <c r="U215" s="65"/>
      <c r="V215" s="65"/>
    </row>
    <row r="216" spans="19:22" ht="15.75" customHeight="1">
      <c r="S216" s="65"/>
      <c r="T216" s="65"/>
      <c r="U216" s="65"/>
      <c r="V216" s="65"/>
    </row>
    <row r="217" spans="19:22" ht="15.75" customHeight="1">
      <c r="S217" s="65"/>
      <c r="T217" s="65"/>
      <c r="U217" s="65"/>
      <c r="V217" s="65"/>
    </row>
    <row r="218" spans="19:22" ht="15.75" customHeight="1">
      <c r="S218" s="65"/>
      <c r="T218" s="65"/>
      <c r="U218" s="65"/>
      <c r="V218" s="65"/>
    </row>
    <row r="219" spans="19:22" ht="15.75" customHeight="1">
      <c r="S219" s="65"/>
      <c r="T219" s="65"/>
      <c r="U219" s="65"/>
      <c r="V219" s="65"/>
    </row>
    <row r="220" spans="19:22" ht="15.75" customHeight="1">
      <c r="S220" s="65"/>
      <c r="T220" s="65"/>
      <c r="U220" s="65"/>
      <c r="V220" s="65"/>
    </row>
    <row r="221" spans="19:22" ht="15.75" customHeight="1">
      <c r="S221" s="65"/>
      <c r="T221" s="65"/>
      <c r="U221" s="65"/>
      <c r="V221" s="65"/>
    </row>
    <row r="222" spans="19:22" ht="15.75" customHeight="1">
      <c r="S222" s="65"/>
      <c r="T222" s="65"/>
      <c r="U222" s="65"/>
      <c r="V222" s="65"/>
    </row>
    <row r="223" spans="19:22" ht="15.75" customHeight="1">
      <c r="S223" s="65"/>
      <c r="T223" s="65"/>
      <c r="U223" s="65"/>
      <c r="V223" s="65"/>
    </row>
    <row r="224" spans="19:22" ht="15.75" customHeight="1">
      <c r="S224" s="65"/>
      <c r="T224" s="65"/>
      <c r="U224" s="65"/>
      <c r="V224" s="65"/>
    </row>
    <row r="225" spans="19:22" ht="15.75" customHeight="1">
      <c r="S225" s="65"/>
      <c r="T225" s="65"/>
      <c r="U225" s="65"/>
      <c r="V225" s="65"/>
    </row>
    <row r="226" spans="19:22" ht="15.75" customHeight="1">
      <c r="S226" s="65"/>
      <c r="T226" s="65"/>
      <c r="U226" s="65"/>
      <c r="V226" s="65"/>
    </row>
    <row r="227" spans="19:22" ht="15.75" customHeight="1">
      <c r="S227" s="65"/>
      <c r="T227" s="65"/>
      <c r="U227" s="65"/>
      <c r="V227" s="65"/>
    </row>
    <row r="228" spans="19:22" ht="15.75" customHeight="1">
      <c r="S228" s="65"/>
      <c r="T228" s="65"/>
      <c r="U228" s="65"/>
      <c r="V228" s="65"/>
    </row>
    <row r="229" spans="19:22" ht="15.75" customHeight="1">
      <c r="S229" s="65"/>
      <c r="T229" s="65"/>
      <c r="U229" s="65"/>
      <c r="V229" s="65"/>
    </row>
    <row r="230" spans="19:22" ht="15.75" customHeight="1">
      <c r="S230" s="65"/>
      <c r="T230" s="65"/>
      <c r="U230" s="65"/>
      <c r="V230" s="65"/>
    </row>
    <row r="231" spans="19:22" ht="15.75" customHeight="1">
      <c r="S231" s="65"/>
      <c r="T231" s="65"/>
      <c r="U231" s="65"/>
      <c r="V231" s="65"/>
    </row>
    <row r="232" spans="19:22" ht="15.75" customHeight="1">
      <c r="S232" s="65"/>
      <c r="T232" s="65"/>
      <c r="U232" s="65"/>
      <c r="V232" s="65"/>
    </row>
    <row r="233" spans="19:22" ht="15.75" customHeight="1">
      <c r="S233" s="65"/>
      <c r="T233" s="65"/>
      <c r="U233" s="65"/>
      <c r="V233" s="65"/>
    </row>
    <row r="234" spans="19:22" ht="15.75" customHeight="1">
      <c r="S234" s="65"/>
      <c r="T234" s="65"/>
      <c r="U234" s="65"/>
      <c r="V234" s="65"/>
    </row>
    <row r="235" spans="19:22" ht="15.75" customHeight="1">
      <c r="S235" s="65"/>
      <c r="T235" s="65"/>
      <c r="U235" s="65"/>
      <c r="V235" s="65"/>
    </row>
    <row r="236" spans="19:22" ht="15.75" customHeight="1">
      <c r="S236" s="65"/>
      <c r="T236" s="65"/>
      <c r="U236" s="65"/>
      <c r="V236" s="65"/>
    </row>
    <row r="237" spans="19:22" ht="15.75" customHeight="1">
      <c r="S237" s="65"/>
      <c r="T237" s="65"/>
      <c r="U237" s="65"/>
      <c r="V237" s="65"/>
    </row>
    <row r="238" spans="19:22" ht="15.75" customHeight="1">
      <c r="S238" s="65"/>
      <c r="T238" s="65"/>
      <c r="U238" s="65"/>
      <c r="V238" s="65"/>
    </row>
    <row r="239" spans="19:22" ht="15.75" customHeight="1">
      <c r="S239" s="65"/>
      <c r="T239" s="65"/>
      <c r="U239" s="65"/>
      <c r="V239" s="65"/>
    </row>
    <row r="240" spans="19:22" ht="15.75" customHeight="1">
      <c r="S240" s="65"/>
      <c r="T240" s="65"/>
      <c r="U240" s="65"/>
      <c r="V240" s="65"/>
    </row>
    <row r="241" spans="19:22" ht="15.75" customHeight="1">
      <c r="S241" s="65"/>
      <c r="T241" s="65"/>
      <c r="U241" s="65"/>
      <c r="V241" s="65"/>
    </row>
    <row r="242" spans="19:22" ht="15.75" customHeight="1">
      <c r="S242" s="65"/>
      <c r="T242" s="65"/>
      <c r="U242" s="65"/>
      <c r="V242" s="65"/>
    </row>
    <row r="243" spans="19:22" ht="15.75" customHeight="1">
      <c r="S243" s="65"/>
      <c r="T243" s="65"/>
      <c r="U243" s="65"/>
      <c r="V243" s="65"/>
    </row>
    <row r="244" spans="19:22" ht="15.75" customHeight="1">
      <c r="S244" s="65"/>
      <c r="T244" s="65"/>
      <c r="U244" s="65"/>
      <c r="V244" s="65"/>
    </row>
    <row r="245" spans="19:22" ht="15.75" customHeight="1">
      <c r="S245" s="65"/>
      <c r="T245" s="65"/>
      <c r="U245" s="65"/>
      <c r="V245" s="65"/>
    </row>
    <row r="246" spans="19:22" ht="15.75" customHeight="1">
      <c r="S246" s="65"/>
      <c r="T246" s="65"/>
      <c r="U246" s="65"/>
      <c r="V246" s="65"/>
    </row>
    <row r="247" spans="19:22" ht="15.75" customHeight="1">
      <c r="S247" s="65"/>
      <c r="T247" s="65"/>
      <c r="U247" s="65"/>
      <c r="V247" s="65"/>
    </row>
    <row r="248" spans="19:22" ht="15.75" customHeight="1">
      <c r="S248" s="65"/>
      <c r="T248" s="65"/>
      <c r="U248" s="65"/>
      <c r="V248" s="65"/>
    </row>
    <row r="249" spans="19:22" ht="15.75" customHeight="1">
      <c r="S249" s="65"/>
      <c r="T249" s="65"/>
      <c r="U249" s="65"/>
      <c r="V249" s="65"/>
    </row>
    <row r="250" spans="19:22" ht="15.75" customHeight="1">
      <c r="S250" s="65"/>
      <c r="T250" s="65"/>
      <c r="U250" s="65"/>
      <c r="V250" s="65"/>
    </row>
    <row r="251" spans="19:22" ht="15.75" customHeight="1">
      <c r="S251" s="65"/>
      <c r="T251" s="65"/>
      <c r="U251" s="65"/>
      <c r="V251" s="65"/>
    </row>
    <row r="252" spans="19:22" ht="15.75" customHeight="1">
      <c r="S252" s="65"/>
      <c r="T252" s="65"/>
      <c r="U252" s="65"/>
      <c r="V252" s="65"/>
    </row>
    <row r="253" spans="19:22" ht="15.75" customHeight="1">
      <c r="S253" s="65"/>
      <c r="T253" s="65"/>
      <c r="U253" s="65"/>
      <c r="V253" s="65"/>
    </row>
    <row r="254" spans="19:22" ht="15.75" customHeight="1">
      <c r="S254" s="65"/>
      <c r="T254" s="65"/>
      <c r="U254" s="65"/>
      <c r="V254" s="65"/>
    </row>
    <row r="255" spans="19:22" ht="15.75" customHeight="1">
      <c r="S255" s="65"/>
      <c r="T255" s="65"/>
      <c r="U255" s="65"/>
      <c r="V255" s="65"/>
    </row>
    <row r="256" spans="19:22" ht="15.75" customHeight="1">
      <c r="S256" s="65"/>
      <c r="T256" s="65"/>
      <c r="U256" s="65"/>
      <c r="V256" s="65"/>
    </row>
    <row r="257" spans="19:22" ht="15.75" customHeight="1">
      <c r="S257" s="65"/>
      <c r="T257" s="65"/>
      <c r="U257" s="65"/>
      <c r="V257" s="65"/>
    </row>
    <row r="258" spans="19:22" ht="15.75" customHeight="1">
      <c r="S258" s="65"/>
      <c r="T258" s="65"/>
      <c r="U258" s="65"/>
      <c r="V258" s="65"/>
    </row>
    <row r="259" spans="19:22" ht="15.75" customHeight="1">
      <c r="S259" s="65"/>
      <c r="T259" s="65"/>
      <c r="U259" s="65"/>
      <c r="V259" s="65"/>
    </row>
    <row r="260" spans="19:22" ht="15.75" customHeight="1">
      <c r="S260" s="65"/>
      <c r="T260" s="65"/>
      <c r="U260" s="65"/>
      <c r="V260" s="65"/>
    </row>
    <row r="261" spans="19:22" ht="15.75" customHeight="1">
      <c r="S261" s="65"/>
      <c r="T261" s="65"/>
      <c r="U261" s="65"/>
      <c r="V261" s="65"/>
    </row>
    <row r="262" spans="19:22" ht="15.75" customHeight="1">
      <c r="S262" s="65"/>
      <c r="T262" s="65"/>
      <c r="U262" s="65"/>
      <c r="V262" s="65"/>
    </row>
    <row r="263" spans="19:22" ht="15.75" customHeight="1">
      <c r="S263" s="65"/>
      <c r="T263" s="65"/>
      <c r="U263" s="65"/>
      <c r="V263" s="65"/>
    </row>
    <row r="264" spans="19:22" ht="15.75" customHeight="1">
      <c r="S264" s="65"/>
      <c r="T264" s="65"/>
      <c r="U264" s="65"/>
      <c r="V264" s="65"/>
    </row>
    <row r="265" spans="19:22" ht="15.75" customHeight="1">
      <c r="S265" s="65"/>
      <c r="T265" s="65"/>
      <c r="U265" s="65"/>
      <c r="V265" s="65"/>
    </row>
    <row r="266" spans="19:22" ht="15.75" customHeight="1">
      <c r="S266" s="65"/>
      <c r="T266" s="65"/>
      <c r="U266" s="65"/>
      <c r="V266" s="65"/>
    </row>
    <row r="267" spans="19:22" ht="15.75" customHeight="1">
      <c r="S267" s="65"/>
      <c r="T267" s="65"/>
      <c r="U267" s="65"/>
      <c r="V267" s="65"/>
    </row>
    <row r="268" spans="19:22" ht="15.75" customHeight="1">
      <c r="S268" s="65"/>
      <c r="T268" s="65"/>
      <c r="U268" s="65"/>
      <c r="V268" s="65"/>
    </row>
    <row r="269" spans="19:22" ht="15.75" customHeight="1">
      <c r="S269" s="65"/>
      <c r="T269" s="65"/>
      <c r="U269" s="65"/>
      <c r="V269" s="65"/>
    </row>
    <row r="270" spans="19:22" ht="15.75" customHeight="1">
      <c r="S270" s="65"/>
      <c r="T270" s="65"/>
      <c r="U270" s="65"/>
      <c r="V270" s="65"/>
    </row>
    <row r="271" spans="19:22" ht="15.75" customHeight="1">
      <c r="S271" s="65"/>
      <c r="T271" s="65"/>
      <c r="U271" s="65"/>
      <c r="V271" s="65"/>
    </row>
    <row r="272" spans="19:22" ht="15.75" customHeight="1">
      <c r="S272" s="65"/>
      <c r="T272" s="65"/>
      <c r="U272" s="65"/>
      <c r="V272" s="65"/>
    </row>
    <row r="273" spans="19:22" ht="15.75" customHeight="1">
      <c r="S273" s="65"/>
      <c r="T273" s="65"/>
      <c r="U273" s="65"/>
      <c r="V273" s="65"/>
    </row>
    <row r="274" spans="19:22" ht="15.75" customHeight="1">
      <c r="S274" s="65"/>
      <c r="T274" s="65"/>
      <c r="U274" s="65"/>
      <c r="V274" s="65"/>
    </row>
    <row r="275" spans="19:22" ht="15.75" customHeight="1">
      <c r="S275" s="65"/>
      <c r="T275" s="65"/>
      <c r="U275" s="65"/>
      <c r="V275" s="65"/>
    </row>
    <row r="276" spans="19:22" ht="15.75" customHeight="1">
      <c r="S276" s="65"/>
      <c r="T276" s="65"/>
      <c r="U276" s="65"/>
      <c r="V276" s="65"/>
    </row>
    <row r="277" spans="19:22" ht="15.75" customHeight="1">
      <c r="S277" s="65"/>
      <c r="T277" s="65"/>
      <c r="U277" s="65"/>
      <c r="V277" s="65"/>
    </row>
    <row r="278" spans="19:22" ht="15.75" customHeight="1">
      <c r="S278" s="65"/>
      <c r="T278" s="65"/>
      <c r="U278" s="65"/>
      <c r="V278" s="65"/>
    </row>
    <row r="279" spans="19:22" ht="15.75" customHeight="1">
      <c r="S279" s="65"/>
      <c r="T279" s="65"/>
      <c r="U279" s="65"/>
      <c r="V279" s="65"/>
    </row>
    <row r="280" spans="19:22" ht="15.75" customHeight="1">
      <c r="S280" s="65"/>
      <c r="T280" s="65"/>
      <c r="U280" s="65"/>
      <c r="V280" s="65"/>
    </row>
    <row r="281" spans="19:22" ht="15.75" customHeight="1">
      <c r="S281" s="65"/>
      <c r="T281" s="65"/>
      <c r="U281" s="65"/>
      <c r="V281" s="65"/>
    </row>
    <row r="282" spans="19:22" ht="15.75" customHeight="1">
      <c r="S282" s="65"/>
      <c r="T282" s="65"/>
      <c r="U282" s="65"/>
      <c r="V282" s="65"/>
    </row>
    <row r="283" spans="19:22" ht="15.75" customHeight="1">
      <c r="S283" s="65"/>
      <c r="T283" s="65"/>
      <c r="U283" s="65"/>
      <c r="V283" s="65"/>
    </row>
    <row r="284" spans="19:22" ht="15.75" customHeight="1">
      <c r="S284" s="65"/>
      <c r="T284" s="65"/>
      <c r="U284" s="65"/>
      <c r="V284" s="65"/>
    </row>
    <row r="285" spans="19:22" ht="15.75" customHeight="1">
      <c r="S285" s="65"/>
      <c r="T285" s="65"/>
      <c r="U285" s="65"/>
      <c r="V285" s="65"/>
    </row>
    <row r="286" spans="19:22" ht="15.75" customHeight="1">
      <c r="S286" s="65"/>
      <c r="T286" s="65"/>
      <c r="U286" s="65"/>
      <c r="V286" s="65"/>
    </row>
    <row r="287" spans="19:22" ht="15.75" customHeight="1">
      <c r="S287" s="65"/>
      <c r="T287" s="65"/>
      <c r="U287" s="65"/>
      <c r="V287" s="65"/>
    </row>
    <row r="288" spans="19:22" ht="15.75" customHeight="1">
      <c r="S288" s="65"/>
      <c r="T288" s="65"/>
      <c r="U288" s="65"/>
      <c r="V288" s="65"/>
    </row>
    <row r="289" spans="19:22" ht="15.75" customHeight="1">
      <c r="S289" s="65"/>
      <c r="T289" s="65"/>
      <c r="U289" s="65"/>
      <c r="V289" s="65"/>
    </row>
    <row r="290" spans="19:22" ht="15.75" customHeight="1">
      <c r="S290" s="65"/>
      <c r="T290" s="65"/>
      <c r="U290" s="65"/>
      <c r="V290" s="65"/>
    </row>
    <row r="291" spans="19:22" ht="15.75" customHeight="1">
      <c r="S291" s="65"/>
      <c r="T291" s="65"/>
      <c r="U291" s="65"/>
      <c r="V291" s="65"/>
    </row>
    <row r="292" spans="19:22" ht="15.75" customHeight="1">
      <c r="S292" s="65"/>
      <c r="T292" s="65"/>
      <c r="U292" s="65"/>
      <c r="V292" s="65"/>
    </row>
    <row r="293" spans="19:22" ht="15.75" customHeight="1">
      <c r="S293" s="65"/>
      <c r="T293" s="65"/>
      <c r="U293" s="65"/>
      <c r="V293" s="65"/>
    </row>
    <row r="294" spans="19:22" ht="15.75" customHeight="1">
      <c r="S294" s="65"/>
      <c r="T294" s="65"/>
      <c r="U294" s="65"/>
      <c r="V294" s="65"/>
    </row>
    <row r="295" spans="19:22" ht="15.75" customHeight="1">
      <c r="S295" s="65"/>
      <c r="T295" s="65"/>
      <c r="U295" s="65"/>
      <c r="V295" s="65"/>
    </row>
    <row r="296" spans="19:22" ht="15.75" customHeight="1">
      <c r="S296" s="65"/>
      <c r="T296" s="65"/>
      <c r="U296" s="65"/>
      <c r="V296" s="65"/>
    </row>
    <row r="297" spans="19:22" ht="15.75" customHeight="1">
      <c r="S297" s="65"/>
      <c r="T297" s="65"/>
      <c r="U297" s="65"/>
      <c r="V297" s="65"/>
    </row>
    <row r="298" spans="19:22" ht="15.75" customHeight="1">
      <c r="S298" s="65"/>
      <c r="T298" s="65"/>
      <c r="U298" s="65"/>
      <c r="V298" s="65"/>
    </row>
    <row r="299" spans="19:22" ht="15.75" customHeight="1">
      <c r="S299" s="65"/>
      <c r="T299" s="65"/>
      <c r="U299" s="65"/>
      <c r="V299" s="65"/>
    </row>
    <row r="300" spans="19:22" ht="15.75" customHeight="1">
      <c r="S300" s="65"/>
      <c r="T300" s="65"/>
      <c r="U300" s="65"/>
      <c r="V300" s="65"/>
    </row>
    <row r="301" spans="19:22" ht="15.75" customHeight="1">
      <c r="S301" s="65"/>
      <c r="T301" s="65"/>
      <c r="U301" s="65"/>
      <c r="V301" s="65"/>
    </row>
    <row r="302" spans="19:22" ht="15.75" customHeight="1">
      <c r="S302" s="65"/>
      <c r="T302" s="65"/>
      <c r="U302" s="65"/>
      <c r="V302" s="65"/>
    </row>
    <row r="303" spans="19:22" ht="15.75" customHeight="1">
      <c r="S303" s="65"/>
      <c r="T303" s="65"/>
      <c r="U303" s="65"/>
      <c r="V303" s="65"/>
    </row>
    <row r="304" spans="19:22" ht="15.75" customHeight="1">
      <c r="S304" s="65"/>
      <c r="T304" s="65"/>
      <c r="U304" s="65"/>
      <c r="V304" s="65"/>
    </row>
    <row r="305" spans="19:22" ht="15.75" customHeight="1">
      <c r="S305" s="65"/>
      <c r="T305" s="65"/>
      <c r="U305" s="65"/>
      <c r="V305" s="65"/>
    </row>
    <row r="306" spans="19:22" ht="15.75" customHeight="1">
      <c r="S306" s="65"/>
      <c r="T306" s="65"/>
      <c r="U306" s="65"/>
      <c r="V306" s="65"/>
    </row>
    <row r="307" spans="19:22" ht="15.75" customHeight="1">
      <c r="S307" s="65"/>
      <c r="T307" s="65"/>
      <c r="U307" s="65"/>
      <c r="V307" s="65"/>
    </row>
    <row r="308" spans="19:22" ht="15.75" customHeight="1">
      <c r="S308" s="65"/>
      <c r="T308" s="65"/>
      <c r="U308" s="65"/>
      <c r="V308" s="65"/>
    </row>
    <row r="309" spans="19:22" ht="15.75" customHeight="1">
      <c r="S309" s="65"/>
      <c r="T309" s="65"/>
      <c r="U309" s="65"/>
      <c r="V309" s="65"/>
    </row>
    <row r="310" spans="19:22" ht="15.75" customHeight="1">
      <c r="S310" s="65"/>
      <c r="T310" s="65"/>
      <c r="U310" s="65"/>
      <c r="V310" s="65"/>
    </row>
    <row r="311" spans="19:22" ht="15.75" customHeight="1">
      <c r="S311" s="65"/>
      <c r="T311" s="65"/>
      <c r="U311" s="65"/>
      <c r="V311" s="65"/>
    </row>
    <row r="312" spans="19:22" ht="15.75" customHeight="1">
      <c r="S312" s="65"/>
      <c r="T312" s="65"/>
      <c r="U312" s="65"/>
      <c r="V312" s="65"/>
    </row>
    <row r="313" spans="19:22" ht="15.75" customHeight="1">
      <c r="S313" s="65"/>
      <c r="T313" s="65"/>
      <c r="U313" s="65"/>
      <c r="V313" s="65"/>
    </row>
    <row r="314" spans="19:22" ht="15.75" customHeight="1">
      <c r="S314" s="65"/>
      <c r="T314" s="65"/>
      <c r="U314" s="65"/>
      <c r="V314" s="65"/>
    </row>
    <row r="315" spans="19:22" ht="15.75" customHeight="1">
      <c r="S315" s="65"/>
      <c r="T315" s="65"/>
      <c r="U315" s="65"/>
      <c r="V315" s="65"/>
    </row>
    <row r="316" spans="19:22" ht="15.75" customHeight="1">
      <c r="S316" s="65"/>
      <c r="T316" s="65"/>
      <c r="U316" s="65"/>
      <c r="V316" s="65"/>
    </row>
    <row r="317" spans="19:22" ht="15.75" customHeight="1">
      <c r="S317" s="65"/>
      <c r="T317" s="65"/>
      <c r="U317" s="65"/>
      <c r="V317" s="65"/>
    </row>
    <row r="318" spans="19:22" ht="15.75" customHeight="1">
      <c r="S318" s="65"/>
      <c r="T318" s="65"/>
      <c r="U318" s="65"/>
      <c r="V318" s="65"/>
    </row>
    <row r="319" spans="19:22" ht="15.75" customHeight="1">
      <c r="S319" s="65"/>
      <c r="T319" s="65"/>
      <c r="U319" s="65"/>
      <c r="V319" s="65"/>
    </row>
    <row r="320" spans="19:22" ht="15.75" customHeight="1">
      <c r="S320" s="65"/>
      <c r="T320" s="65"/>
      <c r="U320" s="65"/>
      <c r="V320" s="65"/>
    </row>
    <row r="321" spans="19:22" ht="15.75" customHeight="1">
      <c r="S321" s="65"/>
      <c r="T321" s="65"/>
      <c r="U321" s="65"/>
      <c r="V321" s="65"/>
    </row>
    <row r="322" spans="19:22" ht="15.75" customHeight="1">
      <c r="S322" s="65"/>
      <c r="T322" s="65"/>
      <c r="U322" s="65"/>
      <c r="V322" s="65"/>
    </row>
    <row r="323" spans="19:22" ht="15.75" customHeight="1">
      <c r="S323" s="65"/>
      <c r="T323" s="65"/>
      <c r="U323" s="65"/>
      <c r="V323" s="65"/>
    </row>
    <row r="324" spans="19:22" ht="15.75" customHeight="1">
      <c r="S324" s="65"/>
      <c r="T324" s="65"/>
      <c r="U324" s="65"/>
      <c r="V324" s="65"/>
    </row>
    <row r="325" spans="19:22" ht="15.75" customHeight="1">
      <c r="S325" s="65"/>
      <c r="T325" s="65"/>
      <c r="U325" s="65"/>
      <c r="V325" s="65"/>
    </row>
    <row r="326" spans="19:22" ht="15.75" customHeight="1">
      <c r="S326" s="65"/>
      <c r="T326" s="65"/>
      <c r="U326" s="65"/>
      <c r="V326" s="65"/>
    </row>
    <row r="327" spans="19:22" ht="15.75" customHeight="1">
      <c r="S327" s="65"/>
      <c r="T327" s="65"/>
      <c r="U327" s="65"/>
      <c r="V327" s="65"/>
    </row>
    <row r="328" spans="19:22" ht="15.75" customHeight="1">
      <c r="S328" s="65"/>
      <c r="T328" s="65"/>
      <c r="U328" s="65"/>
      <c r="V328" s="65"/>
    </row>
    <row r="329" spans="19:22" ht="15.75" customHeight="1">
      <c r="S329" s="65"/>
      <c r="T329" s="65"/>
      <c r="U329" s="65"/>
      <c r="V329" s="65"/>
    </row>
    <row r="330" spans="19:22" ht="15.75" customHeight="1">
      <c r="S330" s="65"/>
      <c r="T330" s="65"/>
      <c r="U330" s="65"/>
      <c r="V330" s="65"/>
    </row>
    <row r="331" spans="19:22" ht="15.75" customHeight="1">
      <c r="S331" s="65"/>
      <c r="T331" s="65"/>
      <c r="U331" s="65"/>
      <c r="V331" s="65"/>
    </row>
    <row r="332" spans="19:22" ht="15.75" customHeight="1">
      <c r="S332" s="65"/>
      <c r="T332" s="65"/>
      <c r="U332" s="65"/>
      <c r="V332" s="65"/>
    </row>
    <row r="333" spans="19:22" ht="15.75" customHeight="1">
      <c r="S333" s="65"/>
      <c r="T333" s="65"/>
      <c r="U333" s="65"/>
      <c r="V333" s="65"/>
    </row>
    <row r="334" spans="19:22" ht="15.75" customHeight="1">
      <c r="S334" s="65"/>
      <c r="T334" s="65"/>
      <c r="U334" s="65"/>
      <c r="V334" s="65"/>
    </row>
    <row r="335" spans="19:22" ht="15.75" customHeight="1">
      <c r="S335" s="65"/>
      <c r="T335" s="65"/>
      <c r="U335" s="65"/>
      <c r="V335" s="65"/>
    </row>
    <row r="336" spans="19:22" ht="15.75" customHeight="1">
      <c r="S336" s="65"/>
      <c r="T336" s="65"/>
      <c r="U336" s="65"/>
      <c r="V336" s="65"/>
    </row>
    <row r="337" spans="19:22" ht="15.75" customHeight="1">
      <c r="S337" s="65"/>
      <c r="T337" s="65"/>
      <c r="U337" s="65"/>
      <c r="V337" s="65"/>
    </row>
    <row r="338" spans="19:22" ht="15.75" customHeight="1">
      <c r="S338" s="65"/>
      <c r="T338" s="65"/>
      <c r="U338" s="65"/>
      <c r="V338" s="65"/>
    </row>
    <row r="339" spans="19:22" ht="15.75" customHeight="1">
      <c r="S339" s="65"/>
      <c r="T339" s="65"/>
      <c r="U339" s="65"/>
      <c r="V339" s="65"/>
    </row>
    <row r="340" spans="19:22" ht="15.75" customHeight="1">
      <c r="S340" s="65"/>
      <c r="T340" s="65"/>
      <c r="U340" s="65"/>
      <c r="V340" s="65"/>
    </row>
    <row r="341" spans="19:22" ht="15.75" customHeight="1">
      <c r="S341" s="65"/>
      <c r="T341" s="65"/>
      <c r="U341" s="65"/>
      <c r="V341" s="65"/>
    </row>
    <row r="342" spans="19:22" ht="15.75" customHeight="1">
      <c r="S342" s="65"/>
      <c r="T342" s="65"/>
      <c r="U342" s="65"/>
      <c r="V342" s="65"/>
    </row>
    <row r="343" spans="19:22" ht="15.75" customHeight="1">
      <c r="S343" s="65"/>
      <c r="T343" s="65"/>
      <c r="U343" s="65"/>
      <c r="V343" s="65"/>
    </row>
    <row r="344" spans="19:22" ht="15.75" customHeight="1">
      <c r="S344" s="65"/>
      <c r="T344" s="65"/>
      <c r="U344" s="65"/>
      <c r="V344" s="65"/>
    </row>
    <row r="345" spans="19:22" ht="15.75" customHeight="1">
      <c r="S345" s="65"/>
      <c r="T345" s="65"/>
      <c r="U345" s="65"/>
      <c r="V345" s="65"/>
    </row>
    <row r="346" spans="19:22" ht="15.75" customHeight="1">
      <c r="S346" s="65"/>
      <c r="T346" s="65"/>
      <c r="U346" s="65"/>
      <c r="V346" s="65"/>
    </row>
    <row r="347" spans="19:22" ht="15.75" customHeight="1">
      <c r="S347" s="65"/>
      <c r="T347" s="65"/>
      <c r="U347" s="65"/>
      <c r="V347" s="65"/>
    </row>
    <row r="348" spans="19:22" ht="15.75" customHeight="1">
      <c r="S348" s="65"/>
      <c r="T348" s="65"/>
      <c r="U348" s="65"/>
      <c r="V348" s="65"/>
    </row>
    <row r="349" spans="19:22" ht="15.75" customHeight="1">
      <c r="S349" s="65"/>
      <c r="T349" s="65"/>
      <c r="U349" s="65"/>
      <c r="V349" s="65"/>
    </row>
    <row r="350" spans="19:22" ht="15.75" customHeight="1">
      <c r="S350" s="65"/>
      <c r="T350" s="65"/>
      <c r="U350" s="65"/>
      <c r="V350" s="65"/>
    </row>
    <row r="351" spans="19:22" ht="15.75" customHeight="1">
      <c r="S351" s="65"/>
      <c r="T351" s="65"/>
      <c r="U351" s="65"/>
      <c r="V351" s="65"/>
    </row>
    <row r="352" spans="19:22" ht="15.75" customHeight="1">
      <c r="S352" s="65"/>
      <c r="T352" s="65"/>
      <c r="U352" s="65"/>
      <c r="V352" s="65"/>
    </row>
    <row r="353" spans="19:22" ht="15.75" customHeight="1">
      <c r="S353" s="65"/>
      <c r="T353" s="65"/>
      <c r="U353" s="65"/>
      <c r="V353" s="65"/>
    </row>
    <row r="354" spans="19:22" ht="15.75" customHeight="1">
      <c r="S354" s="65"/>
      <c r="T354" s="65"/>
      <c r="U354" s="65"/>
      <c r="V354" s="65"/>
    </row>
    <row r="355" spans="19:22" ht="15.75" customHeight="1">
      <c r="S355" s="65"/>
      <c r="T355" s="65"/>
      <c r="U355" s="65"/>
      <c r="V355" s="65"/>
    </row>
    <row r="356" spans="19:22" ht="15.75" customHeight="1">
      <c r="S356" s="65"/>
      <c r="T356" s="65"/>
      <c r="U356" s="65"/>
      <c r="V356" s="65"/>
    </row>
    <row r="357" spans="19:22" ht="15.75" customHeight="1">
      <c r="S357" s="65"/>
      <c r="T357" s="65"/>
      <c r="U357" s="65"/>
      <c r="V357" s="65"/>
    </row>
    <row r="358" spans="19:22" ht="15.75" customHeight="1">
      <c r="S358" s="65"/>
      <c r="T358" s="65"/>
      <c r="U358" s="65"/>
      <c r="V358" s="65"/>
    </row>
    <row r="359" spans="19:22" ht="15.75" customHeight="1">
      <c r="S359" s="65"/>
      <c r="T359" s="65"/>
      <c r="U359" s="65"/>
      <c r="V359" s="65"/>
    </row>
    <row r="360" spans="19:22" ht="15.75" customHeight="1">
      <c r="S360" s="65"/>
      <c r="T360" s="65"/>
      <c r="U360" s="65"/>
      <c r="V360" s="65"/>
    </row>
    <row r="361" spans="19:22" ht="15.75" customHeight="1">
      <c r="S361" s="65"/>
      <c r="T361" s="65"/>
      <c r="U361" s="65"/>
      <c r="V361" s="65"/>
    </row>
    <row r="362" spans="19:22" ht="15.75" customHeight="1">
      <c r="S362" s="65"/>
      <c r="T362" s="65"/>
      <c r="U362" s="65"/>
      <c r="V362" s="65"/>
    </row>
    <row r="363" spans="19:22" ht="15.75" customHeight="1">
      <c r="S363" s="65"/>
      <c r="T363" s="65"/>
      <c r="U363" s="65"/>
      <c r="V363" s="65"/>
    </row>
    <row r="364" spans="19:22" ht="15.75" customHeight="1">
      <c r="S364" s="65"/>
      <c r="T364" s="65"/>
      <c r="U364" s="65"/>
      <c r="V364" s="65"/>
    </row>
    <row r="365" spans="19:22" ht="15.75" customHeight="1">
      <c r="S365" s="65"/>
      <c r="T365" s="65"/>
      <c r="U365" s="65"/>
      <c r="V365" s="65"/>
    </row>
    <row r="366" spans="19:22" ht="15.75" customHeight="1">
      <c r="S366" s="65"/>
      <c r="T366" s="65"/>
      <c r="U366" s="65"/>
      <c r="V366" s="65"/>
    </row>
    <row r="367" spans="19:22" ht="15.75" customHeight="1">
      <c r="S367" s="65"/>
      <c r="T367" s="65"/>
      <c r="U367" s="65"/>
      <c r="V367" s="65"/>
    </row>
    <row r="368" spans="19:22" ht="15.75" customHeight="1">
      <c r="S368" s="65"/>
      <c r="T368" s="65"/>
      <c r="U368" s="65"/>
      <c r="V368" s="65"/>
    </row>
    <row r="369" spans="19:22" ht="15.75" customHeight="1">
      <c r="S369" s="65"/>
      <c r="T369" s="65"/>
      <c r="U369" s="65"/>
      <c r="V369" s="65"/>
    </row>
    <row r="370" spans="19:22" ht="15.75" customHeight="1">
      <c r="S370" s="65"/>
      <c r="T370" s="65"/>
      <c r="U370" s="65"/>
      <c r="V370" s="65"/>
    </row>
    <row r="371" spans="19:22" ht="15.75" customHeight="1">
      <c r="S371" s="65"/>
      <c r="T371" s="65"/>
      <c r="U371" s="65"/>
      <c r="V371" s="65"/>
    </row>
    <row r="372" spans="19:22" ht="15.75" customHeight="1">
      <c r="S372" s="65"/>
      <c r="T372" s="65"/>
      <c r="U372" s="65"/>
      <c r="V372" s="65"/>
    </row>
    <row r="373" spans="19:22" ht="15.75" customHeight="1">
      <c r="S373" s="65"/>
      <c r="T373" s="65"/>
      <c r="U373" s="65"/>
      <c r="V373" s="65"/>
    </row>
    <row r="374" spans="19:22" ht="15.75" customHeight="1">
      <c r="S374" s="65"/>
      <c r="T374" s="65"/>
      <c r="U374" s="65"/>
      <c r="V374" s="65"/>
    </row>
    <row r="375" spans="19:22" ht="15.75" customHeight="1">
      <c r="S375" s="65"/>
      <c r="T375" s="65"/>
      <c r="U375" s="65"/>
      <c r="V375" s="65"/>
    </row>
    <row r="376" spans="19:22" ht="15.75" customHeight="1">
      <c r="S376" s="65"/>
      <c r="T376" s="65"/>
      <c r="U376" s="65"/>
      <c r="V376" s="65"/>
    </row>
    <row r="377" spans="19:22" ht="15.75" customHeight="1">
      <c r="S377" s="65"/>
      <c r="T377" s="65"/>
      <c r="U377" s="65"/>
      <c r="V377" s="65"/>
    </row>
    <row r="378" spans="19:22" ht="15.75" customHeight="1">
      <c r="S378" s="65"/>
      <c r="T378" s="65"/>
      <c r="U378" s="65"/>
      <c r="V378" s="65"/>
    </row>
    <row r="379" spans="19:22" ht="15.75" customHeight="1">
      <c r="S379" s="65"/>
      <c r="T379" s="65"/>
      <c r="U379" s="65"/>
      <c r="V379" s="65"/>
    </row>
    <row r="380" spans="19:22" ht="15.75" customHeight="1">
      <c r="S380" s="65"/>
      <c r="T380" s="65"/>
      <c r="U380" s="65"/>
      <c r="V380" s="65"/>
    </row>
    <row r="381" spans="19:22" ht="15.75" customHeight="1">
      <c r="S381" s="65"/>
      <c r="T381" s="65"/>
      <c r="U381" s="65"/>
      <c r="V381" s="65"/>
    </row>
    <row r="382" spans="19:22" ht="15.75" customHeight="1">
      <c r="S382" s="65"/>
      <c r="T382" s="65"/>
      <c r="U382" s="65"/>
      <c r="V382" s="65"/>
    </row>
    <row r="383" spans="19:22" ht="15.75" customHeight="1">
      <c r="S383" s="65"/>
      <c r="T383" s="65"/>
      <c r="U383" s="65"/>
      <c r="V383" s="65"/>
    </row>
    <row r="384" spans="19:22" ht="15.75" customHeight="1">
      <c r="S384" s="65"/>
      <c r="T384" s="65"/>
      <c r="U384" s="65"/>
      <c r="V384" s="65"/>
    </row>
    <row r="385" spans="19:22" ht="15.75" customHeight="1">
      <c r="S385" s="65"/>
      <c r="T385" s="65"/>
      <c r="U385" s="65"/>
      <c r="V385" s="65"/>
    </row>
    <row r="386" spans="19:22" ht="15.75" customHeight="1">
      <c r="S386" s="65"/>
      <c r="T386" s="65"/>
      <c r="U386" s="65"/>
      <c r="V386" s="65"/>
    </row>
    <row r="387" spans="19:22" ht="15.75" customHeight="1">
      <c r="S387" s="65"/>
      <c r="T387" s="65"/>
      <c r="U387" s="65"/>
      <c r="V387" s="65"/>
    </row>
    <row r="388" spans="19:22" ht="15.75" customHeight="1">
      <c r="S388" s="65"/>
      <c r="T388" s="65"/>
      <c r="U388" s="65"/>
      <c r="V388" s="65"/>
    </row>
    <row r="389" spans="19:22" ht="15.75" customHeight="1">
      <c r="S389" s="65"/>
      <c r="T389" s="65"/>
      <c r="U389" s="65"/>
      <c r="V389" s="65"/>
    </row>
    <row r="390" spans="19:22" ht="15.75" customHeight="1">
      <c r="S390" s="65"/>
      <c r="T390" s="65"/>
      <c r="U390" s="65"/>
      <c r="V390" s="65"/>
    </row>
    <row r="391" spans="19:22" ht="15.75" customHeight="1">
      <c r="S391" s="65"/>
      <c r="T391" s="65"/>
      <c r="U391" s="65"/>
      <c r="V391" s="65"/>
    </row>
    <row r="392" spans="19:22" ht="15.75" customHeight="1">
      <c r="S392" s="65"/>
      <c r="T392" s="65"/>
      <c r="U392" s="65"/>
      <c r="V392" s="65"/>
    </row>
    <row r="393" spans="19:22" ht="15.75" customHeight="1">
      <c r="S393" s="65"/>
      <c r="T393" s="65"/>
      <c r="U393" s="65"/>
      <c r="V393" s="65"/>
    </row>
    <row r="394" spans="19:22" ht="15.75" customHeight="1">
      <c r="S394" s="65"/>
      <c r="T394" s="65"/>
      <c r="U394" s="65"/>
      <c r="V394" s="65"/>
    </row>
    <row r="395" spans="19:22" ht="15.75" customHeight="1">
      <c r="S395" s="65"/>
      <c r="T395" s="65"/>
      <c r="U395" s="65"/>
      <c r="V395" s="65"/>
    </row>
    <row r="396" spans="19:22" ht="15.75" customHeight="1">
      <c r="S396" s="65"/>
      <c r="T396" s="65"/>
      <c r="U396" s="65"/>
      <c r="V396" s="65"/>
    </row>
    <row r="397" spans="19:22" ht="15.75" customHeight="1">
      <c r="S397" s="65"/>
      <c r="T397" s="65"/>
      <c r="U397" s="65"/>
      <c r="V397" s="65"/>
    </row>
    <row r="398" spans="19:22" ht="15.75" customHeight="1">
      <c r="S398" s="65"/>
      <c r="T398" s="65"/>
      <c r="U398" s="65"/>
      <c r="V398" s="65"/>
    </row>
    <row r="399" spans="19:22" ht="15.75" customHeight="1">
      <c r="S399" s="65"/>
      <c r="T399" s="65"/>
      <c r="U399" s="65"/>
      <c r="V399" s="65"/>
    </row>
    <row r="400" spans="19:22" ht="15.75" customHeight="1">
      <c r="S400" s="65"/>
      <c r="T400" s="65"/>
      <c r="U400" s="65"/>
      <c r="V400" s="65"/>
    </row>
    <row r="401" spans="19:22" ht="15.75" customHeight="1">
      <c r="S401" s="65"/>
      <c r="T401" s="65"/>
      <c r="U401" s="65"/>
      <c r="V401" s="65"/>
    </row>
    <row r="402" spans="19:22" ht="15.75" customHeight="1">
      <c r="S402" s="65"/>
      <c r="T402" s="65"/>
      <c r="U402" s="65"/>
      <c r="V402" s="65"/>
    </row>
    <row r="403" spans="19:22" ht="15.75" customHeight="1">
      <c r="S403" s="65"/>
      <c r="T403" s="65"/>
      <c r="U403" s="65"/>
      <c r="V403" s="65"/>
    </row>
    <row r="404" spans="19:22" ht="15.75" customHeight="1">
      <c r="S404" s="65"/>
      <c r="T404" s="65"/>
      <c r="U404" s="65"/>
      <c r="V404" s="65"/>
    </row>
    <row r="405" spans="19:22" ht="15.75" customHeight="1">
      <c r="S405" s="65"/>
      <c r="T405" s="65"/>
      <c r="U405" s="65"/>
      <c r="V405" s="65"/>
    </row>
    <row r="406" spans="19:22" ht="15.75" customHeight="1">
      <c r="S406" s="65"/>
      <c r="T406" s="65"/>
      <c r="U406" s="65"/>
      <c r="V406" s="65"/>
    </row>
    <row r="407" spans="19:22" ht="15.75" customHeight="1">
      <c r="S407" s="65"/>
      <c r="T407" s="65"/>
      <c r="U407" s="65"/>
      <c r="V407" s="65"/>
    </row>
    <row r="408" spans="19:22" ht="15.75" customHeight="1">
      <c r="S408" s="65"/>
      <c r="T408" s="65"/>
      <c r="U408" s="65"/>
      <c r="V408" s="65"/>
    </row>
    <row r="409" spans="19:22" ht="15.75" customHeight="1">
      <c r="S409" s="65"/>
      <c r="T409" s="65"/>
      <c r="U409" s="65"/>
      <c r="V409" s="65"/>
    </row>
    <row r="410" spans="19:22" ht="15.75" customHeight="1">
      <c r="S410" s="65"/>
      <c r="T410" s="65"/>
      <c r="U410" s="65"/>
      <c r="V410" s="65"/>
    </row>
    <row r="411" spans="19:22" ht="15.75" customHeight="1">
      <c r="S411" s="65"/>
      <c r="T411" s="65"/>
      <c r="U411" s="65"/>
      <c r="V411" s="65"/>
    </row>
    <row r="412" spans="19:22" ht="15.75" customHeight="1">
      <c r="S412" s="65"/>
      <c r="T412" s="65"/>
      <c r="U412" s="65"/>
      <c r="V412" s="65"/>
    </row>
    <row r="413" spans="19:22" ht="15.75" customHeight="1">
      <c r="S413" s="65"/>
      <c r="T413" s="65"/>
      <c r="U413" s="65"/>
      <c r="V413" s="65"/>
    </row>
    <row r="414" spans="19:22" ht="15.75" customHeight="1">
      <c r="S414" s="65"/>
      <c r="T414" s="65"/>
      <c r="U414" s="65"/>
      <c r="V414" s="65"/>
    </row>
    <row r="415" spans="19:22" ht="15.75" customHeight="1">
      <c r="S415" s="65"/>
      <c r="T415" s="65"/>
      <c r="U415" s="65"/>
      <c r="V415" s="65"/>
    </row>
    <row r="416" spans="19:22" ht="15.75" customHeight="1">
      <c r="S416" s="65"/>
      <c r="T416" s="65"/>
      <c r="U416" s="65"/>
      <c r="V416" s="65"/>
    </row>
    <row r="417" spans="19:22" ht="15.75" customHeight="1">
      <c r="S417" s="65"/>
      <c r="T417" s="65"/>
      <c r="U417" s="65"/>
      <c r="V417" s="65"/>
    </row>
    <row r="418" spans="19:22" ht="15.75" customHeight="1">
      <c r="S418" s="65"/>
      <c r="T418" s="65"/>
      <c r="U418" s="65"/>
      <c r="V418" s="65"/>
    </row>
    <row r="419" spans="19:22" ht="15.75" customHeight="1">
      <c r="S419" s="65"/>
      <c r="T419" s="65"/>
      <c r="U419" s="65"/>
      <c r="V419" s="65"/>
    </row>
    <row r="420" spans="19:22" ht="15.75" customHeight="1">
      <c r="S420" s="65"/>
      <c r="T420" s="65"/>
      <c r="U420" s="65"/>
      <c r="V420" s="65"/>
    </row>
    <row r="421" spans="19:22" ht="15.75" customHeight="1">
      <c r="S421" s="65"/>
      <c r="T421" s="65"/>
      <c r="U421" s="65"/>
      <c r="V421" s="65"/>
    </row>
    <row r="422" spans="19:22" ht="15.75" customHeight="1">
      <c r="S422" s="65"/>
      <c r="T422" s="65"/>
      <c r="U422" s="65"/>
      <c r="V422" s="65"/>
    </row>
    <row r="423" spans="19:22" ht="15.75" customHeight="1">
      <c r="S423" s="65"/>
      <c r="T423" s="65"/>
      <c r="U423" s="65"/>
      <c r="V423" s="65"/>
    </row>
    <row r="424" spans="19:22" ht="15.75" customHeight="1">
      <c r="S424" s="65"/>
      <c r="T424" s="65"/>
      <c r="U424" s="65"/>
      <c r="V424" s="65"/>
    </row>
    <row r="425" spans="19:22" ht="15.75" customHeight="1">
      <c r="S425" s="65"/>
      <c r="T425" s="65"/>
      <c r="U425" s="65"/>
      <c r="V425" s="65"/>
    </row>
    <row r="426" spans="19:22" ht="15.75" customHeight="1">
      <c r="S426" s="65"/>
      <c r="T426" s="65"/>
      <c r="U426" s="65"/>
      <c r="V426" s="65"/>
    </row>
    <row r="427" spans="19:22" ht="15.75" customHeight="1">
      <c r="S427" s="65"/>
      <c r="T427" s="65"/>
      <c r="U427" s="65"/>
      <c r="V427" s="65"/>
    </row>
    <row r="428" spans="19:22" ht="15.75" customHeight="1">
      <c r="S428" s="65"/>
      <c r="T428" s="65"/>
      <c r="U428" s="65"/>
      <c r="V428" s="65"/>
    </row>
    <row r="429" spans="19:22" ht="15.75" customHeight="1">
      <c r="S429" s="65"/>
      <c r="T429" s="65"/>
      <c r="U429" s="65"/>
      <c r="V429" s="65"/>
    </row>
    <row r="430" spans="19:22" ht="15.75" customHeight="1">
      <c r="S430" s="65"/>
      <c r="T430" s="65"/>
      <c r="U430" s="65"/>
      <c r="V430" s="65"/>
    </row>
    <row r="431" spans="19:22" ht="15.75" customHeight="1">
      <c r="S431" s="65"/>
      <c r="T431" s="65"/>
      <c r="U431" s="65"/>
      <c r="V431" s="65"/>
    </row>
    <row r="432" spans="19:22" ht="15.75" customHeight="1">
      <c r="S432" s="65"/>
      <c r="T432" s="65"/>
      <c r="U432" s="65"/>
      <c r="V432" s="65"/>
    </row>
    <row r="433" spans="19:22" ht="15.75" customHeight="1">
      <c r="S433" s="65"/>
      <c r="T433" s="65"/>
      <c r="U433" s="65"/>
      <c r="V433" s="65"/>
    </row>
    <row r="434" spans="19:22" ht="15.75" customHeight="1">
      <c r="S434" s="65"/>
      <c r="T434" s="65"/>
      <c r="U434" s="65"/>
      <c r="V434" s="65"/>
    </row>
    <row r="435" spans="19:22" ht="15.75" customHeight="1">
      <c r="S435" s="65"/>
      <c r="T435" s="65"/>
      <c r="U435" s="65"/>
      <c r="V435" s="65"/>
    </row>
    <row r="436" spans="19:22" ht="15.75" customHeight="1">
      <c r="S436" s="65"/>
      <c r="T436" s="65"/>
      <c r="U436" s="65"/>
      <c r="V436" s="65"/>
    </row>
    <row r="437" spans="19:22" ht="15.75" customHeight="1">
      <c r="S437" s="65"/>
      <c r="T437" s="65"/>
      <c r="U437" s="65"/>
      <c r="V437" s="65"/>
    </row>
    <row r="438" spans="19:22" ht="15.75" customHeight="1">
      <c r="S438" s="65"/>
      <c r="T438" s="65"/>
      <c r="U438" s="65"/>
      <c r="V438" s="65"/>
    </row>
    <row r="439" spans="19:22" ht="15.75" customHeight="1">
      <c r="S439" s="65"/>
      <c r="T439" s="65"/>
      <c r="U439" s="65"/>
      <c r="V439" s="65"/>
    </row>
    <row r="440" spans="19:22" ht="15.75" customHeight="1">
      <c r="S440" s="65"/>
      <c r="T440" s="65"/>
      <c r="U440" s="65"/>
      <c r="V440" s="65"/>
    </row>
    <row r="441" spans="19:22" ht="15.75" customHeight="1">
      <c r="S441" s="65"/>
      <c r="T441" s="65"/>
      <c r="U441" s="65"/>
      <c r="V441" s="65"/>
    </row>
    <row r="442" spans="19:22" ht="15.75" customHeight="1">
      <c r="S442" s="65"/>
      <c r="T442" s="65"/>
      <c r="U442" s="65"/>
      <c r="V442" s="65"/>
    </row>
    <row r="443" spans="19:22" ht="15.75" customHeight="1">
      <c r="S443" s="65"/>
      <c r="T443" s="65"/>
      <c r="U443" s="65"/>
      <c r="V443" s="65"/>
    </row>
    <row r="444" spans="19:22" ht="15.75" customHeight="1">
      <c r="S444" s="65"/>
      <c r="T444" s="65"/>
      <c r="U444" s="65"/>
      <c r="V444" s="65"/>
    </row>
    <row r="445" spans="19:22" ht="15.75" customHeight="1">
      <c r="S445" s="65"/>
      <c r="T445" s="65"/>
      <c r="U445" s="65"/>
      <c r="V445" s="65"/>
    </row>
    <row r="446" spans="19:22" ht="15.75" customHeight="1">
      <c r="S446" s="65"/>
      <c r="T446" s="65"/>
      <c r="U446" s="65"/>
      <c r="V446" s="65"/>
    </row>
    <row r="447" spans="19:22" ht="15.75" customHeight="1">
      <c r="S447" s="65"/>
      <c r="T447" s="65"/>
      <c r="U447" s="65"/>
      <c r="V447" s="65"/>
    </row>
    <row r="448" spans="19:22" ht="15.75" customHeight="1">
      <c r="S448" s="65"/>
      <c r="T448" s="65"/>
      <c r="U448" s="65"/>
      <c r="V448" s="65"/>
    </row>
    <row r="449" spans="19:22" ht="15.75" customHeight="1">
      <c r="S449" s="65"/>
      <c r="T449" s="65"/>
      <c r="U449" s="65"/>
      <c r="V449" s="65"/>
    </row>
    <row r="450" spans="19:22" ht="15.75" customHeight="1">
      <c r="S450" s="65"/>
      <c r="T450" s="65"/>
      <c r="U450" s="65"/>
      <c r="V450" s="65"/>
    </row>
    <row r="451" spans="19:22" ht="15.75" customHeight="1">
      <c r="S451" s="65"/>
      <c r="T451" s="65"/>
      <c r="U451" s="65"/>
      <c r="V451" s="65"/>
    </row>
    <row r="452" spans="19:22" ht="15.75" customHeight="1">
      <c r="S452" s="65"/>
      <c r="T452" s="65"/>
      <c r="U452" s="65"/>
      <c r="V452" s="65"/>
    </row>
    <row r="453" spans="19:22" ht="15.75" customHeight="1">
      <c r="S453" s="65"/>
      <c r="T453" s="65"/>
      <c r="U453" s="65"/>
      <c r="V453" s="65"/>
    </row>
    <row r="454" spans="19:22" ht="15.75" customHeight="1">
      <c r="S454" s="65"/>
      <c r="T454" s="65"/>
      <c r="U454" s="65"/>
      <c r="V454" s="65"/>
    </row>
    <row r="455" spans="19:22" ht="15.75" customHeight="1">
      <c r="S455" s="65"/>
      <c r="T455" s="65"/>
      <c r="U455" s="65"/>
      <c r="V455" s="65"/>
    </row>
    <row r="456" spans="19:22" ht="15.75" customHeight="1">
      <c r="S456" s="65"/>
      <c r="T456" s="65"/>
      <c r="U456" s="65"/>
      <c r="V456" s="65"/>
    </row>
    <row r="457" spans="19:22" ht="15.75" customHeight="1">
      <c r="S457" s="65"/>
      <c r="T457" s="65"/>
      <c r="U457" s="65"/>
      <c r="V457" s="65"/>
    </row>
    <row r="458" spans="19:22" ht="15.75" customHeight="1">
      <c r="S458" s="65"/>
      <c r="T458" s="65"/>
      <c r="U458" s="65"/>
      <c r="V458" s="65"/>
    </row>
    <row r="459" spans="19:22" ht="15.75" customHeight="1">
      <c r="S459" s="65"/>
      <c r="T459" s="65"/>
      <c r="U459" s="65"/>
      <c r="V459" s="65"/>
    </row>
    <row r="460" spans="19:22" ht="15.75" customHeight="1">
      <c r="S460" s="65"/>
      <c r="T460" s="65"/>
      <c r="U460" s="65"/>
      <c r="V460" s="65"/>
    </row>
    <row r="461" spans="19:22" ht="15.75" customHeight="1">
      <c r="S461" s="65"/>
      <c r="T461" s="65"/>
      <c r="U461" s="65"/>
      <c r="V461" s="65"/>
    </row>
    <row r="462" spans="19:22" ht="15.75" customHeight="1">
      <c r="S462" s="65"/>
      <c r="T462" s="65"/>
      <c r="U462" s="65"/>
      <c r="V462" s="65"/>
    </row>
    <row r="463" spans="19:22" ht="15.75" customHeight="1">
      <c r="S463" s="65"/>
      <c r="T463" s="65"/>
      <c r="U463" s="65"/>
      <c r="V463" s="65"/>
    </row>
    <row r="464" spans="19:22" ht="15.75" customHeight="1">
      <c r="S464" s="65"/>
      <c r="T464" s="65"/>
      <c r="U464" s="65"/>
      <c r="V464" s="65"/>
    </row>
    <row r="465" spans="19:22" ht="15.75" customHeight="1">
      <c r="S465" s="65"/>
      <c r="T465" s="65"/>
      <c r="U465" s="65"/>
      <c r="V465" s="65"/>
    </row>
    <row r="466" spans="19:22" ht="15.75" customHeight="1">
      <c r="S466" s="65"/>
      <c r="T466" s="65"/>
      <c r="U466" s="65"/>
      <c r="V466" s="65"/>
    </row>
    <row r="467" spans="19:22" ht="15.75" customHeight="1">
      <c r="S467" s="65"/>
      <c r="T467" s="65"/>
      <c r="U467" s="65"/>
      <c r="V467" s="65"/>
    </row>
    <row r="468" spans="19:22" ht="15.75" customHeight="1">
      <c r="S468" s="65"/>
      <c r="T468" s="65"/>
      <c r="U468" s="65"/>
      <c r="V468" s="65"/>
    </row>
    <row r="469" spans="19:22" ht="15.75" customHeight="1">
      <c r="S469" s="65"/>
      <c r="T469" s="65"/>
      <c r="U469" s="65"/>
      <c r="V469" s="65"/>
    </row>
    <row r="470" spans="19:22" ht="15.75" customHeight="1">
      <c r="S470" s="65"/>
      <c r="T470" s="65"/>
      <c r="U470" s="65"/>
      <c r="V470" s="65"/>
    </row>
    <row r="471" spans="19:22" ht="15.75" customHeight="1">
      <c r="S471" s="65"/>
      <c r="T471" s="65"/>
      <c r="U471" s="65"/>
      <c r="V471" s="65"/>
    </row>
    <row r="472" spans="19:22" ht="15.75" customHeight="1">
      <c r="S472" s="65"/>
      <c r="T472" s="65"/>
      <c r="U472" s="65"/>
      <c r="V472" s="65"/>
    </row>
    <row r="473" spans="19:22" ht="15.75" customHeight="1">
      <c r="S473" s="65"/>
      <c r="T473" s="65"/>
      <c r="U473" s="65"/>
      <c r="V473" s="65"/>
    </row>
    <row r="474" spans="19:22" ht="15.75" customHeight="1">
      <c r="S474" s="65"/>
      <c r="T474" s="65"/>
      <c r="U474" s="65"/>
      <c r="V474" s="65"/>
    </row>
    <row r="475" spans="19:22" ht="15.75" customHeight="1">
      <c r="S475" s="65"/>
      <c r="T475" s="65"/>
      <c r="U475" s="65"/>
      <c r="V475" s="65"/>
    </row>
    <row r="476" spans="19:22" ht="15.75" customHeight="1">
      <c r="S476" s="65"/>
      <c r="T476" s="65"/>
      <c r="U476" s="65"/>
      <c r="V476" s="65"/>
    </row>
    <row r="477" spans="19:22" ht="15.75" customHeight="1">
      <c r="S477" s="65"/>
      <c r="T477" s="65"/>
      <c r="U477" s="65"/>
      <c r="V477" s="65"/>
    </row>
    <row r="478" spans="19:22" ht="15.75" customHeight="1">
      <c r="S478" s="65"/>
      <c r="T478" s="65"/>
      <c r="U478" s="65"/>
      <c r="V478" s="65"/>
    </row>
    <row r="479" spans="19:22" ht="15.75" customHeight="1">
      <c r="S479" s="65"/>
      <c r="T479" s="65"/>
      <c r="U479" s="65"/>
      <c r="V479" s="65"/>
    </row>
    <row r="480" spans="19:22" ht="15.75" customHeight="1">
      <c r="S480" s="65"/>
      <c r="T480" s="65"/>
      <c r="U480" s="65"/>
      <c r="V480" s="65"/>
    </row>
    <row r="481" spans="19:22" ht="15.75" customHeight="1">
      <c r="S481" s="65"/>
      <c r="T481" s="65"/>
      <c r="U481" s="65"/>
      <c r="V481" s="65"/>
    </row>
    <row r="482" spans="19:22" ht="15.75" customHeight="1">
      <c r="S482" s="65"/>
      <c r="T482" s="65"/>
      <c r="U482" s="65"/>
      <c r="V482" s="65"/>
    </row>
    <row r="483" spans="19:22" ht="15.75" customHeight="1">
      <c r="S483" s="65"/>
      <c r="T483" s="65"/>
      <c r="U483" s="65"/>
      <c r="V483" s="65"/>
    </row>
    <row r="484" spans="19:22" ht="15.75" customHeight="1">
      <c r="S484" s="65"/>
      <c r="T484" s="65"/>
      <c r="U484" s="65"/>
      <c r="V484" s="65"/>
    </row>
    <row r="485" spans="19:22" ht="15.75" customHeight="1">
      <c r="S485" s="65"/>
      <c r="T485" s="65"/>
      <c r="U485" s="65"/>
      <c r="V485" s="65"/>
    </row>
    <row r="486" spans="19:22" ht="15.75" customHeight="1">
      <c r="S486" s="65"/>
      <c r="T486" s="65"/>
      <c r="U486" s="65"/>
      <c r="V486" s="65"/>
    </row>
    <row r="487" spans="19:22" ht="15.75" customHeight="1">
      <c r="S487" s="65"/>
      <c r="T487" s="65"/>
      <c r="U487" s="65"/>
      <c r="V487" s="65"/>
    </row>
    <row r="488" spans="19:22" ht="15.75" customHeight="1">
      <c r="S488" s="65"/>
      <c r="T488" s="65"/>
      <c r="U488" s="65"/>
      <c r="V488" s="65"/>
    </row>
    <row r="489" spans="19:22" ht="15.75" customHeight="1">
      <c r="S489" s="65"/>
      <c r="T489" s="65"/>
      <c r="U489" s="65"/>
      <c r="V489" s="65"/>
    </row>
    <row r="490" spans="19:22" ht="15.75" customHeight="1">
      <c r="S490" s="65"/>
      <c r="T490" s="65"/>
      <c r="U490" s="65"/>
      <c r="V490" s="65"/>
    </row>
    <row r="491" spans="19:22" ht="15.75" customHeight="1">
      <c r="S491" s="65"/>
      <c r="T491" s="65"/>
      <c r="U491" s="65"/>
      <c r="V491" s="65"/>
    </row>
    <row r="492" spans="19:22" ht="15.75" customHeight="1">
      <c r="S492" s="65"/>
      <c r="T492" s="65"/>
      <c r="U492" s="65"/>
      <c r="V492" s="65"/>
    </row>
    <row r="493" spans="19:22" ht="15.75" customHeight="1">
      <c r="S493" s="65"/>
      <c r="T493" s="65"/>
      <c r="U493" s="65"/>
      <c r="V493" s="65"/>
    </row>
    <row r="494" spans="19:22" ht="15.75" customHeight="1">
      <c r="S494" s="65"/>
      <c r="T494" s="65"/>
      <c r="U494" s="65"/>
      <c r="V494" s="65"/>
    </row>
    <row r="495" spans="19:22" ht="15.75" customHeight="1">
      <c r="S495" s="65"/>
      <c r="T495" s="65"/>
      <c r="U495" s="65"/>
      <c r="V495" s="65"/>
    </row>
    <row r="496" spans="19:22" ht="15.75" customHeight="1">
      <c r="S496" s="65"/>
      <c r="T496" s="65"/>
      <c r="U496" s="65"/>
      <c r="V496" s="65"/>
    </row>
    <row r="497" spans="19:22" ht="15.75" customHeight="1">
      <c r="S497" s="65"/>
      <c r="T497" s="65"/>
      <c r="U497" s="65"/>
      <c r="V497" s="65"/>
    </row>
    <row r="498" spans="19:22" ht="15.75" customHeight="1">
      <c r="S498" s="65"/>
      <c r="T498" s="65"/>
      <c r="U498" s="65"/>
      <c r="V498" s="65"/>
    </row>
    <row r="499" spans="19:22" ht="15.75" customHeight="1">
      <c r="S499" s="65"/>
      <c r="T499" s="65"/>
      <c r="U499" s="65"/>
      <c r="V499" s="65"/>
    </row>
    <row r="500" spans="19:22" ht="15.75" customHeight="1">
      <c r="S500" s="65"/>
      <c r="T500" s="65"/>
      <c r="U500" s="65"/>
      <c r="V500" s="65"/>
    </row>
    <row r="501" spans="19:22" ht="15.75" customHeight="1">
      <c r="S501" s="65"/>
      <c r="T501" s="65"/>
      <c r="U501" s="65"/>
      <c r="V501" s="65"/>
    </row>
    <row r="502" spans="19:22" ht="15.75" customHeight="1">
      <c r="S502" s="65"/>
      <c r="T502" s="65"/>
      <c r="U502" s="65"/>
      <c r="V502" s="65"/>
    </row>
    <row r="503" spans="19:22" ht="15.75" customHeight="1">
      <c r="S503" s="65"/>
      <c r="T503" s="65"/>
      <c r="U503" s="65"/>
      <c r="V503" s="65"/>
    </row>
    <row r="504" spans="19:22" ht="15.75" customHeight="1">
      <c r="S504" s="65"/>
      <c r="T504" s="65"/>
      <c r="U504" s="65"/>
      <c r="V504" s="65"/>
    </row>
    <row r="505" spans="19:22" ht="15.75" customHeight="1">
      <c r="S505" s="65"/>
      <c r="T505" s="65"/>
      <c r="U505" s="65"/>
      <c r="V505" s="65"/>
    </row>
    <row r="506" spans="19:22" ht="15.75" customHeight="1">
      <c r="S506" s="65"/>
      <c r="T506" s="65"/>
      <c r="U506" s="65"/>
      <c r="V506" s="65"/>
    </row>
    <row r="507" spans="19:22" ht="15.75" customHeight="1">
      <c r="S507" s="65"/>
      <c r="T507" s="65"/>
      <c r="U507" s="65"/>
      <c r="V507" s="65"/>
    </row>
    <row r="508" spans="19:22" ht="15.75" customHeight="1">
      <c r="S508" s="65"/>
      <c r="T508" s="65"/>
      <c r="U508" s="65"/>
      <c r="V508" s="65"/>
    </row>
    <row r="509" spans="19:22" ht="15.75" customHeight="1">
      <c r="S509" s="65"/>
      <c r="T509" s="65"/>
      <c r="U509" s="65"/>
      <c r="V509" s="65"/>
    </row>
    <row r="510" spans="19:22" ht="15.75" customHeight="1">
      <c r="S510" s="65"/>
      <c r="T510" s="65"/>
      <c r="U510" s="65"/>
      <c r="V510" s="65"/>
    </row>
    <row r="511" spans="19:22" ht="15.75" customHeight="1">
      <c r="S511" s="65"/>
      <c r="T511" s="65"/>
      <c r="U511" s="65"/>
      <c r="V511" s="65"/>
    </row>
    <row r="512" spans="19:22" ht="15.75" customHeight="1">
      <c r="S512" s="65"/>
      <c r="T512" s="65"/>
      <c r="U512" s="65"/>
      <c r="V512" s="65"/>
    </row>
    <row r="513" spans="19:22" ht="15.75" customHeight="1">
      <c r="S513" s="65"/>
      <c r="T513" s="65"/>
      <c r="U513" s="65"/>
      <c r="V513" s="65"/>
    </row>
    <row r="514" spans="19:22" ht="15.75" customHeight="1">
      <c r="S514" s="65"/>
      <c r="T514" s="65"/>
      <c r="U514" s="65"/>
      <c r="V514" s="65"/>
    </row>
    <row r="515" spans="19:22" ht="15.75" customHeight="1">
      <c r="S515" s="65"/>
      <c r="T515" s="65"/>
      <c r="U515" s="65"/>
      <c r="V515" s="65"/>
    </row>
    <row r="516" spans="19:22" ht="15.75" customHeight="1">
      <c r="S516" s="65"/>
      <c r="T516" s="65"/>
      <c r="U516" s="65"/>
      <c r="V516" s="65"/>
    </row>
    <row r="517" spans="19:22" ht="15.75" customHeight="1">
      <c r="S517" s="65"/>
      <c r="T517" s="65"/>
      <c r="U517" s="65"/>
      <c r="V517" s="65"/>
    </row>
    <row r="518" spans="19:22" ht="15.75" customHeight="1">
      <c r="S518" s="65"/>
      <c r="T518" s="65"/>
      <c r="U518" s="65"/>
      <c r="V518" s="65"/>
    </row>
    <row r="519" spans="19:22" ht="15.75" customHeight="1">
      <c r="S519" s="65"/>
      <c r="T519" s="65"/>
      <c r="U519" s="65"/>
      <c r="V519" s="65"/>
    </row>
    <row r="520" spans="19:22" ht="15.75" customHeight="1">
      <c r="S520" s="65"/>
      <c r="T520" s="65"/>
      <c r="U520" s="65"/>
      <c r="V520" s="65"/>
    </row>
    <row r="521" spans="19:22" ht="15.75" customHeight="1">
      <c r="S521" s="65"/>
      <c r="T521" s="65"/>
      <c r="U521" s="65"/>
      <c r="V521" s="65"/>
    </row>
    <row r="522" spans="19:22" ht="15.75" customHeight="1">
      <c r="S522" s="65"/>
      <c r="T522" s="65"/>
      <c r="U522" s="65"/>
      <c r="V522" s="65"/>
    </row>
    <row r="523" spans="19:22" ht="15.75" customHeight="1">
      <c r="S523" s="65"/>
      <c r="T523" s="65"/>
      <c r="U523" s="65"/>
      <c r="V523" s="65"/>
    </row>
    <row r="524" spans="19:22" ht="15.75" customHeight="1">
      <c r="S524" s="65"/>
      <c r="T524" s="65"/>
      <c r="U524" s="65"/>
      <c r="V524" s="65"/>
    </row>
    <row r="525" spans="19:22" ht="15.75" customHeight="1">
      <c r="S525" s="65"/>
      <c r="T525" s="65"/>
      <c r="U525" s="65"/>
      <c r="V525" s="65"/>
    </row>
    <row r="526" spans="19:22" ht="15.75" customHeight="1">
      <c r="S526" s="65"/>
      <c r="T526" s="65"/>
      <c r="U526" s="65"/>
      <c r="V526" s="65"/>
    </row>
    <row r="527" spans="19:22" ht="15.75" customHeight="1">
      <c r="S527" s="65"/>
      <c r="T527" s="65"/>
      <c r="U527" s="65"/>
      <c r="V527" s="65"/>
    </row>
    <row r="528" spans="19:22" ht="15.75" customHeight="1">
      <c r="S528" s="65"/>
      <c r="T528" s="65"/>
      <c r="U528" s="65"/>
      <c r="V528" s="65"/>
    </row>
    <row r="529" spans="19:22" ht="15.75" customHeight="1">
      <c r="S529" s="65"/>
      <c r="T529" s="65"/>
      <c r="U529" s="65"/>
      <c r="V529" s="65"/>
    </row>
    <row r="530" spans="19:22" ht="15.75" customHeight="1">
      <c r="S530" s="65"/>
      <c r="T530" s="65"/>
      <c r="U530" s="65"/>
      <c r="V530" s="65"/>
    </row>
    <row r="531" spans="19:22" ht="15.75" customHeight="1">
      <c r="S531" s="65"/>
      <c r="T531" s="65"/>
      <c r="U531" s="65"/>
      <c r="V531" s="65"/>
    </row>
    <row r="532" spans="19:22" ht="15.75" customHeight="1">
      <c r="S532" s="65"/>
      <c r="T532" s="65"/>
      <c r="U532" s="65"/>
      <c r="V532" s="65"/>
    </row>
    <row r="533" spans="19:22" ht="15.75" customHeight="1">
      <c r="S533" s="65"/>
      <c r="T533" s="65"/>
      <c r="U533" s="65"/>
      <c r="V533" s="65"/>
    </row>
    <row r="534" spans="19:22" ht="15.75" customHeight="1">
      <c r="S534" s="65"/>
      <c r="T534" s="65"/>
      <c r="U534" s="65"/>
      <c r="V534" s="65"/>
    </row>
    <row r="535" spans="19:22" ht="15.75" customHeight="1">
      <c r="S535" s="65"/>
      <c r="T535" s="65"/>
      <c r="U535" s="65"/>
      <c r="V535" s="65"/>
    </row>
    <row r="536" spans="19:22" ht="15.75" customHeight="1">
      <c r="S536" s="65"/>
      <c r="T536" s="65"/>
      <c r="U536" s="65"/>
      <c r="V536" s="65"/>
    </row>
    <row r="537" spans="19:22" ht="15.75" customHeight="1">
      <c r="S537" s="65"/>
      <c r="T537" s="65"/>
      <c r="U537" s="65"/>
      <c r="V537" s="65"/>
    </row>
    <row r="538" spans="19:22" ht="15.75" customHeight="1">
      <c r="S538" s="65"/>
      <c r="T538" s="65"/>
      <c r="U538" s="65"/>
      <c r="V538" s="65"/>
    </row>
    <row r="539" spans="19:22" ht="15.75" customHeight="1">
      <c r="S539" s="65"/>
      <c r="T539" s="65"/>
      <c r="U539" s="65"/>
      <c r="V539" s="65"/>
    </row>
    <row r="540" spans="19:22" ht="15.75" customHeight="1">
      <c r="S540" s="65"/>
      <c r="T540" s="65"/>
      <c r="U540" s="65"/>
      <c r="V540" s="65"/>
    </row>
    <row r="541" spans="19:22" ht="15.75" customHeight="1">
      <c r="S541" s="65"/>
      <c r="T541" s="65"/>
      <c r="U541" s="65"/>
      <c r="V541" s="65"/>
    </row>
    <row r="542" spans="19:22" ht="15.75" customHeight="1">
      <c r="S542" s="65"/>
      <c r="T542" s="65"/>
      <c r="U542" s="65"/>
      <c r="V542" s="65"/>
    </row>
    <row r="543" spans="19:22" ht="15.75" customHeight="1">
      <c r="S543" s="65"/>
      <c r="T543" s="65"/>
      <c r="U543" s="65"/>
      <c r="V543" s="65"/>
    </row>
    <row r="544" spans="19:22" ht="15.75" customHeight="1">
      <c r="S544" s="65"/>
      <c r="T544" s="65"/>
      <c r="U544" s="65"/>
      <c r="V544" s="65"/>
    </row>
    <row r="545" spans="19:22" ht="15.75" customHeight="1">
      <c r="S545" s="65"/>
      <c r="T545" s="65"/>
      <c r="U545" s="65"/>
      <c r="V545" s="65"/>
    </row>
    <row r="546" spans="19:22" ht="15.75" customHeight="1">
      <c r="S546" s="65"/>
      <c r="T546" s="65"/>
      <c r="U546" s="65"/>
      <c r="V546" s="65"/>
    </row>
    <row r="547" spans="19:22" ht="15.75" customHeight="1">
      <c r="S547" s="65"/>
      <c r="T547" s="65"/>
      <c r="U547" s="65"/>
      <c r="V547" s="65"/>
    </row>
    <row r="548" spans="19:22" ht="15.75" customHeight="1">
      <c r="S548" s="65"/>
      <c r="T548" s="65"/>
      <c r="U548" s="65"/>
      <c r="V548" s="65"/>
    </row>
    <row r="549" spans="19:22" ht="15.75" customHeight="1">
      <c r="S549" s="65"/>
      <c r="T549" s="65"/>
      <c r="U549" s="65"/>
      <c r="V549" s="65"/>
    </row>
    <row r="550" spans="19:22" ht="15.75" customHeight="1">
      <c r="S550" s="65"/>
      <c r="T550" s="65"/>
      <c r="U550" s="65"/>
      <c r="V550" s="65"/>
    </row>
    <row r="551" spans="19:22" ht="15.75" customHeight="1">
      <c r="S551" s="65"/>
      <c r="T551" s="65"/>
      <c r="U551" s="65"/>
      <c r="V551" s="65"/>
    </row>
    <row r="552" spans="19:22" ht="15.75" customHeight="1">
      <c r="S552" s="65"/>
      <c r="T552" s="65"/>
      <c r="U552" s="65"/>
      <c r="V552" s="65"/>
    </row>
    <row r="553" spans="19:22" ht="15.75" customHeight="1">
      <c r="S553" s="65"/>
      <c r="T553" s="65"/>
      <c r="U553" s="65"/>
      <c r="V553" s="65"/>
    </row>
    <row r="554" spans="19:22" ht="15.75" customHeight="1">
      <c r="S554" s="65"/>
      <c r="T554" s="65"/>
      <c r="U554" s="65"/>
      <c r="V554" s="65"/>
    </row>
    <row r="555" spans="19:22" ht="15.75" customHeight="1">
      <c r="S555" s="65"/>
      <c r="T555" s="65"/>
      <c r="U555" s="65"/>
      <c r="V555" s="65"/>
    </row>
    <row r="556" spans="19:22" ht="15.75" customHeight="1">
      <c r="S556" s="65"/>
      <c r="T556" s="65"/>
      <c r="U556" s="65"/>
      <c r="V556" s="65"/>
    </row>
    <row r="557" spans="19:22" ht="15.75" customHeight="1">
      <c r="S557" s="65"/>
      <c r="T557" s="65"/>
      <c r="U557" s="65"/>
      <c r="V557" s="65"/>
    </row>
    <row r="558" spans="19:22" ht="15.75" customHeight="1">
      <c r="S558" s="65"/>
      <c r="T558" s="65"/>
      <c r="U558" s="65"/>
      <c r="V558" s="65"/>
    </row>
    <row r="559" spans="19:22" ht="15.75" customHeight="1">
      <c r="S559" s="65"/>
      <c r="T559" s="65"/>
      <c r="U559" s="65"/>
      <c r="V559" s="65"/>
    </row>
    <row r="560" spans="19:22" ht="15.75" customHeight="1">
      <c r="S560" s="65"/>
      <c r="T560" s="65"/>
      <c r="U560" s="65"/>
      <c r="V560" s="65"/>
    </row>
    <row r="561" spans="19:22" ht="15.75" customHeight="1">
      <c r="S561" s="65"/>
      <c r="T561" s="65"/>
      <c r="U561" s="65"/>
      <c r="V561" s="65"/>
    </row>
    <row r="562" spans="19:22" ht="15.75" customHeight="1">
      <c r="S562" s="65"/>
      <c r="T562" s="65"/>
      <c r="U562" s="65"/>
      <c r="V562" s="65"/>
    </row>
    <row r="563" spans="19:22" ht="15.75" customHeight="1">
      <c r="S563" s="65"/>
      <c r="T563" s="65"/>
      <c r="U563" s="65"/>
      <c r="V563" s="65"/>
    </row>
    <row r="564" spans="19:22" ht="15.75" customHeight="1">
      <c r="S564" s="65"/>
      <c r="T564" s="65"/>
      <c r="U564" s="65"/>
      <c r="V564" s="65"/>
    </row>
    <row r="565" spans="19:22" ht="15.75" customHeight="1">
      <c r="S565" s="65"/>
      <c r="T565" s="65"/>
      <c r="U565" s="65"/>
      <c r="V565" s="65"/>
    </row>
    <row r="566" spans="19:22" ht="15.75" customHeight="1">
      <c r="S566" s="65"/>
      <c r="T566" s="65"/>
      <c r="U566" s="65"/>
      <c r="V566" s="65"/>
    </row>
    <row r="567" spans="19:22" ht="15.75" customHeight="1">
      <c r="S567" s="65"/>
      <c r="T567" s="65"/>
      <c r="U567" s="65"/>
      <c r="V567" s="65"/>
    </row>
    <row r="568" spans="19:22" ht="15.75" customHeight="1">
      <c r="S568" s="65"/>
      <c r="T568" s="65"/>
      <c r="U568" s="65"/>
      <c r="V568" s="65"/>
    </row>
    <row r="569" spans="19:22" ht="15.75" customHeight="1">
      <c r="S569" s="65"/>
      <c r="T569" s="65"/>
      <c r="U569" s="65"/>
      <c r="V569" s="65"/>
    </row>
    <row r="570" spans="19:22" ht="15.75" customHeight="1">
      <c r="S570" s="65"/>
      <c r="T570" s="65"/>
      <c r="U570" s="65"/>
      <c r="V570" s="65"/>
    </row>
    <row r="571" spans="19:22" ht="15.75" customHeight="1">
      <c r="S571" s="65"/>
      <c r="T571" s="65"/>
      <c r="U571" s="65"/>
      <c r="V571" s="65"/>
    </row>
    <row r="572" spans="19:22" ht="15.75" customHeight="1">
      <c r="S572" s="65"/>
      <c r="T572" s="65"/>
      <c r="U572" s="65"/>
      <c r="V572" s="65"/>
    </row>
    <row r="573" spans="19:22" ht="15.75" customHeight="1">
      <c r="S573" s="65"/>
      <c r="T573" s="65"/>
      <c r="U573" s="65"/>
      <c r="V573" s="65"/>
    </row>
    <row r="574" spans="19:22" ht="15.75" customHeight="1">
      <c r="S574" s="65"/>
      <c r="T574" s="65"/>
      <c r="U574" s="65"/>
      <c r="V574" s="65"/>
    </row>
    <row r="575" spans="19:22" ht="15.75" customHeight="1">
      <c r="S575" s="65"/>
      <c r="T575" s="65"/>
      <c r="U575" s="65"/>
      <c r="V575" s="65"/>
    </row>
    <row r="576" spans="19:22" ht="15.75" customHeight="1">
      <c r="S576" s="65"/>
      <c r="T576" s="65"/>
      <c r="U576" s="65"/>
      <c r="V576" s="65"/>
    </row>
    <row r="577" spans="19:22" ht="15.75" customHeight="1">
      <c r="S577" s="65"/>
      <c r="T577" s="65"/>
      <c r="U577" s="65"/>
      <c r="V577" s="65"/>
    </row>
    <row r="578" spans="19:22" ht="15.75" customHeight="1">
      <c r="S578" s="65"/>
      <c r="T578" s="65"/>
      <c r="U578" s="65"/>
      <c r="V578" s="65"/>
    </row>
    <row r="579" spans="19:22" ht="15.75" customHeight="1">
      <c r="S579" s="65"/>
      <c r="T579" s="65"/>
      <c r="U579" s="65"/>
      <c r="V579" s="65"/>
    </row>
    <row r="580" spans="19:22" ht="15.75" customHeight="1">
      <c r="S580" s="65"/>
      <c r="T580" s="65"/>
      <c r="U580" s="65"/>
      <c r="V580" s="65"/>
    </row>
    <row r="581" spans="19:22" ht="15.75" customHeight="1">
      <c r="S581" s="65"/>
      <c r="T581" s="65"/>
      <c r="U581" s="65"/>
      <c r="V581" s="65"/>
    </row>
    <row r="582" spans="19:22" ht="15.75" customHeight="1">
      <c r="S582" s="65"/>
      <c r="T582" s="65"/>
      <c r="U582" s="65"/>
      <c r="V582" s="65"/>
    </row>
    <row r="583" spans="19:22" ht="15.75" customHeight="1">
      <c r="S583" s="65"/>
      <c r="T583" s="65"/>
      <c r="U583" s="65"/>
      <c r="V583" s="65"/>
    </row>
    <row r="584" spans="19:22" ht="15.75" customHeight="1">
      <c r="S584" s="65"/>
      <c r="T584" s="65"/>
      <c r="U584" s="65"/>
      <c r="V584" s="65"/>
    </row>
    <row r="585" spans="19:22" ht="15.75" customHeight="1">
      <c r="S585" s="65"/>
      <c r="T585" s="65"/>
      <c r="U585" s="65"/>
      <c r="V585" s="65"/>
    </row>
    <row r="586" spans="19:22" ht="15.75" customHeight="1">
      <c r="S586" s="65"/>
      <c r="T586" s="65"/>
      <c r="U586" s="65"/>
      <c r="V586" s="65"/>
    </row>
    <row r="587" spans="19:22" ht="15.75" customHeight="1">
      <c r="S587" s="65"/>
      <c r="T587" s="65"/>
      <c r="U587" s="65"/>
      <c r="V587" s="65"/>
    </row>
    <row r="588" spans="19:22" ht="15.75" customHeight="1">
      <c r="S588" s="65"/>
      <c r="T588" s="65"/>
      <c r="U588" s="65"/>
      <c r="V588" s="65"/>
    </row>
    <row r="589" spans="19:22" ht="15.75" customHeight="1">
      <c r="S589" s="65"/>
      <c r="T589" s="65"/>
      <c r="U589" s="65"/>
      <c r="V589" s="65"/>
    </row>
    <row r="590" spans="19:22" ht="15.75" customHeight="1">
      <c r="S590" s="65"/>
      <c r="T590" s="65"/>
      <c r="U590" s="65"/>
      <c r="V590" s="65"/>
    </row>
    <row r="591" spans="19:22" ht="15.75" customHeight="1">
      <c r="S591" s="65"/>
      <c r="T591" s="65"/>
      <c r="U591" s="65"/>
      <c r="V591" s="65"/>
    </row>
    <row r="592" spans="19:22" ht="15.75" customHeight="1">
      <c r="S592" s="65"/>
      <c r="T592" s="65"/>
      <c r="U592" s="65"/>
      <c r="V592" s="65"/>
    </row>
    <row r="593" spans="19:22" ht="15.75" customHeight="1">
      <c r="S593" s="65"/>
      <c r="T593" s="65"/>
      <c r="U593" s="65"/>
      <c r="V593" s="65"/>
    </row>
    <row r="594" spans="19:22" ht="15.75" customHeight="1">
      <c r="S594" s="65"/>
      <c r="T594" s="65"/>
      <c r="U594" s="65"/>
      <c r="V594" s="65"/>
    </row>
    <row r="595" spans="19:22" ht="15.75" customHeight="1">
      <c r="S595" s="65"/>
      <c r="T595" s="65"/>
      <c r="U595" s="65"/>
      <c r="V595" s="65"/>
    </row>
    <row r="596" spans="19:22" ht="15.75" customHeight="1">
      <c r="S596" s="65"/>
      <c r="T596" s="65"/>
      <c r="U596" s="65"/>
      <c r="V596" s="65"/>
    </row>
    <row r="597" spans="19:22" ht="15.75" customHeight="1">
      <c r="S597" s="65"/>
      <c r="T597" s="65"/>
      <c r="U597" s="65"/>
      <c r="V597" s="65"/>
    </row>
    <row r="598" spans="19:22" ht="15.75" customHeight="1">
      <c r="S598" s="65"/>
      <c r="T598" s="65"/>
      <c r="U598" s="65"/>
      <c r="V598" s="65"/>
    </row>
    <row r="599" spans="19:22" ht="15.75" customHeight="1">
      <c r="S599" s="65"/>
      <c r="T599" s="65"/>
      <c r="U599" s="65"/>
      <c r="V599" s="65"/>
    </row>
    <row r="600" spans="19:22" ht="15.75" customHeight="1">
      <c r="S600" s="65"/>
      <c r="T600" s="65"/>
      <c r="U600" s="65"/>
      <c r="V600" s="65"/>
    </row>
    <row r="601" spans="19:22" ht="15.75" customHeight="1">
      <c r="S601" s="65"/>
      <c r="T601" s="65"/>
      <c r="U601" s="65"/>
      <c r="V601" s="65"/>
    </row>
    <row r="602" spans="19:22" ht="15.75" customHeight="1">
      <c r="S602" s="65"/>
      <c r="T602" s="65"/>
      <c r="U602" s="65"/>
      <c r="V602" s="65"/>
    </row>
    <row r="603" spans="19:22" ht="15.75" customHeight="1">
      <c r="S603" s="65"/>
      <c r="T603" s="65"/>
      <c r="U603" s="65"/>
      <c r="V603" s="65"/>
    </row>
    <row r="604" spans="19:22" ht="15.75" customHeight="1">
      <c r="S604" s="65"/>
      <c r="T604" s="65"/>
      <c r="U604" s="65"/>
      <c r="V604" s="65"/>
    </row>
    <row r="605" spans="19:22" ht="15.75" customHeight="1">
      <c r="S605" s="65"/>
      <c r="T605" s="65"/>
      <c r="U605" s="65"/>
      <c r="V605" s="65"/>
    </row>
    <row r="606" spans="19:22" ht="15.75" customHeight="1">
      <c r="S606" s="65"/>
      <c r="T606" s="65"/>
      <c r="U606" s="65"/>
      <c r="V606" s="65"/>
    </row>
    <row r="607" spans="19:22" ht="15.75" customHeight="1">
      <c r="S607" s="65"/>
      <c r="T607" s="65"/>
      <c r="U607" s="65"/>
      <c r="V607" s="65"/>
    </row>
    <row r="608" spans="19:22" ht="15.75" customHeight="1">
      <c r="S608" s="65"/>
      <c r="T608" s="65"/>
      <c r="U608" s="65"/>
      <c r="V608" s="65"/>
    </row>
    <row r="609" spans="19:22" ht="15.75" customHeight="1">
      <c r="S609" s="65"/>
      <c r="T609" s="65"/>
      <c r="U609" s="65"/>
      <c r="V609" s="65"/>
    </row>
    <row r="610" spans="19:22" ht="15.75" customHeight="1">
      <c r="S610" s="65"/>
      <c r="T610" s="65"/>
      <c r="U610" s="65"/>
      <c r="V610" s="65"/>
    </row>
    <row r="611" spans="19:22" ht="15.75" customHeight="1">
      <c r="S611" s="65"/>
      <c r="T611" s="65"/>
      <c r="U611" s="65"/>
      <c r="V611" s="65"/>
    </row>
    <row r="612" spans="19:22" ht="15.75" customHeight="1">
      <c r="S612" s="65"/>
      <c r="T612" s="65"/>
      <c r="U612" s="65"/>
      <c r="V612" s="65"/>
    </row>
    <row r="613" spans="19:22" ht="15.75" customHeight="1">
      <c r="S613" s="65"/>
      <c r="T613" s="65"/>
      <c r="U613" s="65"/>
      <c r="V613" s="65"/>
    </row>
    <row r="614" spans="19:22" ht="15.75" customHeight="1">
      <c r="S614" s="65"/>
      <c r="T614" s="65"/>
      <c r="U614" s="65"/>
      <c r="V614" s="65"/>
    </row>
    <row r="615" spans="19:22" ht="15.75" customHeight="1">
      <c r="S615" s="65"/>
      <c r="T615" s="65"/>
      <c r="U615" s="65"/>
      <c r="V615" s="65"/>
    </row>
    <row r="616" spans="19:22" ht="15.75" customHeight="1">
      <c r="S616" s="65"/>
      <c r="T616" s="65"/>
      <c r="U616" s="65"/>
      <c r="V616" s="65"/>
    </row>
    <row r="617" spans="19:22" ht="15.75" customHeight="1">
      <c r="S617" s="65"/>
      <c r="T617" s="65"/>
      <c r="U617" s="65"/>
      <c r="V617" s="65"/>
    </row>
    <row r="618" spans="19:22" ht="15.75" customHeight="1">
      <c r="S618" s="65"/>
      <c r="T618" s="65"/>
      <c r="U618" s="65"/>
      <c r="V618" s="65"/>
    </row>
    <row r="619" spans="19:22" ht="15.75" customHeight="1">
      <c r="S619" s="65"/>
      <c r="T619" s="65"/>
      <c r="U619" s="65"/>
      <c r="V619" s="65"/>
    </row>
    <row r="620" spans="19:22" ht="15.75" customHeight="1">
      <c r="S620" s="65"/>
      <c r="T620" s="65"/>
      <c r="U620" s="65"/>
      <c r="V620" s="65"/>
    </row>
    <row r="621" spans="19:22" ht="15.75" customHeight="1">
      <c r="S621" s="65"/>
      <c r="T621" s="65"/>
      <c r="U621" s="65"/>
      <c r="V621" s="65"/>
    </row>
    <row r="622" spans="19:22" ht="15.75" customHeight="1">
      <c r="S622" s="65"/>
      <c r="T622" s="65"/>
      <c r="U622" s="65"/>
      <c r="V622" s="65"/>
    </row>
    <row r="623" spans="19:22" ht="15.75" customHeight="1">
      <c r="S623" s="65"/>
      <c r="T623" s="65"/>
      <c r="U623" s="65"/>
      <c r="V623" s="65"/>
    </row>
    <row r="624" spans="19:22" ht="15.75" customHeight="1">
      <c r="S624" s="65"/>
      <c r="T624" s="65"/>
      <c r="U624" s="65"/>
      <c r="V624" s="65"/>
    </row>
    <row r="625" spans="19:22" ht="15.75" customHeight="1">
      <c r="S625" s="65"/>
      <c r="T625" s="65"/>
      <c r="U625" s="65"/>
      <c r="V625" s="65"/>
    </row>
    <row r="626" spans="19:22" ht="15.75" customHeight="1">
      <c r="S626" s="65"/>
      <c r="T626" s="65"/>
      <c r="U626" s="65"/>
      <c r="V626" s="65"/>
    </row>
    <row r="627" spans="19:22" ht="15.75" customHeight="1">
      <c r="S627" s="65"/>
      <c r="T627" s="65"/>
      <c r="U627" s="65"/>
      <c r="V627" s="65"/>
    </row>
    <row r="628" spans="19:22" ht="15.75" customHeight="1">
      <c r="S628" s="65"/>
      <c r="T628" s="65"/>
      <c r="U628" s="65"/>
      <c r="V628" s="65"/>
    </row>
    <row r="629" spans="19:22" ht="15.75" customHeight="1">
      <c r="S629" s="65"/>
      <c r="T629" s="65"/>
      <c r="U629" s="65"/>
      <c r="V629" s="65"/>
    </row>
    <row r="630" spans="19:22" ht="15.75" customHeight="1">
      <c r="S630" s="65"/>
      <c r="T630" s="65"/>
      <c r="U630" s="65"/>
      <c r="V630" s="65"/>
    </row>
    <row r="631" spans="19:22" ht="15.75" customHeight="1">
      <c r="S631" s="65"/>
      <c r="T631" s="65"/>
      <c r="U631" s="65"/>
      <c r="V631" s="65"/>
    </row>
    <row r="632" spans="19:22" ht="15.75" customHeight="1">
      <c r="S632" s="65"/>
      <c r="T632" s="65"/>
      <c r="U632" s="65"/>
      <c r="V632" s="65"/>
    </row>
    <row r="633" spans="19:22" ht="15.75" customHeight="1">
      <c r="S633" s="65"/>
      <c r="T633" s="65"/>
      <c r="U633" s="65"/>
      <c r="V633" s="65"/>
    </row>
    <row r="634" spans="19:22" ht="15.75" customHeight="1">
      <c r="S634" s="65"/>
      <c r="T634" s="65"/>
      <c r="U634" s="65"/>
      <c r="V634" s="65"/>
    </row>
    <row r="635" spans="19:22" ht="15.75" customHeight="1">
      <c r="S635" s="65"/>
      <c r="T635" s="65"/>
      <c r="U635" s="65"/>
      <c r="V635" s="65"/>
    </row>
    <row r="636" spans="19:22" ht="15.75" customHeight="1">
      <c r="S636" s="65"/>
      <c r="T636" s="65"/>
      <c r="U636" s="65"/>
      <c r="V636" s="65"/>
    </row>
    <row r="637" spans="19:22" ht="15.75" customHeight="1">
      <c r="S637" s="65"/>
      <c r="T637" s="65"/>
      <c r="U637" s="65"/>
      <c r="V637" s="65"/>
    </row>
    <row r="638" spans="19:22" ht="15.75" customHeight="1">
      <c r="S638" s="65"/>
      <c r="T638" s="65"/>
      <c r="U638" s="65"/>
      <c r="V638" s="65"/>
    </row>
    <row r="639" spans="19:22" ht="15.75" customHeight="1">
      <c r="S639" s="65"/>
      <c r="T639" s="65"/>
      <c r="U639" s="65"/>
      <c r="V639" s="65"/>
    </row>
    <row r="640" spans="19:22" ht="15.75" customHeight="1">
      <c r="S640" s="65"/>
      <c r="T640" s="65"/>
      <c r="U640" s="65"/>
      <c r="V640" s="65"/>
    </row>
    <row r="641" spans="19:22" ht="15.75" customHeight="1">
      <c r="S641" s="65"/>
      <c r="T641" s="65"/>
      <c r="U641" s="65"/>
      <c r="V641" s="65"/>
    </row>
    <row r="642" spans="19:22" ht="15.75" customHeight="1">
      <c r="S642" s="65"/>
      <c r="T642" s="65"/>
      <c r="U642" s="65"/>
      <c r="V642" s="65"/>
    </row>
    <row r="643" spans="19:22" ht="15.75" customHeight="1">
      <c r="S643" s="65"/>
      <c r="T643" s="65"/>
      <c r="U643" s="65"/>
      <c r="V643" s="65"/>
    </row>
    <row r="644" spans="19:22" ht="15.75" customHeight="1">
      <c r="S644" s="65"/>
      <c r="T644" s="65"/>
      <c r="U644" s="65"/>
      <c r="V644" s="65"/>
    </row>
    <row r="645" spans="19:22" ht="15.75" customHeight="1">
      <c r="S645" s="65"/>
      <c r="T645" s="65"/>
      <c r="U645" s="65"/>
      <c r="V645" s="65"/>
    </row>
    <row r="646" spans="19:22" ht="15.75" customHeight="1">
      <c r="S646" s="65"/>
      <c r="T646" s="65"/>
      <c r="U646" s="65"/>
      <c r="V646" s="65"/>
    </row>
    <row r="647" spans="19:22" ht="15.75" customHeight="1">
      <c r="S647" s="65"/>
      <c r="T647" s="65"/>
      <c r="U647" s="65"/>
      <c r="V647" s="65"/>
    </row>
    <row r="648" spans="19:22" ht="15.75" customHeight="1">
      <c r="S648" s="65"/>
      <c r="T648" s="65"/>
      <c r="U648" s="65"/>
      <c r="V648" s="65"/>
    </row>
    <row r="649" spans="19:22" ht="15.75" customHeight="1">
      <c r="S649" s="65"/>
      <c r="T649" s="65"/>
      <c r="U649" s="65"/>
      <c r="V649" s="65"/>
    </row>
    <row r="650" spans="19:22" ht="15.75" customHeight="1">
      <c r="S650" s="65"/>
      <c r="T650" s="65"/>
      <c r="U650" s="65"/>
      <c r="V650" s="65"/>
    </row>
    <row r="651" spans="19:22" ht="15.75" customHeight="1">
      <c r="S651" s="65"/>
      <c r="T651" s="65"/>
      <c r="U651" s="65"/>
      <c r="V651" s="65"/>
    </row>
    <row r="652" spans="19:22" ht="15.75" customHeight="1">
      <c r="S652" s="65"/>
      <c r="T652" s="65"/>
      <c r="U652" s="65"/>
      <c r="V652" s="65"/>
    </row>
    <row r="653" spans="19:22" ht="15.75" customHeight="1">
      <c r="S653" s="65"/>
      <c r="T653" s="65"/>
      <c r="U653" s="65"/>
      <c r="V653" s="65"/>
    </row>
    <row r="654" spans="19:22" ht="15.75" customHeight="1">
      <c r="S654" s="65"/>
      <c r="T654" s="65"/>
      <c r="U654" s="65"/>
      <c r="V654" s="65"/>
    </row>
    <row r="655" spans="19:22" ht="15.75" customHeight="1">
      <c r="S655" s="65"/>
      <c r="T655" s="65"/>
      <c r="U655" s="65"/>
      <c r="V655" s="65"/>
    </row>
    <row r="656" spans="19:22" ht="15.75" customHeight="1">
      <c r="S656" s="65"/>
      <c r="T656" s="65"/>
      <c r="U656" s="65"/>
      <c r="V656" s="65"/>
    </row>
    <row r="657" spans="19:22" ht="15.75" customHeight="1">
      <c r="S657" s="65"/>
      <c r="T657" s="65"/>
      <c r="U657" s="65"/>
      <c r="V657" s="65"/>
    </row>
    <row r="658" spans="19:22" ht="15.75" customHeight="1">
      <c r="S658" s="65"/>
      <c r="T658" s="65"/>
      <c r="U658" s="65"/>
      <c r="V658" s="65"/>
    </row>
    <row r="659" spans="19:22" ht="15.75" customHeight="1">
      <c r="S659" s="65"/>
      <c r="T659" s="65"/>
      <c r="U659" s="65"/>
      <c r="V659" s="65"/>
    </row>
    <row r="660" spans="19:22" ht="15.75" customHeight="1">
      <c r="S660" s="65"/>
      <c r="T660" s="65"/>
      <c r="U660" s="65"/>
      <c r="V660" s="65"/>
    </row>
    <row r="661" spans="19:22" ht="15.75" customHeight="1">
      <c r="S661" s="65"/>
      <c r="T661" s="65"/>
      <c r="U661" s="65"/>
      <c r="V661" s="65"/>
    </row>
    <row r="662" spans="19:22" ht="15.75" customHeight="1">
      <c r="S662" s="65"/>
      <c r="T662" s="65"/>
      <c r="U662" s="65"/>
      <c r="V662" s="65"/>
    </row>
    <row r="663" spans="19:22" ht="15.75" customHeight="1">
      <c r="S663" s="65"/>
      <c r="T663" s="65"/>
      <c r="U663" s="65"/>
      <c r="V663" s="65"/>
    </row>
    <row r="664" spans="19:22" ht="15.75" customHeight="1">
      <c r="S664" s="65"/>
      <c r="T664" s="65"/>
      <c r="U664" s="65"/>
      <c r="V664" s="65"/>
    </row>
    <row r="665" spans="19:22" ht="15.75" customHeight="1">
      <c r="S665" s="65"/>
      <c r="T665" s="65"/>
      <c r="U665" s="65"/>
      <c r="V665" s="65"/>
    </row>
    <row r="666" spans="19:22" ht="15.75" customHeight="1">
      <c r="S666" s="65"/>
      <c r="T666" s="65"/>
      <c r="U666" s="65"/>
      <c r="V666" s="65"/>
    </row>
    <row r="667" spans="19:22" ht="15.75" customHeight="1">
      <c r="S667" s="65"/>
      <c r="T667" s="65"/>
      <c r="U667" s="65"/>
      <c r="V667" s="65"/>
    </row>
    <row r="668" spans="19:22" ht="15.75" customHeight="1">
      <c r="S668" s="65"/>
      <c r="T668" s="65"/>
      <c r="U668" s="65"/>
      <c r="V668" s="65"/>
    </row>
    <row r="669" spans="19:22" ht="15.75" customHeight="1">
      <c r="S669" s="65"/>
      <c r="T669" s="65"/>
      <c r="U669" s="65"/>
      <c r="V669" s="65"/>
    </row>
    <row r="670" spans="19:22" ht="15.75" customHeight="1">
      <c r="S670" s="65"/>
      <c r="T670" s="65"/>
      <c r="U670" s="65"/>
      <c r="V670" s="65"/>
    </row>
    <row r="671" spans="19:22" ht="15.75" customHeight="1">
      <c r="S671" s="65"/>
      <c r="T671" s="65"/>
      <c r="U671" s="65"/>
      <c r="V671" s="65"/>
    </row>
    <row r="672" spans="19:22" ht="15.75" customHeight="1">
      <c r="S672" s="65"/>
      <c r="T672" s="65"/>
      <c r="U672" s="65"/>
      <c r="V672" s="65"/>
    </row>
    <row r="673" spans="19:22" ht="15.75" customHeight="1">
      <c r="S673" s="65"/>
      <c r="T673" s="65"/>
      <c r="U673" s="65"/>
      <c r="V673" s="65"/>
    </row>
    <row r="674" spans="19:22" ht="15.75" customHeight="1">
      <c r="S674" s="65"/>
      <c r="T674" s="65"/>
      <c r="U674" s="65"/>
      <c r="V674" s="65"/>
    </row>
    <row r="675" spans="19:22" ht="15.75" customHeight="1">
      <c r="S675" s="65"/>
      <c r="T675" s="65"/>
      <c r="U675" s="65"/>
      <c r="V675" s="65"/>
    </row>
    <row r="676" spans="19:22" ht="15.75" customHeight="1">
      <c r="S676" s="65"/>
      <c r="T676" s="65"/>
      <c r="U676" s="65"/>
      <c r="V676" s="65"/>
    </row>
    <row r="677" spans="19:22" ht="15.75" customHeight="1">
      <c r="S677" s="65"/>
      <c r="T677" s="65"/>
      <c r="U677" s="65"/>
      <c r="V677" s="65"/>
    </row>
    <row r="678" spans="19:22" ht="15.75" customHeight="1">
      <c r="S678" s="65"/>
      <c r="T678" s="65"/>
      <c r="U678" s="65"/>
      <c r="V678" s="65"/>
    </row>
    <row r="679" spans="19:22" ht="15.75" customHeight="1">
      <c r="S679" s="65"/>
      <c r="T679" s="65"/>
      <c r="U679" s="65"/>
      <c r="V679" s="65"/>
    </row>
    <row r="680" spans="19:22" ht="15.75" customHeight="1">
      <c r="S680" s="65"/>
      <c r="T680" s="65"/>
      <c r="U680" s="65"/>
      <c r="V680" s="65"/>
    </row>
    <row r="681" spans="19:22" ht="15.75" customHeight="1">
      <c r="S681" s="65"/>
      <c r="T681" s="65"/>
      <c r="U681" s="65"/>
      <c r="V681" s="65"/>
    </row>
    <row r="682" spans="19:22" ht="15.75" customHeight="1">
      <c r="S682" s="65"/>
      <c r="T682" s="65"/>
      <c r="U682" s="65"/>
      <c r="V682" s="65"/>
    </row>
    <row r="683" spans="19:22" ht="15.75" customHeight="1">
      <c r="S683" s="65"/>
      <c r="T683" s="65"/>
      <c r="U683" s="65"/>
      <c r="V683" s="65"/>
    </row>
    <row r="684" spans="19:22" ht="15.75" customHeight="1">
      <c r="S684" s="65"/>
      <c r="T684" s="65"/>
      <c r="U684" s="65"/>
      <c r="V684" s="65"/>
    </row>
    <row r="685" spans="19:22" ht="15.75" customHeight="1">
      <c r="S685" s="65"/>
      <c r="T685" s="65"/>
      <c r="U685" s="65"/>
      <c r="V685" s="65"/>
    </row>
    <row r="686" spans="19:22" ht="15.75" customHeight="1">
      <c r="S686" s="65"/>
      <c r="T686" s="65"/>
      <c r="U686" s="65"/>
      <c r="V686" s="65"/>
    </row>
    <row r="687" spans="19:22" ht="15.75" customHeight="1">
      <c r="S687" s="65"/>
      <c r="T687" s="65"/>
      <c r="U687" s="65"/>
      <c r="V687" s="65"/>
    </row>
    <row r="688" spans="19:22" ht="15.75" customHeight="1">
      <c r="S688" s="65"/>
      <c r="T688" s="65"/>
      <c r="U688" s="65"/>
      <c r="V688" s="65"/>
    </row>
    <row r="689" spans="19:22" ht="15.75" customHeight="1">
      <c r="S689" s="65"/>
      <c r="T689" s="65"/>
      <c r="U689" s="65"/>
      <c r="V689" s="65"/>
    </row>
    <row r="690" spans="19:22" ht="15.75" customHeight="1">
      <c r="S690" s="65"/>
      <c r="T690" s="65"/>
      <c r="U690" s="65"/>
      <c r="V690" s="65"/>
    </row>
    <row r="691" spans="19:22" ht="15.75" customHeight="1">
      <c r="S691" s="65"/>
      <c r="T691" s="65"/>
      <c r="U691" s="65"/>
      <c r="V691" s="65"/>
    </row>
    <row r="692" spans="19:22" ht="15.75" customHeight="1">
      <c r="S692" s="65"/>
      <c r="T692" s="65"/>
      <c r="U692" s="65"/>
      <c r="V692" s="65"/>
    </row>
    <row r="693" spans="19:22" ht="15.75" customHeight="1">
      <c r="S693" s="65"/>
      <c r="T693" s="65"/>
      <c r="U693" s="65"/>
      <c r="V693" s="65"/>
    </row>
    <row r="694" spans="19:22" ht="15.75" customHeight="1">
      <c r="S694" s="65"/>
      <c r="T694" s="65"/>
      <c r="U694" s="65"/>
      <c r="V694" s="65"/>
    </row>
    <row r="695" spans="19:22" ht="15.75" customHeight="1">
      <c r="S695" s="65"/>
      <c r="T695" s="65"/>
      <c r="U695" s="65"/>
      <c r="V695" s="65"/>
    </row>
    <row r="696" spans="19:22" ht="15.75" customHeight="1">
      <c r="S696" s="65"/>
      <c r="T696" s="65"/>
      <c r="U696" s="65"/>
      <c r="V696" s="65"/>
    </row>
    <row r="697" spans="19:22" ht="15.75" customHeight="1">
      <c r="S697" s="65"/>
      <c r="T697" s="65"/>
      <c r="U697" s="65"/>
      <c r="V697" s="65"/>
    </row>
    <row r="698" spans="19:22" ht="15.75" customHeight="1">
      <c r="S698" s="65"/>
      <c r="T698" s="65"/>
      <c r="U698" s="65"/>
      <c r="V698" s="65"/>
    </row>
    <row r="699" spans="19:22" ht="15.75" customHeight="1">
      <c r="S699" s="65"/>
      <c r="T699" s="65"/>
      <c r="U699" s="65"/>
      <c r="V699" s="65"/>
    </row>
    <row r="700" spans="19:22" ht="15.75" customHeight="1">
      <c r="S700" s="65"/>
      <c r="T700" s="65"/>
      <c r="U700" s="65"/>
      <c r="V700" s="65"/>
    </row>
    <row r="701" spans="19:22" ht="15.75" customHeight="1">
      <c r="S701" s="65"/>
      <c r="T701" s="65"/>
      <c r="U701" s="65"/>
      <c r="V701" s="65"/>
    </row>
    <row r="702" spans="19:22" ht="15.75" customHeight="1">
      <c r="S702" s="65"/>
      <c r="T702" s="65"/>
      <c r="U702" s="65"/>
      <c r="V702" s="65"/>
    </row>
    <row r="703" spans="19:22" ht="15.75" customHeight="1">
      <c r="S703" s="65"/>
      <c r="T703" s="65"/>
      <c r="U703" s="65"/>
      <c r="V703" s="65"/>
    </row>
    <row r="704" spans="19:22" ht="15.75" customHeight="1">
      <c r="S704" s="65"/>
      <c r="T704" s="65"/>
      <c r="U704" s="65"/>
      <c r="V704" s="65"/>
    </row>
    <row r="705" spans="19:22" ht="15.75" customHeight="1">
      <c r="S705" s="65"/>
      <c r="T705" s="65"/>
      <c r="U705" s="65"/>
      <c r="V705" s="65"/>
    </row>
    <row r="706" spans="19:22" ht="15.75" customHeight="1">
      <c r="S706" s="65"/>
      <c r="T706" s="65"/>
      <c r="U706" s="65"/>
      <c r="V706" s="65"/>
    </row>
    <row r="707" spans="19:22" ht="15.75" customHeight="1">
      <c r="S707" s="65"/>
      <c r="T707" s="65"/>
      <c r="U707" s="65"/>
      <c r="V707" s="65"/>
    </row>
    <row r="708" spans="19:22" ht="15.75" customHeight="1">
      <c r="S708" s="65"/>
      <c r="T708" s="65"/>
      <c r="U708" s="65"/>
      <c r="V708" s="65"/>
    </row>
    <row r="709" spans="19:22" ht="15.75" customHeight="1">
      <c r="S709" s="65"/>
      <c r="T709" s="65"/>
      <c r="U709" s="65"/>
      <c r="V709" s="65"/>
    </row>
    <row r="710" spans="19:22" ht="15.75" customHeight="1">
      <c r="S710" s="65"/>
      <c r="T710" s="65"/>
      <c r="U710" s="65"/>
      <c r="V710" s="65"/>
    </row>
    <row r="711" spans="19:22" ht="15.75" customHeight="1">
      <c r="S711" s="65"/>
      <c r="T711" s="65"/>
      <c r="U711" s="65"/>
      <c r="V711" s="65"/>
    </row>
    <row r="712" spans="19:22" ht="15.75" customHeight="1">
      <c r="S712" s="65"/>
      <c r="T712" s="65"/>
      <c r="U712" s="65"/>
      <c r="V712" s="65"/>
    </row>
    <row r="713" spans="19:22" ht="15.75" customHeight="1">
      <c r="S713" s="65"/>
      <c r="T713" s="65"/>
      <c r="U713" s="65"/>
      <c r="V713" s="65"/>
    </row>
    <row r="714" spans="19:22" ht="15.75" customHeight="1">
      <c r="S714" s="65"/>
      <c r="T714" s="65"/>
      <c r="U714" s="65"/>
      <c r="V714" s="65"/>
    </row>
    <row r="715" spans="19:22" ht="15.75" customHeight="1">
      <c r="S715" s="65"/>
      <c r="T715" s="65"/>
      <c r="U715" s="65"/>
      <c r="V715" s="65"/>
    </row>
    <row r="716" spans="19:22" ht="15.75" customHeight="1">
      <c r="S716" s="65"/>
      <c r="T716" s="65"/>
      <c r="U716" s="65"/>
      <c r="V716" s="65"/>
    </row>
    <row r="717" spans="19:22" ht="15.75" customHeight="1">
      <c r="S717" s="65"/>
      <c r="T717" s="65"/>
      <c r="U717" s="65"/>
      <c r="V717" s="65"/>
    </row>
    <row r="718" spans="19:22" ht="15.75" customHeight="1">
      <c r="S718" s="65"/>
      <c r="T718" s="65"/>
      <c r="U718" s="65"/>
      <c r="V718" s="65"/>
    </row>
    <row r="719" spans="19:22" ht="15.75" customHeight="1">
      <c r="S719" s="65"/>
      <c r="T719" s="65"/>
      <c r="U719" s="65"/>
      <c r="V719" s="65"/>
    </row>
    <row r="720" spans="19:22" ht="15.75" customHeight="1">
      <c r="S720" s="65"/>
      <c r="T720" s="65"/>
      <c r="U720" s="65"/>
      <c r="V720" s="65"/>
    </row>
    <row r="721" spans="19:22" ht="15.75" customHeight="1">
      <c r="S721" s="65"/>
      <c r="T721" s="65"/>
      <c r="U721" s="65"/>
      <c r="V721" s="65"/>
    </row>
    <row r="722" spans="19:22" ht="15.75" customHeight="1">
      <c r="S722" s="65"/>
      <c r="T722" s="65"/>
      <c r="U722" s="65"/>
      <c r="V722" s="65"/>
    </row>
    <row r="723" spans="19:22" ht="15.75" customHeight="1">
      <c r="S723" s="65"/>
      <c r="T723" s="65"/>
      <c r="U723" s="65"/>
      <c r="V723" s="65"/>
    </row>
    <row r="724" spans="19:22" ht="15.75" customHeight="1">
      <c r="S724" s="65"/>
      <c r="T724" s="65"/>
      <c r="U724" s="65"/>
      <c r="V724" s="65"/>
    </row>
    <row r="725" spans="19:22" ht="15.75" customHeight="1">
      <c r="S725" s="65"/>
      <c r="T725" s="65"/>
      <c r="U725" s="65"/>
      <c r="V725" s="65"/>
    </row>
    <row r="726" spans="19:22" ht="15.75" customHeight="1">
      <c r="S726" s="65"/>
      <c r="T726" s="65"/>
      <c r="U726" s="65"/>
      <c r="V726" s="65"/>
    </row>
    <row r="727" spans="19:22" ht="15.75" customHeight="1">
      <c r="S727" s="65"/>
      <c r="T727" s="65"/>
      <c r="U727" s="65"/>
      <c r="V727" s="65"/>
    </row>
    <row r="728" spans="19:22" ht="15.75" customHeight="1">
      <c r="S728" s="65"/>
      <c r="T728" s="65"/>
      <c r="U728" s="65"/>
      <c r="V728" s="65"/>
    </row>
    <row r="729" spans="19:22" ht="15.75" customHeight="1">
      <c r="S729" s="65"/>
      <c r="T729" s="65"/>
      <c r="U729" s="65"/>
      <c r="V729" s="65"/>
    </row>
    <row r="730" spans="19:22" ht="15.75" customHeight="1">
      <c r="S730" s="65"/>
      <c r="T730" s="65"/>
      <c r="U730" s="65"/>
      <c r="V730" s="65"/>
    </row>
    <row r="731" spans="19:22" ht="15.75" customHeight="1">
      <c r="S731" s="65"/>
      <c r="T731" s="65"/>
      <c r="U731" s="65"/>
      <c r="V731" s="65"/>
    </row>
    <row r="732" spans="19:22" ht="15.75" customHeight="1">
      <c r="S732" s="65"/>
      <c r="T732" s="65"/>
      <c r="U732" s="65"/>
      <c r="V732" s="65"/>
    </row>
    <row r="733" spans="19:22" ht="15.75" customHeight="1">
      <c r="S733" s="65"/>
      <c r="T733" s="65"/>
      <c r="U733" s="65"/>
      <c r="V733" s="65"/>
    </row>
    <row r="734" spans="19:22" ht="15.75" customHeight="1">
      <c r="S734" s="65"/>
      <c r="T734" s="65"/>
      <c r="U734" s="65"/>
      <c r="V734" s="65"/>
    </row>
    <row r="735" spans="19:22" ht="15.75" customHeight="1">
      <c r="S735" s="65"/>
      <c r="T735" s="65"/>
      <c r="U735" s="65"/>
      <c r="V735" s="65"/>
    </row>
    <row r="736" spans="19:22" ht="15.75" customHeight="1">
      <c r="S736" s="65"/>
      <c r="T736" s="65"/>
      <c r="U736" s="65"/>
      <c r="V736" s="65"/>
    </row>
    <row r="737" spans="19:22" ht="15.75" customHeight="1">
      <c r="S737" s="65"/>
      <c r="T737" s="65"/>
      <c r="U737" s="65"/>
      <c r="V737" s="65"/>
    </row>
    <row r="738" spans="19:22" ht="15.75" customHeight="1">
      <c r="S738" s="65"/>
      <c r="T738" s="65"/>
      <c r="U738" s="65"/>
      <c r="V738" s="65"/>
    </row>
    <row r="739" spans="19:22" ht="15.75" customHeight="1">
      <c r="S739" s="65"/>
      <c r="T739" s="65"/>
      <c r="U739" s="65"/>
      <c r="V739" s="65"/>
    </row>
    <row r="740" spans="19:22" ht="15.75" customHeight="1">
      <c r="S740" s="65"/>
      <c r="T740" s="65"/>
      <c r="U740" s="65"/>
      <c r="V740" s="65"/>
    </row>
    <row r="741" spans="19:22" ht="15.75" customHeight="1">
      <c r="S741" s="65"/>
      <c r="T741" s="65"/>
      <c r="U741" s="65"/>
      <c r="V741" s="65"/>
    </row>
    <row r="742" spans="19:22" ht="15.75" customHeight="1">
      <c r="S742" s="65"/>
      <c r="T742" s="65"/>
      <c r="U742" s="65"/>
      <c r="V742" s="65"/>
    </row>
    <row r="743" spans="19:22" ht="15.75" customHeight="1">
      <c r="S743" s="65"/>
      <c r="T743" s="65"/>
      <c r="U743" s="65"/>
      <c r="V743" s="65"/>
    </row>
    <row r="744" spans="19:22" ht="15.75" customHeight="1">
      <c r="S744" s="65"/>
      <c r="T744" s="65"/>
      <c r="U744" s="65"/>
      <c r="V744" s="65"/>
    </row>
    <row r="745" spans="19:22" ht="15.75" customHeight="1">
      <c r="S745" s="65"/>
      <c r="T745" s="65"/>
      <c r="U745" s="65"/>
      <c r="V745" s="65"/>
    </row>
    <row r="746" spans="19:22" ht="15.75" customHeight="1">
      <c r="S746" s="65"/>
      <c r="T746" s="65"/>
      <c r="U746" s="65"/>
      <c r="V746" s="65"/>
    </row>
    <row r="747" spans="19:22" ht="15.75" customHeight="1">
      <c r="S747" s="65"/>
      <c r="T747" s="65"/>
      <c r="U747" s="65"/>
      <c r="V747" s="65"/>
    </row>
    <row r="748" spans="19:22" ht="15.75" customHeight="1">
      <c r="S748" s="65"/>
      <c r="T748" s="65"/>
      <c r="U748" s="65"/>
      <c r="V748" s="65"/>
    </row>
    <row r="749" spans="19:22" ht="15.75" customHeight="1">
      <c r="S749" s="65"/>
      <c r="T749" s="65"/>
      <c r="U749" s="65"/>
      <c r="V749" s="65"/>
    </row>
    <row r="750" spans="19:22" ht="15.75" customHeight="1">
      <c r="S750" s="65"/>
      <c r="T750" s="65"/>
      <c r="U750" s="65"/>
      <c r="V750" s="65"/>
    </row>
    <row r="751" spans="19:22" ht="15.75" customHeight="1">
      <c r="S751" s="65"/>
      <c r="T751" s="65"/>
      <c r="U751" s="65"/>
      <c r="V751" s="65"/>
    </row>
    <row r="752" spans="19:22" ht="15.75" customHeight="1">
      <c r="S752" s="65"/>
      <c r="T752" s="65"/>
      <c r="U752" s="65"/>
      <c r="V752" s="65"/>
    </row>
    <row r="753" spans="19:22" ht="15.75" customHeight="1">
      <c r="S753" s="65"/>
      <c r="T753" s="65"/>
      <c r="U753" s="65"/>
      <c r="V753" s="65"/>
    </row>
    <row r="754" spans="19:22" ht="15.75" customHeight="1">
      <c r="S754" s="65"/>
      <c r="T754" s="65"/>
      <c r="U754" s="65"/>
      <c r="V754" s="65"/>
    </row>
    <row r="755" spans="19:22" ht="15.75" customHeight="1">
      <c r="S755" s="65"/>
      <c r="T755" s="65"/>
      <c r="U755" s="65"/>
      <c r="V755" s="65"/>
    </row>
    <row r="756" spans="19:22" ht="15.75" customHeight="1">
      <c r="S756" s="65"/>
      <c r="T756" s="65"/>
      <c r="U756" s="65"/>
      <c r="V756" s="65"/>
    </row>
    <row r="757" spans="19:22" ht="15.75" customHeight="1">
      <c r="S757" s="65"/>
      <c r="T757" s="65"/>
      <c r="U757" s="65"/>
      <c r="V757" s="65"/>
    </row>
    <row r="758" spans="19:22" ht="15.75" customHeight="1">
      <c r="S758" s="65"/>
      <c r="T758" s="65"/>
      <c r="U758" s="65"/>
      <c r="V758" s="65"/>
    </row>
    <row r="759" spans="19:22" ht="15.75" customHeight="1">
      <c r="S759" s="65"/>
      <c r="T759" s="65"/>
      <c r="U759" s="65"/>
      <c r="V759" s="65"/>
    </row>
    <row r="760" spans="19:22" ht="15.75" customHeight="1">
      <c r="S760" s="65"/>
      <c r="T760" s="65"/>
      <c r="U760" s="65"/>
      <c r="V760" s="65"/>
    </row>
    <row r="761" spans="19:22" ht="15.75" customHeight="1">
      <c r="S761" s="65"/>
      <c r="T761" s="65"/>
      <c r="U761" s="65"/>
      <c r="V761" s="65"/>
    </row>
    <row r="762" spans="19:22" ht="15.75" customHeight="1">
      <c r="S762" s="65"/>
      <c r="T762" s="65"/>
      <c r="U762" s="65"/>
      <c r="V762" s="65"/>
    </row>
    <row r="763" spans="19:22" ht="15.75" customHeight="1">
      <c r="S763" s="65"/>
      <c r="T763" s="65"/>
      <c r="U763" s="65"/>
      <c r="V763" s="65"/>
    </row>
    <row r="764" spans="19:22" ht="15.75" customHeight="1">
      <c r="S764" s="65"/>
      <c r="T764" s="65"/>
      <c r="U764" s="65"/>
      <c r="V764" s="65"/>
    </row>
    <row r="765" spans="19:22" ht="15.75" customHeight="1">
      <c r="S765" s="65"/>
      <c r="T765" s="65"/>
      <c r="U765" s="65"/>
      <c r="V765" s="65"/>
    </row>
    <row r="766" spans="19:22" ht="15.75" customHeight="1">
      <c r="S766" s="65"/>
      <c r="T766" s="65"/>
      <c r="U766" s="65"/>
      <c r="V766" s="65"/>
    </row>
    <row r="767" spans="19:22" ht="15.75" customHeight="1">
      <c r="S767" s="65"/>
      <c r="T767" s="65"/>
      <c r="U767" s="65"/>
      <c r="V767" s="65"/>
    </row>
    <row r="768" spans="19:22" ht="15.75" customHeight="1">
      <c r="S768" s="65"/>
      <c r="T768" s="65"/>
      <c r="U768" s="65"/>
      <c r="V768" s="65"/>
    </row>
    <row r="769" spans="19:22" ht="15.75" customHeight="1">
      <c r="S769" s="65"/>
      <c r="T769" s="65"/>
      <c r="U769" s="65"/>
      <c r="V769" s="65"/>
    </row>
    <row r="770" spans="19:22" ht="15.75" customHeight="1">
      <c r="S770" s="65"/>
      <c r="T770" s="65"/>
      <c r="U770" s="65"/>
      <c r="V770" s="65"/>
    </row>
    <row r="771" spans="19:22" ht="15.75" customHeight="1">
      <c r="S771" s="65"/>
      <c r="T771" s="65"/>
      <c r="U771" s="65"/>
      <c r="V771" s="65"/>
    </row>
    <row r="772" spans="19:22" ht="15.75" customHeight="1">
      <c r="S772" s="65"/>
      <c r="T772" s="65"/>
      <c r="U772" s="65"/>
      <c r="V772" s="65"/>
    </row>
    <row r="773" spans="19:22" ht="15.75" customHeight="1">
      <c r="S773" s="65"/>
      <c r="T773" s="65"/>
      <c r="U773" s="65"/>
      <c r="V773" s="65"/>
    </row>
    <row r="774" spans="19:22" ht="15.75" customHeight="1">
      <c r="S774" s="65"/>
      <c r="T774" s="65"/>
      <c r="U774" s="65"/>
      <c r="V774" s="65"/>
    </row>
    <row r="775" spans="19:22" ht="15.75" customHeight="1">
      <c r="S775" s="65"/>
      <c r="T775" s="65"/>
      <c r="U775" s="65"/>
      <c r="V775" s="65"/>
    </row>
    <row r="776" spans="19:22" ht="15.75" customHeight="1">
      <c r="S776" s="65"/>
      <c r="T776" s="65"/>
      <c r="U776" s="65"/>
      <c r="V776" s="65"/>
    </row>
    <row r="777" spans="19:22" ht="15.75" customHeight="1">
      <c r="S777" s="65"/>
      <c r="T777" s="65"/>
      <c r="U777" s="65"/>
      <c r="V777" s="65"/>
    </row>
    <row r="778" spans="19:22" ht="15.75" customHeight="1">
      <c r="S778" s="65"/>
      <c r="T778" s="65"/>
      <c r="U778" s="65"/>
      <c r="V778" s="65"/>
    </row>
    <row r="779" spans="19:22" ht="15.75" customHeight="1">
      <c r="S779" s="65"/>
      <c r="T779" s="65"/>
      <c r="U779" s="65"/>
      <c r="V779" s="65"/>
    </row>
    <row r="780" spans="19:22" ht="15.75" customHeight="1">
      <c r="S780" s="65"/>
      <c r="T780" s="65"/>
      <c r="U780" s="65"/>
      <c r="V780" s="65"/>
    </row>
    <row r="781" spans="19:22" ht="15.75" customHeight="1">
      <c r="S781" s="65"/>
      <c r="T781" s="65"/>
      <c r="U781" s="65"/>
      <c r="V781" s="65"/>
    </row>
    <row r="782" spans="19:22" ht="15.75" customHeight="1">
      <c r="S782" s="65"/>
      <c r="T782" s="65"/>
      <c r="U782" s="65"/>
      <c r="V782" s="65"/>
    </row>
    <row r="783" spans="19:22" ht="15.75" customHeight="1">
      <c r="S783" s="65"/>
      <c r="T783" s="65"/>
      <c r="U783" s="65"/>
      <c r="V783" s="65"/>
    </row>
    <row r="784" spans="19:22" ht="15.75" customHeight="1">
      <c r="S784" s="65"/>
      <c r="T784" s="65"/>
      <c r="U784" s="65"/>
      <c r="V784" s="65"/>
    </row>
    <row r="785" spans="19:22" ht="15.75" customHeight="1">
      <c r="S785" s="65"/>
      <c r="T785" s="65"/>
      <c r="U785" s="65"/>
      <c r="V785" s="65"/>
    </row>
    <row r="786" spans="19:22" ht="15.75" customHeight="1">
      <c r="S786" s="65"/>
      <c r="T786" s="65"/>
      <c r="U786" s="65"/>
      <c r="V786" s="65"/>
    </row>
    <row r="787" spans="19:22" ht="15.75" customHeight="1">
      <c r="S787" s="65"/>
      <c r="T787" s="65"/>
      <c r="U787" s="65"/>
      <c r="V787" s="65"/>
    </row>
    <row r="788" spans="19:22" ht="15.75" customHeight="1">
      <c r="S788" s="65"/>
      <c r="T788" s="65"/>
      <c r="U788" s="65"/>
      <c r="V788" s="65"/>
    </row>
    <row r="789" spans="19:22" ht="15.75" customHeight="1">
      <c r="S789" s="65"/>
      <c r="T789" s="65"/>
      <c r="U789" s="65"/>
      <c r="V789" s="65"/>
    </row>
    <row r="790" spans="19:22" ht="15.75" customHeight="1">
      <c r="S790" s="65"/>
      <c r="T790" s="65"/>
      <c r="U790" s="65"/>
      <c r="V790" s="65"/>
    </row>
    <row r="791" spans="19:22" ht="15.75" customHeight="1">
      <c r="S791" s="65"/>
      <c r="T791" s="65"/>
      <c r="U791" s="65"/>
      <c r="V791" s="65"/>
    </row>
    <row r="792" spans="19:22" ht="15.75" customHeight="1">
      <c r="S792" s="65"/>
      <c r="T792" s="65"/>
      <c r="U792" s="65"/>
      <c r="V792" s="65"/>
    </row>
    <row r="793" spans="19:22" ht="15.75" customHeight="1">
      <c r="S793" s="65"/>
      <c r="T793" s="65"/>
      <c r="U793" s="65"/>
      <c r="V793" s="65"/>
    </row>
    <row r="794" spans="19:22" ht="15.75" customHeight="1">
      <c r="S794" s="65"/>
      <c r="T794" s="65"/>
      <c r="U794" s="65"/>
      <c r="V794" s="65"/>
    </row>
    <row r="795" spans="19:22" ht="15.75" customHeight="1">
      <c r="S795" s="65"/>
      <c r="T795" s="65"/>
      <c r="U795" s="65"/>
      <c r="V795" s="65"/>
    </row>
    <row r="796" spans="19:22" ht="15.75" customHeight="1">
      <c r="S796" s="65"/>
      <c r="T796" s="65"/>
      <c r="U796" s="65"/>
      <c r="V796" s="65"/>
    </row>
    <row r="797" spans="19:22" ht="15.75" customHeight="1">
      <c r="S797" s="65"/>
      <c r="T797" s="65"/>
      <c r="U797" s="65"/>
      <c r="V797" s="65"/>
    </row>
    <row r="798" spans="19:22" ht="15.75" customHeight="1">
      <c r="S798" s="65"/>
      <c r="T798" s="65"/>
      <c r="U798" s="65"/>
      <c r="V798" s="65"/>
    </row>
    <row r="799" spans="19:22" ht="15.75" customHeight="1">
      <c r="S799" s="65"/>
      <c r="T799" s="65"/>
      <c r="U799" s="65"/>
      <c r="V799" s="65"/>
    </row>
    <row r="800" spans="19:22" ht="15.75" customHeight="1">
      <c r="S800" s="65"/>
      <c r="T800" s="65"/>
      <c r="U800" s="65"/>
      <c r="V800" s="65"/>
    </row>
    <row r="801" spans="19:22" ht="15.75" customHeight="1">
      <c r="S801" s="65"/>
      <c r="T801" s="65"/>
      <c r="U801" s="65"/>
      <c r="V801" s="65"/>
    </row>
    <row r="802" spans="19:22" ht="15.75" customHeight="1">
      <c r="S802" s="65"/>
      <c r="T802" s="65"/>
      <c r="U802" s="65"/>
      <c r="V802" s="65"/>
    </row>
    <row r="803" spans="19:22" ht="15.75" customHeight="1">
      <c r="S803" s="65"/>
      <c r="T803" s="65"/>
      <c r="U803" s="65"/>
      <c r="V803" s="65"/>
    </row>
    <row r="804" spans="19:22" ht="15.75" customHeight="1">
      <c r="S804" s="65"/>
      <c r="T804" s="65"/>
      <c r="U804" s="65"/>
      <c r="V804" s="65"/>
    </row>
    <row r="805" spans="19:22" ht="15.75" customHeight="1">
      <c r="S805" s="65"/>
      <c r="T805" s="65"/>
      <c r="U805" s="65"/>
      <c r="V805" s="65"/>
    </row>
    <row r="806" spans="19:22" ht="15.75" customHeight="1">
      <c r="S806" s="65"/>
      <c r="T806" s="65"/>
      <c r="U806" s="65"/>
      <c r="V806" s="65"/>
    </row>
    <row r="807" spans="19:22" ht="15.75" customHeight="1">
      <c r="S807" s="65"/>
      <c r="T807" s="65"/>
      <c r="U807" s="65"/>
      <c r="V807" s="65"/>
    </row>
    <row r="808" spans="19:22" ht="15.75" customHeight="1">
      <c r="S808" s="65"/>
      <c r="T808" s="65"/>
      <c r="U808" s="65"/>
      <c r="V808" s="65"/>
    </row>
    <row r="809" spans="19:22" ht="15.75" customHeight="1">
      <c r="S809" s="65"/>
      <c r="T809" s="65"/>
      <c r="U809" s="65"/>
      <c r="V809" s="65"/>
    </row>
    <row r="810" spans="19:22" ht="15.75" customHeight="1">
      <c r="S810" s="65"/>
      <c r="T810" s="65"/>
      <c r="U810" s="65"/>
      <c r="V810" s="65"/>
    </row>
    <row r="811" spans="19:22" ht="15.75" customHeight="1">
      <c r="S811" s="65"/>
      <c r="T811" s="65"/>
      <c r="U811" s="65"/>
      <c r="V811" s="65"/>
    </row>
    <row r="812" spans="19:22" ht="15.75" customHeight="1">
      <c r="S812" s="65"/>
      <c r="T812" s="65"/>
      <c r="U812" s="65"/>
      <c r="V812" s="65"/>
    </row>
    <row r="813" spans="19:22" ht="15.75" customHeight="1">
      <c r="S813" s="65"/>
      <c r="T813" s="65"/>
      <c r="U813" s="65"/>
      <c r="V813" s="65"/>
    </row>
    <row r="814" spans="19:22" ht="15.75" customHeight="1">
      <c r="S814" s="65"/>
      <c r="T814" s="65"/>
      <c r="U814" s="65"/>
      <c r="V814" s="65"/>
    </row>
    <row r="815" spans="19:22" ht="15.75" customHeight="1">
      <c r="S815" s="65"/>
      <c r="T815" s="65"/>
      <c r="U815" s="65"/>
      <c r="V815" s="65"/>
    </row>
    <row r="816" spans="19:22" ht="15.75" customHeight="1">
      <c r="S816" s="65"/>
      <c r="T816" s="65"/>
      <c r="U816" s="65"/>
      <c r="V816" s="65"/>
    </row>
    <row r="817" spans="19:22" ht="15.75" customHeight="1">
      <c r="S817" s="65"/>
      <c r="T817" s="65"/>
      <c r="U817" s="65"/>
      <c r="V817" s="65"/>
    </row>
    <row r="818" spans="19:22" ht="15.75" customHeight="1">
      <c r="S818" s="65"/>
      <c r="T818" s="65"/>
      <c r="U818" s="65"/>
      <c r="V818" s="65"/>
    </row>
    <row r="819" spans="19:22" ht="15.75" customHeight="1">
      <c r="S819" s="65"/>
      <c r="T819" s="65"/>
      <c r="U819" s="65"/>
      <c r="V819" s="65"/>
    </row>
    <row r="820" spans="19:22" ht="15.75" customHeight="1">
      <c r="S820" s="65"/>
      <c r="T820" s="65"/>
      <c r="U820" s="65"/>
      <c r="V820" s="65"/>
    </row>
    <row r="821" spans="19:22" ht="15.75" customHeight="1">
      <c r="S821" s="65"/>
      <c r="T821" s="65"/>
      <c r="U821" s="65"/>
      <c r="V821" s="65"/>
    </row>
    <row r="822" spans="19:22" ht="15.75" customHeight="1">
      <c r="S822" s="65"/>
      <c r="T822" s="65"/>
      <c r="U822" s="65"/>
      <c r="V822" s="65"/>
    </row>
    <row r="823" spans="19:22" ht="15.75" customHeight="1">
      <c r="S823" s="65"/>
      <c r="T823" s="65"/>
      <c r="U823" s="65"/>
      <c r="V823" s="65"/>
    </row>
    <row r="824" spans="19:22" ht="15.75" customHeight="1">
      <c r="S824" s="65"/>
      <c r="T824" s="65"/>
      <c r="U824" s="65"/>
      <c r="V824" s="65"/>
    </row>
    <row r="825" spans="19:22" ht="15.75" customHeight="1">
      <c r="S825" s="65"/>
      <c r="T825" s="65"/>
      <c r="U825" s="65"/>
      <c r="V825" s="65"/>
    </row>
    <row r="826" spans="19:22" ht="15.75" customHeight="1">
      <c r="S826" s="65"/>
      <c r="T826" s="65"/>
      <c r="U826" s="65"/>
      <c r="V826" s="65"/>
    </row>
    <row r="827" spans="19:22" ht="15.75" customHeight="1">
      <c r="S827" s="65"/>
      <c r="T827" s="65"/>
      <c r="U827" s="65"/>
      <c r="V827" s="65"/>
    </row>
    <row r="828" spans="19:22" ht="15.75" customHeight="1">
      <c r="S828" s="65"/>
      <c r="T828" s="65"/>
      <c r="U828" s="65"/>
      <c r="V828" s="65"/>
    </row>
    <row r="829" spans="19:22" ht="15.75" customHeight="1">
      <c r="S829" s="65"/>
      <c r="T829" s="65"/>
      <c r="U829" s="65"/>
      <c r="V829" s="65"/>
    </row>
    <row r="830" spans="19:22" ht="15.75" customHeight="1">
      <c r="S830" s="65"/>
      <c r="T830" s="65"/>
      <c r="U830" s="65"/>
      <c r="V830" s="65"/>
    </row>
    <row r="831" spans="19:22" ht="15.75" customHeight="1">
      <c r="S831" s="65"/>
      <c r="T831" s="65"/>
      <c r="U831" s="65"/>
      <c r="V831" s="65"/>
    </row>
    <row r="832" spans="19:22" ht="15.75" customHeight="1">
      <c r="S832" s="65"/>
      <c r="T832" s="65"/>
      <c r="U832" s="65"/>
      <c r="V832" s="65"/>
    </row>
    <row r="833" spans="19:22" ht="15.75" customHeight="1">
      <c r="S833" s="65"/>
      <c r="T833" s="65"/>
      <c r="U833" s="65"/>
      <c r="V833" s="65"/>
    </row>
    <row r="834" spans="19:22" ht="15.75" customHeight="1">
      <c r="S834" s="65"/>
      <c r="T834" s="65"/>
      <c r="U834" s="65"/>
      <c r="V834" s="65"/>
    </row>
    <row r="835" spans="19:22" ht="15.75" customHeight="1">
      <c r="S835" s="65"/>
      <c r="T835" s="65"/>
      <c r="U835" s="65"/>
      <c r="V835" s="65"/>
    </row>
    <row r="836" spans="19:22" ht="15.75" customHeight="1">
      <c r="S836" s="65"/>
      <c r="T836" s="65"/>
      <c r="U836" s="65"/>
      <c r="V836" s="65"/>
    </row>
    <row r="837" spans="19:22" ht="15.75" customHeight="1">
      <c r="S837" s="65"/>
      <c r="T837" s="65"/>
      <c r="U837" s="65"/>
      <c r="V837" s="65"/>
    </row>
    <row r="838" spans="19:22" ht="15.75" customHeight="1">
      <c r="S838" s="65"/>
      <c r="T838" s="65"/>
      <c r="U838" s="65"/>
      <c r="V838" s="65"/>
    </row>
    <row r="839" spans="19:22" ht="15.75" customHeight="1">
      <c r="S839" s="65"/>
      <c r="T839" s="65"/>
      <c r="U839" s="65"/>
      <c r="V839" s="65"/>
    </row>
    <row r="840" spans="19:22" ht="15.75" customHeight="1">
      <c r="S840" s="65"/>
      <c r="T840" s="65"/>
      <c r="U840" s="65"/>
      <c r="V840" s="65"/>
    </row>
    <row r="841" spans="19:22" ht="15.75" customHeight="1">
      <c r="S841" s="65"/>
      <c r="T841" s="65"/>
      <c r="U841" s="65"/>
      <c r="V841" s="65"/>
    </row>
    <row r="842" spans="19:22" ht="15.75" customHeight="1">
      <c r="S842" s="65"/>
      <c r="T842" s="65"/>
      <c r="U842" s="65"/>
      <c r="V842" s="65"/>
    </row>
    <row r="843" spans="19:22" ht="15.75" customHeight="1">
      <c r="S843" s="65"/>
      <c r="T843" s="65"/>
      <c r="U843" s="65"/>
      <c r="V843" s="65"/>
    </row>
    <row r="844" spans="19:22" ht="15.75" customHeight="1">
      <c r="S844" s="65"/>
      <c r="T844" s="65"/>
      <c r="U844" s="65"/>
      <c r="V844" s="65"/>
    </row>
    <row r="845" spans="19:22" ht="15.75" customHeight="1">
      <c r="S845" s="65"/>
      <c r="T845" s="65"/>
      <c r="U845" s="65"/>
      <c r="V845" s="65"/>
    </row>
    <row r="846" spans="19:22" ht="15.75" customHeight="1">
      <c r="S846" s="65"/>
      <c r="T846" s="65"/>
      <c r="U846" s="65"/>
      <c r="V846" s="65"/>
    </row>
    <row r="847" spans="19:22" ht="15.75" customHeight="1">
      <c r="S847" s="65"/>
      <c r="T847" s="65"/>
      <c r="U847" s="65"/>
      <c r="V847" s="65"/>
    </row>
    <row r="848" spans="19:22" ht="15.75" customHeight="1">
      <c r="S848" s="65"/>
      <c r="T848" s="65"/>
      <c r="U848" s="65"/>
      <c r="V848" s="65"/>
    </row>
    <row r="849" spans="19:22" ht="15.75" customHeight="1">
      <c r="S849" s="65"/>
      <c r="T849" s="65"/>
      <c r="U849" s="65"/>
      <c r="V849" s="65"/>
    </row>
    <row r="850" spans="19:22" ht="15.75" customHeight="1">
      <c r="S850" s="65"/>
      <c r="T850" s="65"/>
      <c r="U850" s="65"/>
      <c r="V850" s="65"/>
    </row>
    <row r="851" spans="19:22" ht="15.75" customHeight="1">
      <c r="S851" s="65"/>
      <c r="T851" s="65"/>
      <c r="U851" s="65"/>
      <c r="V851" s="65"/>
    </row>
    <row r="852" spans="19:22" ht="15.75" customHeight="1">
      <c r="S852" s="65"/>
      <c r="T852" s="65"/>
      <c r="U852" s="65"/>
      <c r="V852" s="65"/>
    </row>
    <row r="853" spans="19:22" ht="15.75" customHeight="1">
      <c r="S853" s="65"/>
      <c r="T853" s="65"/>
      <c r="U853" s="65"/>
      <c r="V853" s="65"/>
    </row>
    <row r="854" spans="19:22" ht="15.75" customHeight="1">
      <c r="S854" s="65"/>
      <c r="T854" s="65"/>
      <c r="U854" s="65"/>
      <c r="V854" s="65"/>
    </row>
    <row r="855" spans="19:22" ht="15.75" customHeight="1">
      <c r="S855" s="65"/>
      <c r="T855" s="65"/>
      <c r="U855" s="65"/>
      <c r="V855" s="65"/>
    </row>
    <row r="856" spans="19:22" ht="15.75" customHeight="1">
      <c r="S856" s="65"/>
      <c r="T856" s="65"/>
      <c r="U856" s="65"/>
      <c r="V856" s="65"/>
    </row>
    <row r="857" spans="19:22" ht="15.75" customHeight="1">
      <c r="S857" s="65"/>
      <c r="T857" s="65"/>
      <c r="U857" s="65"/>
      <c r="V857" s="65"/>
    </row>
    <row r="858" spans="19:22" ht="15.75" customHeight="1">
      <c r="S858" s="65"/>
      <c r="T858" s="65"/>
      <c r="U858" s="65"/>
      <c r="V858" s="65"/>
    </row>
    <row r="859" spans="19:22" ht="15.75" customHeight="1">
      <c r="S859" s="65"/>
      <c r="T859" s="65"/>
      <c r="U859" s="65"/>
      <c r="V859" s="65"/>
    </row>
    <row r="860" spans="19:22" ht="15.75" customHeight="1">
      <c r="S860" s="65"/>
      <c r="T860" s="65"/>
      <c r="U860" s="65"/>
      <c r="V860" s="65"/>
    </row>
    <row r="861" spans="19:22" ht="15.75" customHeight="1">
      <c r="S861" s="65"/>
      <c r="T861" s="65"/>
      <c r="U861" s="65"/>
      <c r="V861" s="65"/>
    </row>
    <row r="862" spans="19:22" ht="15.75" customHeight="1">
      <c r="S862" s="65"/>
      <c r="T862" s="65"/>
      <c r="U862" s="65"/>
      <c r="V862" s="65"/>
    </row>
    <row r="863" spans="19:22" ht="15.75" customHeight="1">
      <c r="S863" s="65"/>
      <c r="T863" s="65"/>
      <c r="U863" s="65"/>
      <c r="V863" s="65"/>
    </row>
    <row r="864" spans="19:22" ht="15.75" customHeight="1">
      <c r="S864" s="65"/>
      <c r="T864" s="65"/>
      <c r="U864" s="65"/>
      <c r="V864" s="65"/>
    </row>
    <row r="865" spans="19:22" ht="15.75" customHeight="1">
      <c r="S865" s="65"/>
      <c r="T865" s="65"/>
      <c r="U865" s="65"/>
      <c r="V865" s="65"/>
    </row>
    <row r="866" spans="19:22" ht="15.75" customHeight="1">
      <c r="S866" s="65"/>
      <c r="T866" s="65"/>
      <c r="U866" s="65"/>
      <c r="V866" s="65"/>
    </row>
    <row r="867" spans="19:22" ht="15.75" customHeight="1">
      <c r="S867" s="65"/>
      <c r="T867" s="65"/>
      <c r="U867" s="65"/>
      <c r="V867" s="65"/>
    </row>
    <row r="868" spans="19:22" ht="15.75" customHeight="1">
      <c r="S868" s="65"/>
      <c r="T868" s="65"/>
      <c r="U868" s="65"/>
      <c r="V868" s="65"/>
    </row>
    <row r="869" spans="19:22" ht="15.75" customHeight="1">
      <c r="S869" s="65"/>
      <c r="T869" s="65"/>
      <c r="U869" s="65"/>
      <c r="V869" s="65"/>
    </row>
    <row r="870" spans="19:22" ht="15.75" customHeight="1">
      <c r="S870" s="65"/>
      <c r="T870" s="65"/>
      <c r="U870" s="65"/>
      <c r="V870" s="65"/>
    </row>
    <row r="871" spans="19:22" ht="15.75" customHeight="1">
      <c r="S871" s="65"/>
      <c r="T871" s="65"/>
      <c r="U871" s="65"/>
      <c r="V871" s="65"/>
    </row>
    <row r="872" spans="19:22" ht="15.75" customHeight="1">
      <c r="S872" s="65"/>
      <c r="T872" s="65"/>
      <c r="U872" s="65"/>
      <c r="V872" s="65"/>
    </row>
    <row r="873" spans="19:22" ht="15.75" customHeight="1">
      <c r="S873" s="65"/>
      <c r="T873" s="65"/>
      <c r="U873" s="65"/>
      <c r="V873" s="65"/>
    </row>
    <row r="874" spans="19:22" ht="15.75" customHeight="1">
      <c r="S874" s="65"/>
      <c r="T874" s="65"/>
      <c r="U874" s="65"/>
      <c r="V874" s="65"/>
    </row>
    <row r="875" spans="19:22" ht="15.75" customHeight="1">
      <c r="S875" s="65"/>
      <c r="T875" s="65"/>
      <c r="U875" s="65"/>
      <c r="V875" s="65"/>
    </row>
    <row r="876" spans="19:22" ht="15.75" customHeight="1">
      <c r="S876" s="65"/>
      <c r="T876" s="65"/>
      <c r="U876" s="65"/>
      <c r="V876" s="65"/>
    </row>
    <row r="877" spans="19:22" ht="15.75" customHeight="1">
      <c r="S877" s="65"/>
      <c r="T877" s="65"/>
      <c r="U877" s="65"/>
      <c r="V877" s="65"/>
    </row>
    <row r="878" spans="19:22" ht="15.75" customHeight="1">
      <c r="S878" s="65"/>
      <c r="T878" s="65"/>
      <c r="U878" s="65"/>
      <c r="V878" s="65"/>
    </row>
    <row r="879" spans="19:22" ht="15.75" customHeight="1">
      <c r="S879" s="65"/>
      <c r="T879" s="65"/>
      <c r="U879" s="65"/>
      <c r="V879" s="65"/>
    </row>
    <row r="880" spans="19:22" ht="15.75" customHeight="1">
      <c r="S880" s="65"/>
      <c r="T880" s="65"/>
      <c r="U880" s="65"/>
      <c r="V880" s="65"/>
    </row>
    <row r="881" spans="19:22" ht="15.75" customHeight="1">
      <c r="S881" s="65"/>
      <c r="T881" s="65"/>
      <c r="U881" s="65"/>
      <c r="V881" s="65"/>
    </row>
    <row r="882" spans="19:22" ht="15.75" customHeight="1">
      <c r="S882" s="65"/>
      <c r="T882" s="65"/>
      <c r="U882" s="65"/>
      <c r="V882" s="65"/>
    </row>
    <row r="883" spans="19:22" ht="15.75" customHeight="1">
      <c r="S883" s="65"/>
      <c r="T883" s="65"/>
      <c r="U883" s="65"/>
      <c r="V883" s="65"/>
    </row>
    <row r="884" spans="19:22" ht="15.75" customHeight="1">
      <c r="S884" s="65"/>
      <c r="T884" s="65"/>
      <c r="U884" s="65"/>
      <c r="V884" s="65"/>
    </row>
    <row r="885" spans="19:22" ht="15.75" customHeight="1">
      <c r="S885" s="65"/>
      <c r="T885" s="65"/>
      <c r="U885" s="65"/>
      <c r="V885" s="65"/>
    </row>
    <row r="886" spans="19:22" ht="15.75" customHeight="1">
      <c r="S886" s="65"/>
      <c r="T886" s="65"/>
      <c r="U886" s="65"/>
      <c r="V886" s="65"/>
    </row>
    <row r="887" spans="19:22" ht="15.75" customHeight="1">
      <c r="S887" s="65"/>
      <c r="T887" s="65"/>
      <c r="U887" s="65"/>
      <c r="V887" s="65"/>
    </row>
    <row r="888" spans="19:22" ht="15.75" customHeight="1">
      <c r="S888" s="65"/>
      <c r="T888" s="65"/>
      <c r="U888" s="65"/>
      <c r="V888" s="65"/>
    </row>
    <row r="889" spans="19:22" ht="15.75" customHeight="1">
      <c r="S889" s="65"/>
      <c r="T889" s="65"/>
      <c r="U889" s="65"/>
      <c r="V889" s="65"/>
    </row>
    <row r="890" spans="19:22" ht="15.75" customHeight="1">
      <c r="S890" s="65"/>
      <c r="T890" s="65"/>
      <c r="U890" s="65"/>
      <c r="V890" s="65"/>
    </row>
    <row r="891" spans="19:22" ht="15.75" customHeight="1">
      <c r="S891" s="65"/>
      <c r="T891" s="65"/>
      <c r="U891" s="65"/>
      <c r="V891" s="65"/>
    </row>
    <row r="892" spans="19:22" ht="15.75" customHeight="1">
      <c r="S892" s="65"/>
      <c r="T892" s="65"/>
      <c r="U892" s="65"/>
      <c r="V892" s="65"/>
    </row>
    <row r="893" spans="19:22" ht="15.75" customHeight="1">
      <c r="S893" s="65"/>
      <c r="T893" s="65"/>
      <c r="U893" s="65"/>
      <c r="V893" s="65"/>
    </row>
    <row r="894" spans="19:22" ht="15.75" customHeight="1">
      <c r="S894" s="65"/>
      <c r="T894" s="65"/>
      <c r="U894" s="65"/>
      <c r="V894" s="65"/>
    </row>
    <row r="895" spans="19:22" ht="15.75" customHeight="1">
      <c r="S895" s="65"/>
      <c r="T895" s="65"/>
      <c r="U895" s="65"/>
      <c r="V895" s="65"/>
    </row>
    <row r="896" spans="19:22" ht="15.75" customHeight="1">
      <c r="S896" s="65"/>
      <c r="T896" s="65"/>
      <c r="U896" s="65"/>
      <c r="V896" s="65"/>
    </row>
    <row r="897" spans="19:22" ht="15.75" customHeight="1">
      <c r="S897" s="65"/>
      <c r="T897" s="65"/>
      <c r="U897" s="65"/>
      <c r="V897" s="65"/>
    </row>
    <row r="898" spans="19:22" ht="15.75" customHeight="1">
      <c r="S898" s="65"/>
      <c r="T898" s="65"/>
      <c r="U898" s="65"/>
      <c r="V898" s="65"/>
    </row>
    <row r="899" spans="19:22" ht="15.75" customHeight="1">
      <c r="S899" s="65"/>
      <c r="T899" s="65"/>
      <c r="U899" s="65"/>
      <c r="V899" s="65"/>
    </row>
    <row r="900" spans="19:22" ht="15.75" customHeight="1">
      <c r="S900" s="65"/>
      <c r="T900" s="65"/>
      <c r="U900" s="65"/>
      <c r="V900" s="65"/>
    </row>
    <row r="901" spans="19:22" ht="15.75" customHeight="1">
      <c r="S901" s="65"/>
      <c r="T901" s="65"/>
      <c r="U901" s="65"/>
      <c r="V901" s="65"/>
    </row>
    <row r="902" spans="19:22" ht="15.75" customHeight="1">
      <c r="S902" s="65"/>
      <c r="T902" s="65"/>
      <c r="U902" s="65"/>
      <c r="V902" s="65"/>
    </row>
    <row r="903" spans="19:22" ht="15.75" customHeight="1">
      <c r="S903" s="65"/>
      <c r="T903" s="65"/>
      <c r="U903" s="65"/>
      <c r="V903" s="65"/>
    </row>
    <row r="904" spans="19:22" ht="15.75" customHeight="1">
      <c r="S904" s="65"/>
      <c r="T904" s="65"/>
      <c r="U904" s="65"/>
      <c r="V904" s="65"/>
    </row>
    <row r="905" spans="19:22" ht="15.75" customHeight="1">
      <c r="S905" s="65"/>
      <c r="T905" s="65"/>
      <c r="U905" s="65"/>
      <c r="V905" s="65"/>
    </row>
    <row r="906" spans="19:22" ht="15.75" customHeight="1">
      <c r="S906" s="65"/>
      <c r="T906" s="65"/>
      <c r="U906" s="65"/>
      <c r="V906" s="65"/>
    </row>
    <row r="907" spans="19:22" ht="15.75" customHeight="1">
      <c r="S907" s="65"/>
      <c r="T907" s="65"/>
      <c r="U907" s="65"/>
      <c r="V907" s="65"/>
    </row>
    <row r="908" spans="19:22" ht="15.75" customHeight="1">
      <c r="S908" s="65"/>
      <c r="T908" s="65"/>
      <c r="U908" s="65"/>
      <c r="V908" s="65"/>
    </row>
    <row r="909" spans="19:22" ht="15.75" customHeight="1">
      <c r="S909" s="65"/>
      <c r="T909" s="65"/>
      <c r="U909" s="65"/>
      <c r="V909" s="65"/>
    </row>
    <row r="910" spans="19:22" ht="15.75" customHeight="1">
      <c r="S910" s="65"/>
      <c r="T910" s="65"/>
      <c r="U910" s="65"/>
      <c r="V910" s="65"/>
    </row>
    <row r="911" spans="19:22" ht="15.75" customHeight="1">
      <c r="S911" s="65"/>
      <c r="T911" s="65"/>
      <c r="U911" s="65"/>
      <c r="V911" s="65"/>
    </row>
    <row r="912" spans="19:22" ht="15.75" customHeight="1">
      <c r="S912" s="65"/>
      <c r="T912" s="65"/>
      <c r="U912" s="65"/>
      <c r="V912" s="65"/>
    </row>
    <row r="913" spans="19:22" ht="15.75" customHeight="1">
      <c r="S913" s="65"/>
      <c r="T913" s="65"/>
      <c r="U913" s="65"/>
      <c r="V913" s="65"/>
    </row>
    <row r="914" spans="19:22" ht="15.75" customHeight="1">
      <c r="S914" s="65"/>
      <c r="T914" s="65"/>
      <c r="U914" s="65"/>
      <c r="V914" s="65"/>
    </row>
    <row r="915" spans="19:22" ht="15.75" customHeight="1">
      <c r="S915" s="65"/>
      <c r="T915" s="65"/>
      <c r="U915" s="65"/>
      <c r="V915" s="65"/>
    </row>
    <row r="916" spans="19:22" ht="15.75" customHeight="1">
      <c r="S916" s="65"/>
      <c r="T916" s="65"/>
      <c r="U916" s="65"/>
      <c r="V916" s="65"/>
    </row>
    <row r="917" spans="19:22" ht="15.75" customHeight="1">
      <c r="S917" s="65"/>
      <c r="T917" s="65"/>
      <c r="U917" s="65"/>
      <c r="V917" s="65"/>
    </row>
    <row r="918" spans="19:22" ht="15.75" customHeight="1">
      <c r="S918" s="65"/>
      <c r="T918" s="65"/>
      <c r="U918" s="65"/>
      <c r="V918" s="65"/>
    </row>
    <row r="919" spans="19:22" ht="15.75" customHeight="1">
      <c r="S919" s="65"/>
      <c r="T919" s="65"/>
      <c r="U919" s="65"/>
      <c r="V919" s="65"/>
    </row>
    <row r="920" spans="19:22" ht="15.75" customHeight="1">
      <c r="S920" s="65"/>
      <c r="T920" s="65"/>
      <c r="U920" s="65"/>
      <c r="V920" s="65"/>
    </row>
    <row r="921" spans="19:22" ht="15.75" customHeight="1">
      <c r="S921" s="65"/>
      <c r="T921" s="65"/>
      <c r="U921" s="65"/>
      <c r="V921" s="65"/>
    </row>
    <row r="922" spans="19:22" ht="15.75" customHeight="1">
      <c r="S922" s="65"/>
      <c r="T922" s="65"/>
      <c r="U922" s="65"/>
      <c r="V922" s="65"/>
    </row>
    <row r="923" spans="19:22" ht="15.75" customHeight="1">
      <c r="S923" s="65"/>
      <c r="T923" s="65"/>
      <c r="U923" s="65"/>
      <c r="V923" s="65"/>
    </row>
    <row r="924" spans="19:22" ht="15.75" customHeight="1">
      <c r="S924" s="65"/>
      <c r="T924" s="65"/>
      <c r="U924" s="65"/>
      <c r="V924" s="65"/>
    </row>
    <row r="925" spans="19:22" ht="15.75" customHeight="1">
      <c r="S925" s="65"/>
      <c r="T925" s="65"/>
      <c r="U925" s="65"/>
      <c r="V925" s="65"/>
    </row>
    <row r="926" spans="19:22" ht="15.75" customHeight="1">
      <c r="S926" s="65"/>
      <c r="T926" s="65"/>
      <c r="U926" s="65"/>
      <c r="V926" s="65"/>
    </row>
    <row r="927" spans="19:22" ht="15.75" customHeight="1">
      <c r="S927" s="65"/>
      <c r="T927" s="65"/>
      <c r="U927" s="65"/>
      <c r="V927" s="65"/>
    </row>
    <row r="928" spans="19:22" ht="15.75" customHeight="1">
      <c r="S928" s="65"/>
      <c r="T928" s="65"/>
      <c r="U928" s="65"/>
      <c r="V928" s="65"/>
    </row>
    <row r="929" spans="19:22" ht="15.75" customHeight="1">
      <c r="S929" s="65"/>
      <c r="T929" s="65"/>
      <c r="U929" s="65"/>
      <c r="V929" s="65"/>
    </row>
    <row r="930" spans="19:22" ht="15.75" customHeight="1">
      <c r="S930" s="65"/>
      <c r="T930" s="65"/>
      <c r="U930" s="65"/>
      <c r="V930" s="65"/>
    </row>
    <row r="931" spans="19:22" ht="15.75" customHeight="1">
      <c r="S931" s="65"/>
      <c r="T931" s="65"/>
      <c r="U931" s="65"/>
      <c r="V931" s="65"/>
    </row>
    <row r="932" spans="19:22" ht="15.75" customHeight="1">
      <c r="S932" s="65"/>
      <c r="T932" s="65"/>
      <c r="U932" s="65"/>
      <c r="V932" s="65"/>
    </row>
    <row r="933" spans="19:22" ht="15.75" customHeight="1">
      <c r="S933" s="65"/>
      <c r="T933" s="65"/>
      <c r="U933" s="65"/>
      <c r="V933" s="65"/>
    </row>
    <row r="934" spans="19:22" ht="15.75" customHeight="1">
      <c r="S934" s="65"/>
      <c r="T934" s="65"/>
      <c r="U934" s="65"/>
      <c r="V934" s="65"/>
    </row>
    <row r="935" spans="19:22" ht="15.75" customHeight="1">
      <c r="S935" s="65"/>
      <c r="T935" s="65"/>
      <c r="U935" s="65"/>
      <c r="V935" s="65"/>
    </row>
    <row r="936" spans="19:22" ht="15.75" customHeight="1">
      <c r="S936" s="65"/>
      <c r="T936" s="65"/>
      <c r="U936" s="65"/>
      <c r="V936" s="65"/>
    </row>
    <row r="937" spans="19:22" ht="15.75" customHeight="1">
      <c r="S937" s="65"/>
      <c r="T937" s="65"/>
      <c r="U937" s="65"/>
      <c r="V937" s="65"/>
    </row>
    <row r="938" spans="19:22" ht="15.75" customHeight="1">
      <c r="S938" s="65"/>
      <c r="T938" s="65"/>
      <c r="U938" s="65"/>
      <c r="V938" s="65"/>
    </row>
    <row r="939" spans="19:22" ht="15.75" customHeight="1">
      <c r="S939" s="65"/>
      <c r="T939" s="65"/>
      <c r="U939" s="65"/>
      <c r="V939" s="65"/>
    </row>
    <row r="940" spans="19:22" ht="15.75" customHeight="1">
      <c r="S940" s="65"/>
      <c r="T940" s="65"/>
      <c r="U940" s="65"/>
      <c r="V940" s="65"/>
    </row>
    <row r="941" spans="19:22" ht="15.75" customHeight="1">
      <c r="S941" s="65"/>
      <c r="T941" s="65"/>
      <c r="U941" s="65"/>
      <c r="V941" s="65"/>
    </row>
    <row r="942" spans="19:22" ht="15.75" customHeight="1">
      <c r="S942" s="65"/>
      <c r="T942" s="65"/>
      <c r="U942" s="65"/>
      <c r="V942" s="65"/>
    </row>
    <row r="943" spans="19:22" ht="15.75" customHeight="1">
      <c r="S943" s="65"/>
      <c r="T943" s="65"/>
      <c r="U943" s="65"/>
      <c r="V943" s="65"/>
    </row>
    <row r="944" spans="19:22" ht="15.75" customHeight="1">
      <c r="S944" s="65"/>
      <c r="T944" s="65"/>
      <c r="U944" s="65"/>
      <c r="V944" s="65"/>
    </row>
    <row r="945" spans="19:22" ht="15.75" customHeight="1">
      <c r="S945" s="65"/>
      <c r="T945" s="65"/>
      <c r="U945" s="65"/>
      <c r="V945" s="65"/>
    </row>
    <row r="946" spans="19:22" ht="15.75" customHeight="1">
      <c r="S946" s="65"/>
      <c r="T946" s="65"/>
      <c r="U946" s="65"/>
      <c r="V946" s="65"/>
    </row>
    <row r="947" spans="19:22" ht="15.75" customHeight="1">
      <c r="S947" s="65"/>
      <c r="T947" s="65"/>
      <c r="U947" s="65"/>
      <c r="V947" s="65"/>
    </row>
    <row r="948" spans="19:22" ht="15.75" customHeight="1">
      <c r="S948" s="65"/>
      <c r="T948" s="65"/>
      <c r="U948" s="65"/>
      <c r="V948" s="65"/>
    </row>
    <row r="949" spans="19:22" ht="15.75" customHeight="1">
      <c r="S949" s="65"/>
      <c r="T949" s="65"/>
      <c r="U949" s="65"/>
      <c r="V949" s="65"/>
    </row>
    <row r="950" spans="19:22" ht="15.75" customHeight="1">
      <c r="S950" s="65"/>
      <c r="T950" s="65"/>
      <c r="U950" s="65"/>
      <c r="V950" s="65"/>
    </row>
    <row r="951" spans="19:22" ht="15.75" customHeight="1">
      <c r="S951" s="65"/>
      <c r="T951" s="65"/>
      <c r="U951" s="65"/>
      <c r="V951" s="65"/>
    </row>
    <row r="952" spans="19:22" ht="15.75" customHeight="1">
      <c r="S952" s="65"/>
      <c r="T952" s="65"/>
      <c r="U952" s="65"/>
      <c r="V952" s="65"/>
    </row>
    <row r="953" spans="19:22" ht="15.75" customHeight="1">
      <c r="S953" s="65"/>
      <c r="T953" s="65"/>
      <c r="U953" s="65"/>
      <c r="V953" s="65"/>
    </row>
    <row r="954" spans="19:22" ht="15.75" customHeight="1">
      <c r="S954" s="65"/>
      <c r="T954" s="65"/>
      <c r="U954" s="65"/>
      <c r="V954" s="65"/>
    </row>
    <row r="955" spans="19:22" ht="15.75" customHeight="1">
      <c r="S955" s="65"/>
      <c r="T955" s="65"/>
      <c r="U955" s="65"/>
      <c r="V955" s="65"/>
    </row>
    <row r="956" spans="19:22" ht="15.75" customHeight="1">
      <c r="S956" s="65"/>
      <c r="T956" s="65"/>
      <c r="U956" s="65"/>
      <c r="V956" s="65"/>
    </row>
    <row r="957" spans="19:22" ht="15.75" customHeight="1">
      <c r="S957" s="65"/>
      <c r="T957" s="65"/>
      <c r="U957" s="65"/>
      <c r="V957" s="65"/>
    </row>
    <row r="958" spans="19:22" ht="15.75" customHeight="1">
      <c r="S958" s="65"/>
      <c r="T958" s="65"/>
      <c r="U958" s="65"/>
      <c r="V958" s="65"/>
    </row>
    <row r="959" spans="19:22" ht="15.75" customHeight="1">
      <c r="S959" s="65"/>
      <c r="T959" s="65"/>
      <c r="U959" s="65"/>
      <c r="V959" s="65"/>
    </row>
    <row r="960" spans="19:22" ht="15.75" customHeight="1">
      <c r="S960" s="65"/>
      <c r="T960" s="65"/>
      <c r="U960" s="65"/>
      <c r="V960" s="65"/>
    </row>
    <row r="961" spans="19:22" ht="15.75" customHeight="1">
      <c r="S961" s="65"/>
      <c r="T961" s="65"/>
      <c r="U961" s="65"/>
      <c r="V961" s="65"/>
    </row>
    <row r="962" spans="19:22" ht="15.75" customHeight="1">
      <c r="S962" s="65"/>
      <c r="T962" s="65"/>
      <c r="U962" s="65"/>
      <c r="V962" s="65"/>
    </row>
    <row r="963" spans="19:22" ht="15.75" customHeight="1">
      <c r="S963" s="65"/>
      <c r="T963" s="65"/>
      <c r="U963" s="65"/>
      <c r="V963" s="65"/>
    </row>
    <row r="964" spans="19:22" ht="15.75" customHeight="1">
      <c r="S964" s="65"/>
      <c r="T964" s="65"/>
      <c r="U964" s="65"/>
      <c r="V964" s="65"/>
    </row>
    <row r="965" spans="19:22" ht="15.75" customHeight="1">
      <c r="S965" s="65"/>
      <c r="T965" s="65"/>
      <c r="U965" s="65"/>
      <c r="V965" s="65"/>
    </row>
    <row r="966" spans="19:22" ht="15.75" customHeight="1">
      <c r="S966" s="65"/>
      <c r="T966" s="65"/>
      <c r="U966" s="65"/>
      <c r="V966" s="65"/>
    </row>
    <row r="967" spans="19:22" ht="15.75" customHeight="1">
      <c r="S967" s="65"/>
      <c r="T967" s="65"/>
      <c r="U967" s="65"/>
      <c r="V967" s="65"/>
    </row>
    <row r="968" spans="19:22" ht="15.75" customHeight="1">
      <c r="S968" s="65"/>
      <c r="T968" s="65"/>
      <c r="U968" s="65"/>
      <c r="V968" s="65"/>
    </row>
    <row r="969" spans="19:22" ht="15.75" customHeight="1">
      <c r="S969" s="65"/>
      <c r="T969" s="65"/>
      <c r="U969" s="65"/>
      <c r="V969" s="65"/>
    </row>
    <row r="970" spans="19:22" ht="15.75" customHeight="1">
      <c r="S970" s="65"/>
      <c r="T970" s="65"/>
      <c r="U970" s="65"/>
      <c r="V970" s="65"/>
    </row>
    <row r="971" spans="19:22" ht="15.75" customHeight="1">
      <c r="S971" s="65"/>
      <c r="T971" s="65"/>
      <c r="U971" s="65"/>
      <c r="V971" s="65"/>
    </row>
    <row r="972" spans="19:22" ht="15.75" customHeight="1">
      <c r="S972" s="65"/>
      <c r="T972" s="65"/>
      <c r="U972" s="65"/>
      <c r="V972" s="65"/>
    </row>
    <row r="973" spans="19:22" ht="15.75" customHeight="1">
      <c r="S973" s="65"/>
      <c r="T973" s="65"/>
      <c r="U973" s="65"/>
      <c r="V973" s="65"/>
    </row>
    <row r="974" spans="19:22" ht="15.75" customHeight="1">
      <c r="S974" s="65"/>
      <c r="T974" s="65"/>
      <c r="U974" s="65"/>
      <c r="V974" s="65"/>
    </row>
    <row r="975" spans="19:22" ht="15.75" customHeight="1">
      <c r="S975" s="65"/>
      <c r="T975" s="65"/>
      <c r="U975" s="65"/>
      <c r="V975" s="65"/>
    </row>
    <row r="976" spans="19:22" ht="15.75" customHeight="1">
      <c r="S976" s="65"/>
      <c r="T976" s="65"/>
      <c r="U976" s="65"/>
      <c r="V976" s="65"/>
    </row>
    <row r="977" spans="19:22" ht="15.75" customHeight="1">
      <c r="S977" s="65"/>
      <c r="T977" s="65"/>
      <c r="U977" s="65"/>
      <c r="V977" s="65"/>
    </row>
    <row r="978" spans="19:22" ht="15.75" customHeight="1">
      <c r="S978" s="65"/>
      <c r="T978" s="65"/>
      <c r="U978" s="65"/>
      <c r="V978" s="65"/>
    </row>
    <row r="979" spans="19:22" ht="15.75" customHeight="1">
      <c r="S979" s="65"/>
      <c r="T979" s="65"/>
      <c r="U979" s="65"/>
      <c r="V979" s="65"/>
    </row>
    <row r="980" spans="19:22" ht="15.75" customHeight="1">
      <c r="S980" s="65"/>
      <c r="T980" s="65"/>
      <c r="U980" s="65"/>
      <c r="V980" s="65"/>
    </row>
    <row r="981" spans="19:22" ht="15.75" customHeight="1">
      <c r="S981" s="65"/>
      <c r="T981" s="65"/>
      <c r="U981" s="65"/>
      <c r="V981" s="65"/>
    </row>
    <row r="982" spans="19:22" ht="15.75" customHeight="1">
      <c r="S982" s="65"/>
      <c r="T982" s="65"/>
      <c r="U982" s="65"/>
      <c r="V982" s="65"/>
    </row>
    <row r="983" spans="19:22" ht="15.75" customHeight="1">
      <c r="S983" s="65"/>
      <c r="T983" s="65"/>
      <c r="U983" s="65"/>
      <c r="V983" s="65"/>
    </row>
    <row r="984" spans="19:22" ht="15.75" customHeight="1">
      <c r="S984" s="65"/>
      <c r="T984" s="65"/>
      <c r="U984" s="65"/>
      <c r="V984" s="65"/>
    </row>
    <row r="985" spans="19:22" ht="15.75" customHeight="1">
      <c r="S985" s="65"/>
      <c r="T985" s="65"/>
      <c r="U985" s="65"/>
      <c r="V985" s="65"/>
    </row>
    <row r="986" spans="19:22" ht="15.75" customHeight="1">
      <c r="S986" s="65"/>
      <c r="T986" s="65"/>
      <c r="U986" s="65"/>
      <c r="V986" s="65"/>
    </row>
    <row r="987" spans="19:22" ht="15.75" customHeight="1">
      <c r="S987" s="65"/>
      <c r="T987" s="65"/>
      <c r="U987" s="65"/>
      <c r="V987" s="65"/>
    </row>
    <row r="988" spans="19:22" ht="15.75" customHeight="1">
      <c r="S988" s="65"/>
      <c r="T988" s="65"/>
      <c r="U988" s="65"/>
      <c r="V988" s="65"/>
    </row>
    <row r="989" spans="19:22" ht="15.75" customHeight="1">
      <c r="S989" s="65"/>
      <c r="T989" s="65"/>
      <c r="U989" s="65"/>
      <c r="V989" s="65"/>
    </row>
    <row r="990" spans="19:22" ht="15.75" customHeight="1">
      <c r="S990" s="65"/>
      <c r="T990" s="65"/>
      <c r="U990" s="65"/>
      <c r="V990" s="65"/>
    </row>
    <row r="991" spans="19:22" ht="15.75" customHeight="1">
      <c r="S991" s="65"/>
      <c r="T991" s="65"/>
      <c r="U991" s="65"/>
      <c r="V991" s="65"/>
    </row>
    <row r="992" spans="19:22" ht="15.75" customHeight="1">
      <c r="S992" s="65"/>
      <c r="T992" s="65"/>
      <c r="U992" s="65"/>
      <c r="V992" s="65"/>
    </row>
    <row r="993" spans="19:22" ht="15.75" customHeight="1">
      <c r="S993" s="65"/>
      <c r="T993" s="65"/>
      <c r="U993" s="65"/>
      <c r="V993" s="65"/>
    </row>
    <row r="994" spans="19:22" ht="15.75" customHeight="1">
      <c r="S994" s="65"/>
      <c r="T994" s="65"/>
      <c r="U994" s="65"/>
      <c r="V994" s="65"/>
    </row>
    <row r="995" spans="19:22" ht="15.75" customHeight="1">
      <c r="S995" s="65"/>
      <c r="T995" s="65"/>
      <c r="U995" s="65"/>
      <c r="V995" s="65"/>
    </row>
    <row r="996" spans="19:22" ht="15.75" customHeight="1">
      <c r="S996" s="65"/>
      <c r="T996" s="65"/>
      <c r="U996" s="65"/>
      <c r="V996" s="65"/>
    </row>
    <row r="997" spans="19:22" ht="15.75" customHeight="1">
      <c r="S997" s="65"/>
      <c r="T997" s="65"/>
      <c r="U997" s="65"/>
      <c r="V997" s="65"/>
    </row>
    <row r="998" spans="19:22" ht="15.75" customHeight="1">
      <c r="S998" s="65"/>
      <c r="T998" s="65"/>
      <c r="U998" s="65"/>
      <c r="V998" s="65"/>
    </row>
    <row r="999" spans="19:22" ht="15.75" customHeight="1">
      <c r="S999" s="65"/>
      <c r="T999" s="65"/>
      <c r="U999" s="65"/>
      <c r="V999" s="65"/>
    </row>
    <row r="1000" spans="19:22" ht="15.75" customHeight="1">
      <c r="S1000" s="65"/>
      <c r="T1000" s="65"/>
      <c r="U1000" s="65"/>
      <c r="V1000" s="65"/>
    </row>
  </sheetData>
  <sortState xmlns:xlrd2="http://schemas.microsoft.com/office/spreadsheetml/2017/richdata2" ref="AZ3:AZ4">
    <sortCondition ref="AZ2:AZ4"/>
  </sortState>
  <dataValidations count="2">
    <dataValidation type="list" allowBlank="1" showErrorMessage="1" sqref="H2:H4" xr:uid="{00000000-0002-0000-0200-000000000000}">
      <formula1>$G$4:$G$6</formula1>
    </dataValidation>
    <dataValidation type="list" allowBlank="1" showErrorMessage="1" sqref="S2:S6 U2:U6" xr:uid="{00000000-0002-0000-0200-000001000000}">
      <formula1>$F$4:$F$8</formula1>
    </dataValidation>
  </dataValidations>
  <pageMargins left="0.511811024" right="0.511811024" top="0.78740157499999996" bottom="0.78740157499999996"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19"/>
  <sheetViews>
    <sheetView topLeftCell="B470" workbookViewId="0">
      <selection activeCell="B470" sqref="B470"/>
    </sheetView>
  </sheetViews>
  <sheetFormatPr defaultColWidth="14.42578125" defaultRowHeight="15" customHeight="1"/>
  <cols>
    <col min="1" max="1" width="9.140625" customWidth="1"/>
    <col min="2" max="2" width="43.85546875" customWidth="1"/>
    <col min="3" max="3" width="25.42578125" customWidth="1"/>
    <col min="4" max="4" width="41.7109375" customWidth="1"/>
    <col min="5" max="5" width="18.7109375" customWidth="1"/>
    <col min="6" max="6" width="19.28515625" customWidth="1"/>
    <col min="7" max="7" width="9.140625" customWidth="1"/>
    <col min="8" max="8" width="12.85546875" customWidth="1"/>
    <col min="9" max="9" width="13.5703125" customWidth="1"/>
    <col min="10" max="10" width="19.5703125" customWidth="1"/>
    <col min="11" max="27" width="9.140625" customWidth="1"/>
  </cols>
  <sheetData>
    <row r="1" spans="1:27" ht="15.75">
      <c r="A1" s="88"/>
      <c r="B1" s="939" t="s">
        <v>170</v>
      </c>
      <c r="C1" s="940"/>
      <c r="D1" s="941"/>
      <c r="E1" s="88"/>
      <c r="F1" s="88"/>
      <c r="G1" s="88"/>
      <c r="H1" s="88"/>
      <c r="I1" s="88"/>
      <c r="J1" s="88"/>
      <c r="K1" s="88"/>
      <c r="L1" s="88"/>
      <c r="M1" s="88"/>
      <c r="N1" s="88"/>
      <c r="O1" s="88"/>
      <c r="P1" s="88"/>
      <c r="Q1" s="88"/>
      <c r="R1" s="88"/>
      <c r="S1" s="88"/>
      <c r="T1" s="88"/>
      <c r="U1" s="88"/>
      <c r="V1" s="88"/>
      <c r="W1" s="88"/>
      <c r="X1" s="88"/>
      <c r="Y1" s="88"/>
      <c r="Z1" s="88"/>
      <c r="AA1" s="88"/>
    </row>
    <row r="2" spans="1:27" ht="15.75" customHeight="1">
      <c r="A2" s="89"/>
      <c r="B2" s="942" t="s">
        <v>171</v>
      </c>
      <c r="C2" s="943"/>
      <c r="D2" s="944"/>
      <c r="E2" s="89"/>
      <c r="F2" s="89"/>
      <c r="G2" s="89"/>
      <c r="H2" s="89"/>
      <c r="I2" s="89"/>
      <c r="J2" s="89"/>
      <c r="K2" s="89"/>
      <c r="L2" s="89"/>
      <c r="M2" s="89"/>
      <c r="N2" s="89"/>
      <c r="O2" s="90"/>
      <c r="P2" s="90"/>
      <c r="Q2" s="90"/>
      <c r="R2" s="90"/>
      <c r="S2" s="90"/>
      <c r="T2" s="90"/>
      <c r="U2" s="90"/>
      <c r="V2" s="90"/>
      <c r="W2" s="90"/>
      <c r="X2" s="90"/>
      <c r="Y2" s="90"/>
      <c r="Z2" s="90"/>
      <c r="AA2" s="90"/>
    </row>
    <row r="3" spans="1:27">
      <c r="A3" s="2"/>
      <c r="B3" s="2"/>
      <c r="C3" s="2"/>
      <c r="D3" s="2"/>
      <c r="E3" s="2"/>
      <c r="F3" s="2"/>
      <c r="G3" s="2"/>
      <c r="H3" s="2"/>
      <c r="I3" s="2"/>
      <c r="J3" s="2"/>
      <c r="K3" s="2"/>
      <c r="L3" s="2"/>
      <c r="M3" s="2"/>
      <c r="N3" s="2"/>
      <c r="O3" s="2"/>
      <c r="P3" s="2"/>
      <c r="Q3" s="2"/>
      <c r="R3" s="2"/>
      <c r="S3" s="2"/>
      <c r="T3" s="2"/>
      <c r="U3" s="2"/>
      <c r="V3" s="2"/>
      <c r="W3" s="2"/>
      <c r="X3" s="2"/>
      <c r="Y3" s="2"/>
      <c r="Z3" s="2"/>
      <c r="AA3" s="2"/>
    </row>
    <row r="4" spans="1:27">
      <c r="A4" s="2"/>
      <c r="B4" s="2"/>
      <c r="C4" s="2"/>
      <c r="D4" s="2"/>
      <c r="E4" s="2"/>
      <c r="F4" s="2"/>
      <c r="G4" s="2"/>
      <c r="H4" s="2"/>
      <c r="I4" s="2"/>
      <c r="J4" s="2"/>
      <c r="K4" s="2"/>
      <c r="L4" s="2"/>
      <c r="M4" s="2"/>
      <c r="N4" s="2"/>
      <c r="O4" s="2"/>
      <c r="P4" s="2"/>
      <c r="Q4" s="2"/>
      <c r="R4" s="2"/>
      <c r="S4" s="2"/>
      <c r="T4" s="2"/>
      <c r="U4" s="2"/>
      <c r="V4" s="2"/>
      <c r="W4" s="2"/>
      <c r="X4" s="2"/>
      <c r="Y4" s="2"/>
      <c r="Z4" s="2"/>
      <c r="AA4" s="2"/>
    </row>
    <row r="5" spans="1:27">
      <c r="A5" s="2"/>
      <c r="B5" s="920" t="s">
        <v>172</v>
      </c>
      <c r="C5" s="921"/>
      <c r="D5" s="922"/>
      <c r="E5" s="22"/>
      <c r="F5" s="22"/>
      <c r="G5" s="2"/>
      <c r="H5" s="2"/>
      <c r="I5" s="2"/>
      <c r="J5" s="2"/>
      <c r="K5" s="2"/>
      <c r="L5" s="2"/>
      <c r="M5" s="2"/>
      <c r="N5" s="2"/>
      <c r="O5" s="2"/>
      <c r="P5" s="2"/>
      <c r="Q5" s="2"/>
      <c r="R5" s="2"/>
      <c r="S5" s="2"/>
      <c r="T5" s="2"/>
      <c r="U5" s="2"/>
      <c r="V5" s="2"/>
      <c r="W5" s="2"/>
      <c r="X5" s="2"/>
      <c r="Y5" s="2"/>
      <c r="Z5" s="2"/>
      <c r="AA5" s="2"/>
    </row>
    <row r="6" spans="1:27">
      <c r="A6" s="2"/>
      <c r="B6" s="945" t="s">
        <v>173</v>
      </c>
      <c r="C6" s="946"/>
      <c r="D6" s="947"/>
      <c r="E6" s="22"/>
      <c r="F6" s="22"/>
      <c r="G6" s="2"/>
      <c r="H6" s="2"/>
      <c r="I6" s="2"/>
      <c r="J6" s="2"/>
      <c r="K6" s="2"/>
      <c r="L6" s="2"/>
      <c r="M6" s="2"/>
      <c r="N6" s="2"/>
      <c r="O6" s="2"/>
      <c r="P6" s="2"/>
      <c r="Q6" s="2"/>
      <c r="R6" s="2"/>
      <c r="S6" s="2"/>
      <c r="T6" s="2"/>
      <c r="U6" s="2"/>
      <c r="V6" s="2"/>
      <c r="W6" s="2"/>
      <c r="X6" s="2"/>
      <c r="Y6" s="2"/>
      <c r="Z6" s="2"/>
      <c r="AA6" s="2"/>
    </row>
    <row r="7" spans="1:27">
      <c r="A7" s="2"/>
      <c r="B7" s="91" t="s">
        <v>174</v>
      </c>
      <c r="C7" s="92" t="s">
        <v>175</v>
      </c>
      <c r="D7" s="93" t="s">
        <v>176</v>
      </c>
      <c r="E7" s="2"/>
      <c r="F7" s="2"/>
      <c r="G7" s="2"/>
      <c r="H7" s="2"/>
      <c r="I7" s="2"/>
      <c r="J7" s="2"/>
      <c r="K7" s="2"/>
      <c r="L7" s="2"/>
      <c r="M7" s="2"/>
      <c r="N7" s="2"/>
      <c r="O7" s="2"/>
      <c r="P7" s="2"/>
      <c r="Q7" s="2"/>
      <c r="R7" s="2"/>
      <c r="S7" s="2"/>
      <c r="T7" s="2"/>
      <c r="U7" s="2"/>
      <c r="V7" s="2"/>
      <c r="W7" s="2"/>
      <c r="X7" s="2"/>
      <c r="Y7" s="2"/>
      <c r="Z7" s="2"/>
      <c r="AA7" s="2"/>
    </row>
    <row r="8" spans="1:27">
      <c r="A8" s="2"/>
      <c r="B8" s="94" t="s">
        <v>177</v>
      </c>
      <c r="C8" s="95">
        <f>ROUND(Default!B28*('Entradas Rebanho'!D21)^0.75,3)</f>
        <v>20.245000000000001</v>
      </c>
      <c r="D8" s="96" t="s">
        <v>178</v>
      </c>
      <c r="E8" s="2"/>
      <c r="F8" s="2"/>
      <c r="G8" s="2"/>
      <c r="H8" s="2"/>
      <c r="I8" s="2"/>
      <c r="J8" s="2"/>
      <c r="K8" s="2"/>
      <c r="L8" s="2"/>
      <c r="M8" s="2"/>
      <c r="N8" s="2"/>
      <c r="O8" s="2"/>
      <c r="P8" s="2"/>
      <c r="Q8" s="2"/>
      <c r="R8" s="2"/>
      <c r="S8" s="2"/>
      <c r="T8" s="2"/>
      <c r="U8" s="2"/>
      <c r="V8" s="2"/>
      <c r="W8" s="2"/>
      <c r="X8" s="2"/>
      <c r="Y8" s="2"/>
      <c r="Z8" s="2"/>
      <c r="AA8" s="2"/>
    </row>
    <row r="9" spans="1:27">
      <c r="A9" s="2"/>
      <c r="B9" s="94" t="s">
        <v>179</v>
      </c>
      <c r="C9" s="95">
        <f>ROUND(Default!B29*('Entradas Rebanho'!D22)^0.75,3)</f>
        <v>20.245000000000001</v>
      </c>
      <c r="D9" s="96" t="s">
        <v>178</v>
      </c>
      <c r="E9" s="2"/>
      <c r="F9" s="2"/>
      <c r="G9" s="2"/>
      <c r="H9" s="2"/>
      <c r="I9" s="2"/>
      <c r="J9" s="2"/>
      <c r="K9" s="2"/>
      <c r="L9" s="2"/>
      <c r="M9" s="2"/>
      <c r="N9" s="2"/>
      <c r="O9" s="2"/>
      <c r="P9" s="2"/>
      <c r="Q9" s="2"/>
      <c r="R9" s="2"/>
      <c r="S9" s="2"/>
      <c r="T9" s="2"/>
      <c r="U9" s="2"/>
      <c r="V9" s="2"/>
      <c r="W9" s="2"/>
      <c r="X9" s="2"/>
      <c r="Y9" s="2"/>
      <c r="Z9" s="2"/>
      <c r="AA9" s="2"/>
    </row>
    <row r="10" spans="1:27">
      <c r="A10" s="2"/>
      <c r="B10" s="94" t="s">
        <v>180</v>
      </c>
      <c r="C10" s="95">
        <f>ROUND(Default!B30*('Entradas Rebanho'!D23)^0.75,3)</f>
        <v>20.245000000000001</v>
      </c>
      <c r="D10" s="96" t="s">
        <v>178</v>
      </c>
      <c r="E10" s="2"/>
      <c r="F10" s="2"/>
      <c r="G10" s="2"/>
      <c r="H10" s="2"/>
      <c r="I10" s="2"/>
      <c r="J10" s="2"/>
      <c r="K10" s="2"/>
      <c r="L10" s="2"/>
      <c r="M10" s="2"/>
      <c r="N10" s="2"/>
      <c r="O10" s="2"/>
      <c r="P10" s="2"/>
      <c r="Q10" s="2"/>
      <c r="R10" s="2"/>
      <c r="S10" s="2"/>
      <c r="T10" s="2"/>
      <c r="U10" s="2"/>
      <c r="V10" s="2"/>
      <c r="W10" s="2"/>
      <c r="X10" s="2"/>
      <c r="Y10" s="2"/>
      <c r="Z10" s="2"/>
      <c r="AA10" s="2"/>
    </row>
    <row r="11" spans="1:27">
      <c r="A11" s="2"/>
      <c r="B11" s="97" t="s">
        <v>181</v>
      </c>
      <c r="C11" s="95">
        <f>ROUND(Default!B31*('Entradas Rebanho'!D24)^0.75,3)</f>
        <v>23.210999999999999</v>
      </c>
      <c r="D11" s="96" t="s">
        <v>178</v>
      </c>
      <c r="E11" s="2"/>
      <c r="F11" s="2"/>
      <c r="G11" s="2"/>
      <c r="H11" s="2"/>
      <c r="I11" s="2"/>
      <c r="J11" s="2"/>
      <c r="K11" s="2"/>
      <c r="L11" s="2"/>
      <c r="M11" s="2"/>
      <c r="N11" s="2"/>
      <c r="O11" s="2"/>
      <c r="P11" s="2"/>
      <c r="Q11" s="2"/>
      <c r="R11" s="2"/>
      <c r="S11" s="2"/>
      <c r="T11" s="2"/>
      <c r="U11" s="2"/>
      <c r="V11" s="2"/>
      <c r="W11" s="2"/>
      <c r="X11" s="2"/>
      <c r="Y11" s="2"/>
      <c r="Z11" s="2"/>
      <c r="AA11" s="2"/>
    </row>
    <row r="12" spans="1:27">
      <c r="A12" s="2"/>
      <c r="B12" s="97" t="s">
        <v>182</v>
      </c>
      <c r="C12" s="95">
        <f>ROUND(Default!B32*('Entradas Rebanho'!D25)^0.75,3)</f>
        <v>23.210999999999999</v>
      </c>
      <c r="D12" s="96" t="s">
        <v>178</v>
      </c>
      <c r="E12" s="2"/>
      <c r="F12" s="2"/>
      <c r="G12" s="2"/>
      <c r="H12" s="2"/>
      <c r="I12" s="2"/>
      <c r="J12" s="2"/>
      <c r="K12" s="2"/>
      <c r="L12" s="2"/>
      <c r="M12" s="2"/>
      <c r="N12" s="2"/>
      <c r="O12" s="2"/>
      <c r="P12" s="2"/>
      <c r="Q12" s="2"/>
      <c r="R12" s="2"/>
      <c r="S12" s="2"/>
      <c r="T12" s="2"/>
      <c r="U12" s="2"/>
      <c r="V12" s="2"/>
      <c r="W12" s="2"/>
      <c r="X12" s="2"/>
      <c r="Y12" s="2"/>
      <c r="Z12" s="2"/>
      <c r="AA12" s="2"/>
    </row>
    <row r="13" spans="1:27">
      <c r="A13" s="2"/>
      <c r="B13" s="97" t="s">
        <v>183</v>
      </c>
      <c r="C13" s="95">
        <f>ROUND(Default!B33*('Entradas Rebanho'!D26)^0.75,3)</f>
        <v>23.210999999999999</v>
      </c>
      <c r="D13" s="96" t="s">
        <v>178</v>
      </c>
      <c r="E13" s="2"/>
      <c r="F13" s="2"/>
      <c r="G13" s="2"/>
      <c r="H13" s="2"/>
      <c r="I13" s="2"/>
      <c r="J13" s="2"/>
      <c r="K13" s="2"/>
      <c r="L13" s="2"/>
      <c r="M13" s="2"/>
      <c r="N13" s="2"/>
      <c r="O13" s="2"/>
      <c r="P13" s="2"/>
      <c r="Q13" s="2"/>
      <c r="R13" s="2"/>
      <c r="S13" s="2"/>
      <c r="T13" s="2"/>
      <c r="U13" s="2"/>
      <c r="V13" s="2"/>
      <c r="W13" s="2"/>
      <c r="X13" s="2"/>
      <c r="Y13" s="2"/>
      <c r="Z13" s="2"/>
      <c r="AA13" s="2"/>
    </row>
    <row r="14" spans="1:27">
      <c r="A14" s="2"/>
      <c r="B14" s="97" t="s">
        <v>184</v>
      </c>
      <c r="C14" s="95">
        <f>ROUND(Default!B34*('Entradas Rebanho'!D27)^0.75,3)</f>
        <v>28.800999999999998</v>
      </c>
      <c r="D14" s="96" t="s">
        <v>178</v>
      </c>
      <c r="E14" s="2"/>
      <c r="F14" s="2"/>
      <c r="G14" s="2"/>
      <c r="H14" s="2"/>
      <c r="I14" s="2"/>
      <c r="J14" s="2"/>
      <c r="K14" s="2"/>
      <c r="L14" s="2"/>
      <c r="M14" s="2"/>
      <c r="N14" s="2"/>
      <c r="O14" s="2"/>
      <c r="P14" s="2"/>
      <c r="Q14" s="2"/>
      <c r="R14" s="2"/>
      <c r="S14" s="2"/>
      <c r="T14" s="2"/>
      <c r="U14" s="2"/>
      <c r="V14" s="2"/>
      <c r="W14" s="2"/>
      <c r="X14" s="2"/>
      <c r="Y14" s="2"/>
      <c r="Z14" s="2"/>
      <c r="AA14" s="2"/>
    </row>
    <row r="15" spans="1:27">
      <c r="A15" s="2"/>
      <c r="B15" s="97" t="s">
        <v>185</v>
      </c>
      <c r="C15" s="95">
        <f>ROUND(Default!B35*('Entradas Rebanho'!D28)^0.75,3)</f>
        <v>28.800999999999998</v>
      </c>
      <c r="D15" s="96" t="s">
        <v>178</v>
      </c>
      <c r="E15" s="2"/>
      <c r="F15" s="2"/>
      <c r="G15" s="2"/>
      <c r="H15" s="2"/>
      <c r="I15" s="2"/>
      <c r="J15" s="2"/>
      <c r="K15" s="2"/>
      <c r="L15" s="2"/>
      <c r="M15" s="2"/>
      <c r="N15" s="2"/>
      <c r="O15" s="2"/>
      <c r="P15" s="2"/>
      <c r="Q15" s="2"/>
      <c r="R15" s="2"/>
      <c r="S15" s="2"/>
      <c r="T15" s="2"/>
      <c r="U15" s="2"/>
      <c r="V15" s="2"/>
      <c r="W15" s="2"/>
      <c r="X15" s="2"/>
      <c r="Y15" s="2"/>
      <c r="Z15" s="2"/>
      <c r="AA15" s="2"/>
    </row>
    <row r="16" spans="1:27">
      <c r="A16" s="2"/>
      <c r="B16" s="97" t="s">
        <v>186</v>
      </c>
      <c r="C16" s="95">
        <f>ROUND(Default!B36*('Entradas Rebanho'!D29)^0.75,3)</f>
        <v>28.800999999999998</v>
      </c>
      <c r="D16" s="96" t="s">
        <v>178</v>
      </c>
      <c r="E16" s="2"/>
      <c r="F16" s="2"/>
      <c r="G16" s="2"/>
      <c r="H16" s="2"/>
      <c r="I16" s="2"/>
      <c r="J16" s="2"/>
      <c r="K16" s="2"/>
      <c r="L16" s="2"/>
      <c r="M16" s="2"/>
      <c r="N16" s="2"/>
      <c r="O16" s="2"/>
      <c r="P16" s="2"/>
      <c r="Q16" s="2"/>
      <c r="R16" s="2"/>
      <c r="S16" s="2"/>
      <c r="T16" s="2"/>
      <c r="U16" s="2"/>
      <c r="V16" s="2"/>
      <c r="W16" s="2"/>
      <c r="X16" s="2"/>
      <c r="Y16" s="2"/>
      <c r="Z16" s="2"/>
      <c r="AA16" s="2"/>
    </row>
    <row r="17" spans="1:27">
      <c r="A17" s="2"/>
      <c r="B17" s="97" t="s">
        <v>187</v>
      </c>
      <c r="C17" s="95">
        <f>ROUND(Default!B37*('Entradas Rebanho'!D30)^0.75,3)</f>
        <v>36.57</v>
      </c>
      <c r="D17" s="96" t="s">
        <v>178</v>
      </c>
      <c r="E17" s="2"/>
      <c r="F17" s="2"/>
      <c r="G17" s="2"/>
      <c r="H17" s="2"/>
      <c r="I17" s="2"/>
      <c r="J17" s="2"/>
      <c r="K17" s="2"/>
      <c r="L17" s="2"/>
      <c r="M17" s="2"/>
      <c r="N17" s="2"/>
      <c r="O17" s="2"/>
      <c r="P17" s="2"/>
      <c r="Q17" s="2"/>
      <c r="R17" s="2"/>
      <c r="S17" s="2"/>
      <c r="T17" s="2"/>
      <c r="U17" s="2"/>
      <c r="V17" s="2"/>
      <c r="W17" s="2"/>
      <c r="X17" s="2"/>
      <c r="Y17" s="2"/>
      <c r="Z17" s="2"/>
      <c r="AA17" s="2"/>
    </row>
    <row r="18" spans="1:27">
      <c r="A18" s="2"/>
      <c r="B18" s="97" t="s">
        <v>188</v>
      </c>
      <c r="C18" s="95">
        <f>ROUND(Default!B38*('Entradas Rebanho'!D31)^0.75,3)</f>
        <v>36.57</v>
      </c>
      <c r="D18" s="96" t="s">
        <v>178</v>
      </c>
      <c r="E18" s="2"/>
      <c r="F18" s="2"/>
      <c r="G18" s="2"/>
      <c r="H18" s="2"/>
      <c r="I18" s="2"/>
      <c r="J18" s="2"/>
      <c r="K18" s="2"/>
      <c r="L18" s="2"/>
      <c r="M18" s="2"/>
      <c r="N18" s="2"/>
      <c r="O18" s="2"/>
      <c r="P18" s="2"/>
      <c r="Q18" s="2"/>
      <c r="R18" s="2"/>
      <c r="S18" s="2"/>
      <c r="T18" s="2"/>
      <c r="U18" s="2"/>
      <c r="V18" s="2"/>
      <c r="W18" s="2"/>
      <c r="X18" s="2"/>
      <c r="Y18" s="2"/>
      <c r="Z18" s="2"/>
      <c r="AA18" s="2"/>
    </row>
    <row r="19" spans="1:27">
      <c r="A19" s="2"/>
      <c r="B19" s="97" t="s">
        <v>189</v>
      </c>
      <c r="C19" s="95">
        <f>ROUND(Default!B39*('Entradas Rebanho'!D32)^0.75,3)</f>
        <v>36.57</v>
      </c>
      <c r="D19" s="96" t="s">
        <v>178</v>
      </c>
      <c r="E19" s="2"/>
      <c r="F19" s="2"/>
      <c r="G19" s="2"/>
      <c r="H19" s="2"/>
      <c r="I19" s="2"/>
      <c r="J19" s="2"/>
      <c r="K19" s="2"/>
      <c r="L19" s="2"/>
      <c r="M19" s="2"/>
      <c r="N19" s="2"/>
      <c r="O19" s="2"/>
      <c r="P19" s="2"/>
      <c r="Q19" s="2"/>
      <c r="R19" s="2"/>
      <c r="S19" s="2"/>
      <c r="T19" s="2"/>
      <c r="U19" s="2"/>
      <c r="V19" s="2"/>
      <c r="W19" s="2"/>
      <c r="X19" s="2"/>
      <c r="Y19" s="2"/>
      <c r="Z19" s="2"/>
      <c r="AA19" s="2"/>
    </row>
    <row r="20" spans="1:27">
      <c r="A20" s="2"/>
      <c r="B20" s="97" t="s">
        <v>190</v>
      </c>
      <c r="C20" s="95">
        <f>ROUND(Default!B40*('Entradas Rebanho'!D33)^0.75,3)</f>
        <v>39.036000000000001</v>
      </c>
      <c r="D20" s="96" t="s">
        <v>178</v>
      </c>
      <c r="E20" s="2"/>
      <c r="F20" s="2"/>
      <c r="G20" s="2"/>
      <c r="H20" s="2"/>
      <c r="I20" s="2"/>
      <c r="J20" s="2"/>
      <c r="K20" s="2"/>
      <c r="L20" s="2"/>
      <c r="M20" s="2"/>
      <c r="N20" s="2"/>
      <c r="O20" s="2"/>
      <c r="P20" s="2"/>
      <c r="Q20" s="2"/>
      <c r="R20" s="2"/>
      <c r="S20" s="2"/>
      <c r="T20" s="2"/>
      <c r="U20" s="2"/>
      <c r="V20" s="2"/>
      <c r="W20" s="2"/>
      <c r="X20" s="2"/>
      <c r="Y20" s="2"/>
      <c r="Z20" s="2"/>
      <c r="AA20" s="2"/>
    </row>
    <row r="21" spans="1:27" ht="15.75" customHeight="1">
      <c r="A21" s="2"/>
      <c r="B21" s="97" t="s">
        <v>191</v>
      </c>
      <c r="C21" s="95">
        <f>ROUND(Default!B41*('Entradas Rebanho'!D34)^0.75,3)</f>
        <v>46.795000000000002</v>
      </c>
      <c r="D21" s="96" t="s">
        <v>178</v>
      </c>
      <c r="E21" s="2"/>
      <c r="F21" s="2"/>
      <c r="G21" s="2"/>
      <c r="H21" s="2"/>
      <c r="I21" s="2"/>
      <c r="J21" s="2"/>
      <c r="K21" s="2"/>
      <c r="L21" s="2"/>
      <c r="M21" s="2"/>
      <c r="N21" s="2"/>
      <c r="O21" s="2"/>
      <c r="P21" s="2"/>
      <c r="Q21" s="2"/>
      <c r="R21" s="2"/>
      <c r="S21" s="2"/>
      <c r="T21" s="2"/>
      <c r="U21" s="2"/>
      <c r="V21" s="2"/>
      <c r="W21" s="2"/>
      <c r="X21" s="2"/>
      <c r="Y21" s="2"/>
      <c r="Z21" s="2"/>
      <c r="AA21" s="2"/>
    </row>
    <row r="22" spans="1:27" ht="15.75" customHeight="1" thickBot="1">
      <c r="A22" s="2"/>
      <c r="B22" s="98" t="s">
        <v>192</v>
      </c>
      <c r="C22" s="551">
        <f>ROUND(Default!B42*('Entradas Rebanho'!D35)^0.75,3)</f>
        <v>47.631</v>
      </c>
      <c r="D22" s="100" t="s">
        <v>178</v>
      </c>
      <c r="E22" s="2"/>
      <c r="F22" s="2"/>
      <c r="G22" s="2"/>
      <c r="H22" s="2"/>
      <c r="I22" s="2"/>
      <c r="J22" s="2"/>
      <c r="K22" s="2"/>
      <c r="L22" s="2"/>
      <c r="M22" s="2"/>
      <c r="N22" s="2"/>
      <c r="O22" s="2"/>
      <c r="P22" s="2"/>
      <c r="Q22" s="2"/>
      <c r="R22" s="2"/>
      <c r="S22" s="2"/>
      <c r="T22" s="2"/>
      <c r="U22" s="2"/>
      <c r="V22" s="2"/>
      <c r="W22" s="2"/>
      <c r="X22" s="2"/>
      <c r="Y22" s="2"/>
      <c r="Z22" s="2"/>
      <c r="AA22" s="2"/>
    </row>
    <row r="23" spans="1:27"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5.75" customHeight="1">
      <c r="A25" s="2"/>
      <c r="B25" s="920" t="s">
        <v>193</v>
      </c>
      <c r="C25" s="921"/>
      <c r="D25" s="922"/>
      <c r="E25" s="2"/>
      <c r="F25" s="2"/>
      <c r="G25" s="2"/>
      <c r="H25" s="2"/>
      <c r="I25" s="2"/>
      <c r="J25" s="2"/>
      <c r="K25" s="2"/>
      <c r="L25" s="2"/>
      <c r="M25" s="2"/>
      <c r="N25" s="2"/>
      <c r="O25" s="2"/>
      <c r="P25" s="2"/>
      <c r="Q25" s="2"/>
      <c r="R25" s="2"/>
      <c r="S25" s="2"/>
      <c r="T25" s="2"/>
      <c r="U25" s="2"/>
      <c r="V25" s="2"/>
      <c r="W25" s="2"/>
      <c r="X25" s="2"/>
      <c r="Y25" s="2"/>
      <c r="Z25" s="2"/>
      <c r="AA25" s="2"/>
    </row>
    <row r="26" spans="1:27" ht="15.75" customHeight="1">
      <c r="A26" s="2"/>
      <c r="B26" s="945" t="s">
        <v>194</v>
      </c>
      <c r="C26" s="946"/>
      <c r="D26" s="947"/>
      <c r="E26" s="2"/>
      <c r="F26" s="2"/>
      <c r="G26" s="2"/>
      <c r="H26" s="2"/>
      <c r="I26" s="2"/>
      <c r="J26" s="2"/>
      <c r="K26" s="2"/>
      <c r="L26" s="2"/>
      <c r="M26" s="2"/>
      <c r="N26" s="2"/>
      <c r="O26" s="2"/>
      <c r="P26" s="2"/>
      <c r="Q26" s="2"/>
      <c r="R26" s="2"/>
      <c r="S26" s="2"/>
      <c r="T26" s="2"/>
      <c r="U26" s="2"/>
      <c r="V26" s="2"/>
      <c r="W26" s="2"/>
      <c r="X26" s="2"/>
      <c r="Y26" s="2"/>
      <c r="Z26" s="2"/>
      <c r="AA26" s="2"/>
    </row>
    <row r="27" spans="1:27" ht="15.75" customHeight="1">
      <c r="A27" s="2"/>
      <c r="B27" s="91" t="s">
        <v>174</v>
      </c>
      <c r="C27" s="101" t="s">
        <v>175</v>
      </c>
      <c r="D27" s="102" t="s">
        <v>176</v>
      </c>
      <c r="E27" s="2"/>
      <c r="F27" s="22"/>
      <c r="G27" s="2"/>
      <c r="H27" s="2"/>
      <c r="I27" s="2"/>
      <c r="J27" s="2"/>
      <c r="K27" s="2"/>
      <c r="L27" s="2"/>
      <c r="M27" s="2"/>
      <c r="N27" s="2"/>
      <c r="O27" s="2"/>
      <c r="P27" s="2"/>
      <c r="Q27" s="2"/>
      <c r="R27" s="2"/>
      <c r="S27" s="2"/>
      <c r="T27" s="2"/>
      <c r="U27" s="2"/>
      <c r="V27" s="2"/>
      <c r="W27" s="2"/>
      <c r="X27" s="2"/>
      <c r="Y27" s="2"/>
      <c r="Z27" s="2"/>
      <c r="AA27" s="2"/>
    </row>
    <row r="28" spans="1:27" ht="15.75" customHeight="1">
      <c r="A28" s="2"/>
      <c r="B28" s="94" t="s">
        <v>177</v>
      </c>
      <c r="C28" s="95">
        <f>ROUND(IF('Entradas Rebanho'!C39="Pasto",Default!C47,(IF('Entradas Rebanho'!C39="Pastando grandes áreas", Default!C48, "")))*C8,3)</f>
        <v>3.4420000000000002</v>
      </c>
      <c r="D28" s="103" t="s">
        <v>178</v>
      </c>
      <c r="E28" s="104"/>
      <c r="F28" s="28"/>
      <c r="G28" s="2"/>
      <c r="H28" s="2"/>
      <c r="I28" s="2"/>
      <c r="J28" s="2"/>
      <c r="K28" s="2"/>
      <c r="L28" s="2"/>
      <c r="M28" s="2"/>
      <c r="N28" s="2"/>
      <c r="O28" s="2"/>
      <c r="P28" s="2"/>
      <c r="Q28" s="2"/>
      <c r="R28" s="2"/>
      <c r="S28" s="2"/>
      <c r="T28" s="2"/>
      <c r="U28" s="2"/>
      <c r="V28" s="2"/>
      <c r="W28" s="2"/>
      <c r="X28" s="2"/>
      <c r="Y28" s="2"/>
      <c r="Z28" s="2"/>
      <c r="AA28" s="2"/>
    </row>
    <row r="29" spans="1:27" ht="15.75" customHeight="1">
      <c r="A29" s="2"/>
      <c r="B29" s="94" t="s">
        <v>179</v>
      </c>
      <c r="C29" s="95">
        <f>ROUND(IF('Entradas Rebanho'!C40="Pasto",Default!C49,(IF('Entradas Rebanho'!C40="Pastando grandes áreas", Default!C50, "")))*C9,3)</f>
        <v>3.4420000000000002</v>
      </c>
      <c r="D29" s="96" t="s">
        <v>178</v>
      </c>
      <c r="E29" s="104"/>
      <c r="F29" s="28"/>
      <c r="G29" s="2"/>
      <c r="H29" s="2"/>
      <c r="I29" s="2"/>
      <c r="J29" s="2"/>
      <c r="K29" s="2"/>
      <c r="L29" s="2"/>
      <c r="M29" s="2"/>
      <c r="N29" s="2"/>
      <c r="O29" s="2"/>
      <c r="P29" s="2"/>
      <c r="Q29" s="2"/>
      <c r="R29" s="2"/>
      <c r="S29" s="2"/>
      <c r="T29" s="2"/>
      <c r="U29" s="2"/>
      <c r="V29" s="2"/>
      <c r="W29" s="2"/>
      <c r="X29" s="2"/>
      <c r="Y29" s="2"/>
      <c r="Z29" s="2"/>
      <c r="AA29" s="2"/>
    </row>
    <row r="30" spans="1:27" ht="15.75" customHeight="1">
      <c r="A30" s="2"/>
      <c r="B30" s="94" t="s">
        <v>180</v>
      </c>
      <c r="C30" s="95">
        <f>ROUND(IF('Entradas Rebanho'!C41="Pasto",Default!C51,(IF('Entradas Rebanho'!C41="Pastando grandes áreas", Default!C52,)))*C10,3)</f>
        <v>3.4420000000000002</v>
      </c>
      <c r="D30" s="96" t="s">
        <v>178</v>
      </c>
      <c r="E30" s="104"/>
      <c r="F30" s="28"/>
      <c r="G30" s="2"/>
      <c r="H30" s="2"/>
      <c r="I30" s="2"/>
      <c r="J30" s="2"/>
      <c r="K30" s="2"/>
      <c r="L30" s="2"/>
      <c r="M30" s="2"/>
      <c r="N30" s="2"/>
      <c r="O30" s="2"/>
      <c r="P30" s="2"/>
      <c r="Q30" s="2"/>
      <c r="R30" s="2"/>
      <c r="S30" s="2"/>
      <c r="T30" s="2"/>
      <c r="U30" s="2"/>
      <c r="V30" s="2"/>
      <c r="W30" s="2"/>
      <c r="X30" s="2"/>
      <c r="Y30" s="2"/>
      <c r="Z30" s="2"/>
      <c r="AA30" s="2"/>
    </row>
    <row r="31" spans="1:27" ht="15.75" customHeight="1">
      <c r="A31" s="2"/>
      <c r="B31" s="97" t="s">
        <v>181</v>
      </c>
      <c r="C31" s="95">
        <f>ROUND(IF('Entradas Rebanho'!C42="Pasto",Default!C53,(IF('Entradas Rebanho'!C42="Pastando grandes áreas", Default!C54, "")))*C11,3)</f>
        <v>3.9460000000000002</v>
      </c>
      <c r="D31" s="96" t="s">
        <v>178</v>
      </c>
      <c r="E31" s="104"/>
      <c r="F31" s="28"/>
      <c r="G31" s="2"/>
      <c r="H31" s="2"/>
      <c r="I31" s="2"/>
      <c r="J31" s="2"/>
      <c r="K31" s="2"/>
      <c r="L31" s="2"/>
      <c r="M31" s="2"/>
      <c r="N31" s="2"/>
      <c r="O31" s="2"/>
      <c r="P31" s="2"/>
      <c r="Q31" s="2"/>
      <c r="R31" s="2"/>
      <c r="S31" s="2"/>
      <c r="T31" s="2"/>
      <c r="U31" s="2"/>
      <c r="V31" s="2"/>
      <c r="W31" s="2"/>
      <c r="X31" s="2"/>
      <c r="Y31" s="2"/>
      <c r="Z31" s="2"/>
      <c r="AA31" s="2"/>
    </row>
    <row r="32" spans="1:27" ht="15.75" customHeight="1">
      <c r="A32" s="2"/>
      <c r="B32" s="97" t="s">
        <v>182</v>
      </c>
      <c r="C32" s="95">
        <f>ROUND(IF('Entradas Rebanho'!C43="Pasto",Default!C55,(IF('Entradas Rebanho'!C43="Pastando grandes áreas", Default!C56, "")))*C12,3)</f>
        <v>3.9460000000000002</v>
      </c>
      <c r="D32" s="96" t="s">
        <v>178</v>
      </c>
      <c r="E32" s="104"/>
      <c r="F32" s="28"/>
      <c r="G32" s="2"/>
      <c r="H32" s="2"/>
      <c r="I32" s="2"/>
      <c r="J32" s="2"/>
      <c r="K32" s="2"/>
      <c r="L32" s="2"/>
      <c r="M32" s="2"/>
      <c r="N32" s="2"/>
      <c r="O32" s="2"/>
      <c r="P32" s="2"/>
      <c r="Q32" s="2"/>
      <c r="R32" s="2"/>
      <c r="S32" s="2"/>
      <c r="T32" s="2"/>
      <c r="U32" s="2"/>
      <c r="V32" s="2"/>
      <c r="W32" s="2"/>
      <c r="X32" s="2"/>
      <c r="Y32" s="2"/>
      <c r="Z32" s="2"/>
      <c r="AA32" s="2"/>
    </row>
    <row r="33" spans="1:27" ht="15.75" customHeight="1">
      <c r="A33" s="2"/>
      <c r="B33" s="97" t="s">
        <v>183</v>
      </c>
      <c r="C33" s="95">
        <f>ROUND(IF('Entradas Rebanho'!C44="Pasto",Default!C57,(IF('Entradas Rebanho'!C44="Pastando grandes áreas", Default!C58, "")))*C13,3)</f>
        <v>3.9460000000000002</v>
      </c>
      <c r="D33" s="96" t="s">
        <v>178</v>
      </c>
      <c r="E33" s="104"/>
      <c r="F33" s="28"/>
      <c r="G33" s="2"/>
      <c r="H33" s="2"/>
      <c r="I33" s="2"/>
      <c r="J33" s="2"/>
      <c r="K33" s="2"/>
      <c r="L33" s="2"/>
      <c r="M33" s="2"/>
      <c r="N33" s="2"/>
      <c r="O33" s="2"/>
      <c r="P33" s="2"/>
      <c r="Q33" s="2"/>
      <c r="R33" s="2"/>
      <c r="S33" s="2"/>
      <c r="T33" s="2"/>
      <c r="U33" s="2"/>
      <c r="V33" s="2"/>
      <c r="W33" s="2"/>
      <c r="X33" s="2"/>
      <c r="Y33" s="2"/>
      <c r="Z33" s="2"/>
      <c r="AA33" s="2"/>
    </row>
    <row r="34" spans="1:27" ht="15.75" customHeight="1">
      <c r="A34" s="2"/>
      <c r="B34" s="97" t="s">
        <v>184</v>
      </c>
      <c r="C34" s="95">
        <f>ROUND(IF('Entradas Rebanho'!C45="Pasto",Default!C59,(IF('Entradas Rebanho'!C45="Pastando grandes áreas", Default!C60, "")))*C14,3)</f>
        <v>4.8959999999999999</v>
      </c>
      <c r="D34" s="96" t="s">
        <v>178</v>
      </c>
      <c r="E34" s="104"/>
      <c r="F34" s="28"/>
      <c r="G34" s="2"/>
      <c r="H34" s="2"/>
      <c r="I34" s="2"/>
      <c r="J34" s="2"/>
      <c r="K34" s="2"/>
      <c r="L34" s="2"/>
      <c r="M34" s="2"/>
      <c r="N34" s="2"/>
      <c r="O34" s="2"/>
      <c r="P34" s="2"/>
      <c r="Q34" s="2"/>
      <c r="R34" s="2"/>
      <c r="S34" s="2"/>
      <c r="T34" s="2"/>
      <c r="U34" s="2"/>
      <c r="V34" s="2"/>
      <c r="W34" s="2"/>
      <c r="X34" s="2"/>
      <c r="Y34" s="2"/>
      <c r="Z34" s="2"/>
      <c r="AA34" s="2"/>
    </row>
    <row r="35" spans="1:27" ht="15.75" customHeight="1">
      <c r="A35" s="2"/>
      <c r="B35" s="97" t="s">
        <v>185</v>
      </c>
      <c r="C35" s="95">
        <f>ROUND(IF('Entradas Rebanho'!C46="Pasto",Default!C61,(IF('Entradas Rebanho'!C46="Pastando grandes áreas", Default!C62, "")))*C15,3)</f>
        <v>4.8959999999999999</v>
      </c>
      <c r="D35" s="96" t="s">
        <v>178</v>
      </c>
      <c r="E35" s="104"/>
      <c r="F35" s="28"/>
      <c r="G35" s="2"/>
      <c r="H35" s="2"/>
      <c r="I35" s="2"/>
      <c r="J35" s="2"/>
      <c r="K35" s="2"/>
      <c r="L35" s="2"/>
      <c r="M35" s="2"/>
      <c r="N35" s="2"/>
      <c r="O35" s="2"/>
      <c r="P35" s="2"/>
      <c r="Q35" s="2"/>
      <c r="R35" s="2"/>
      <c r="S35" s="2"/>
      <c r="T35" s="2"/>
      <c r="U35" s="2"/>
      <c r="V35" s="2"/>
      <c r="W35" s="2"/>
      <c r="X35" s="2"/>
      <c r="Y35" s="2"/>
      <c r="Z35" s="2"/>
      <c r="AA35" s="2"/>
    </row>
    <row r="36" spans="1:27" ht="15.75" customHeight="1">
      <c r="A36" s="2"/>
      <c r="B36" s="97" t="s">
        <v>186</v>
      </c>
      <c r="C36" s="95">
        <f>ROUND(IF('Entradas Rebanho'!C47="Pasto",Default!C63,(IF('Entradas Rebanho'!C47="Pastando grandes áreas", Default!C64, "")))*C16,3)</f>
        <v>4.8959999999999999</v>
      </c>
      <c r="D36" s="96" t="s">
        <v>178</v>
      </c>
      <c r="E36" s="104"/>
      <c r="F36" s="28"/>
      <c r="G36" s="2"/>
      <c r="H36" s="2"/>
      <c r="I36" s="2"/>
      <c r="J36" s="2"/>
      <c r="K36" s="2"/>
      <c r="L36" s="2"/>
      <c r="M36" s="2"/>
      <c r="N36" s="2"/>
      <c r="O36" s="2"/>
      <c r="P36" s="2"/>
      <c r="Q36" s="2"/>
      <c r="R36" s="2"/>
      <c r="S36" s="2"/>
      <c r="T36" s="2"/>
      <c r="U36" s="2"/>
      <c r="V36" s="2"/>
      <c r="W36" s="2"/>
      <c r="X36" s="2"/>
      <c r="Y36" s="2"/>
      <c r="Z36" s="2"/>
      <c r="AA36" s="2"/>
    </row>
    <row r="37" spans="1:27" ht="15.75" customHeight="1">
      <c r="A37" s="2"/>
      <c r="B37" s="97" t="s">
        <v>187</v>
      </c>
      <c r="C37" s="95">
        <f>ROUND(IF('Entradas Rebanho'!C48="Estabulado",Default!C65,)*C17,3)</f>
        <v>0</v>
      </c>
      <c r="D37" s="96" t="s">
        <v>178</v>
      </c>
      <c r="E37" s="104"/>
      <c r="F37" s="29"/>
      <c r="G37" s="2"/>
      <c r="H37" s="2"/>
      <c r="I37" s="2"/>
      <c r="J37" s="2"/>
      <c r="K37" s="2"/>
      <c r="L37" s="2"/>
      <c r="M37" s="2"/>
      <c r="N37" s="2"/>
      <c r="O37" s="2"/>
      <c r="P37" s="2"/>
      <c r="Q37" s="2"/>
      <c r="R37" s="2"/>
      <c r="S37" s="2"/>
      <c r="T37" s="2"/>
      <c r="U37" s="2"/>
      <c r="V37" s="2"/>
      <c r="W37" s="2"/>
      <c r="X37" s="2"/>
      <c r="Y37" s="2"/>
      <c r="Z37" s="2"/>
      <c r="AA37" s="2"/>
    </row>
    <row r="38" spans="1:27" ht="15.75" customHeight="1">
      <c r="A38" s="2"/>
      <c r="B38" s="97" t="s">
        <v>188</v>
      </c>
      <c r="C38" s="95">
        <f>ROUND(IF('Entradas Rebanho'!C49="Estabulado",Default!C66,)*C18,3)</f>
        <v>0</v>
      </c>
      <c r="D38" s="96" t="s">
        <v>178</v>
      </c>
      <c r="E38" s="104"/>
      <c r="F38" s="29"/>
      <c r="G38" s="2"/>
      <c r="H38" s="2"/>
      <c r="I38" s="2"/>
      <c r="J38" s="2"/>
      <c r="K38" s="2"/>
      <c r="L38" s="2"/>
      <c r="M38" s="2"/>
      <c r="N38" s="2"/>
      <c r="O38" s="2"/>
      <c r="P38" s="2"/>
      <c r="Q38" s="2"/>
      <c r="R38" s="2"/>
      <c r="S38" s="2"/>
      <c r="T38" s="2"/>
      <c r="U38" s="2"/>
      <c r="V38" s="2"/>
      <c r="W38" s="2"/>
      <c r="X38" s="2"/>
      <c r="Y38" s="2"/>
      <c r="Z38" s="2"/>
      <c r="AA38" s="2"/>
    </row>
    <row r="39" spans="1:27" ht="15.75" customHeight="1">
      <c r="A39" s="2"/>
      <c r="B39" s="97" t="s">
        <v>189</v>
      </c>
      <c r="C39" s="95">
        <f>ROUND(IF('Entradas Rebanho'!C50="Estabulado",Default!C67,)*C19,3)</f>
        <v>0</v>
      </c>
      <c r="D39" s="96" t="s">
        <v>178</v>
      </c>
      <c r="E39" s="104"/>
      <c r="F39" s="29"/>
      <c r="G39" s="2"/>
      <c r="H39" s="2"/>
      <c r="I39" s="2"/>
      <c r="J39" s="2"/>
      <c r="K39" s="2"/>
      <c r="L39" s="2"/>
      <c r="M39" s="2"/>
      <c r="N39" s="2"/>
      <c r="O39" s="2"/>
      <c r="P39" s="2"/>
      <c r="Q39" s="2"/>
      <c r="R39" s="2"/>
      <c r="S39" s="2"/>
      <c r="T39" s="2"/>
      <c r="U39" s="2"/>
      <c r="V39" s="2"/>
      <c r="W39" s="2"/>
      <c r="X39" s="2"/>
      <c r="Y39" s="2"/>
      <c r="Z39" s="2"/>
      <c r="AA39" s="2"/>
    </row>
    <row r="40" spans="1:27" ht="15.75" customHeight="1">
      <c r="A40" s="2"/>
      <c r="B40" s="97" t="s">
        <v>190</v>
      </c>
      <c r="C40" s="95">
        <f>ROUND(IF('Entradas Rebanho'!C51="Pasto",Default!C68,(IF('Entradas Rebanho'!C51="Pastando grandes áreas", Default!C69, "")))*C20,3)</f>
        <v>6.6360000000000001</v>
      </c>
      <c r="D40" s="96" t="s">
        <v>178</v>
      </c>
      <c r="E40" s="104"/>
      <c r="F40" s="29"/>
      <c r="G40" s="2"/>
      <c r="H40" s="2"/>
      <c r="I40" s="2"/>
      <c r="J40" s="2"/>
      <c r="K40" s="2"/>
      <c r="L40" s="2"/>
      <c r="M40" s="2"/>
      <c r="N40" s="2"/>
      <c r="O40" s="2"/>
      <c r="P40" s="2"/>
      <c r="Q40" s="2"/>
      <c r="R40" s="2"/>
      <c r="S40" s="2"/>
      <c r="T40" s="2"/>
      <c r="U40" s="2"/>
      <c r="V40" s="2"/>
      <c r="W40" s="2"/>
      <c r="X40" s="2"/>
      <c r="Y40" s="2"/>
      <c r="Z40" s="2"/>
      <c r="AA40" s="2"/>
    </row>
    <row r="41" spans="1:27" ht="15.75" customHeight="1">
      <c r="A41" s="2"/>
      <c r="B41" s="97" t="s">
        <v>191</v>
      </c>
      <c r="C41" s="95">
        <f>ROUND(IF('Entradas Rebanho'!C52="Pasto",Default!C70,(IF('Entradas Rebanho'!C52="Pastando grandes áreas", Default!C71, "")))*C21,3)</f>
        <v>7.9550000000000001</v>
      </c>
      <c r="D41" s="96" t="s">
        <v>178</v>
      </c>
      <c r="E41" s="104"/>
      <c r="F41" s="29"/>
      <c r="G41" s="2"/>
      <c r="H41" s="2"/>
      <c r="I41" s="2"/>
      <c r="J41" s="2"/>
      <c r="K41" s="2"/>
      <c r="L41" s="2"/>
      <c r="M41" s="2"/>
      <c r="N41" s="2"/>
      <c r="O41" s="2"/>
      <c r="P41" s="2"/>
      <c r="Q41" s="2"/>
      <c r="R41" s="2"/>
      <c r="S41" s="2"/>
      <c r="T41" s="2"/>
      <c r="U41" s="2"/>
      <c r="V41" s="2"/>
      <c r="W41" s="2"/>
      <c r="X41" s="2"/>
      <c r="Y41" s="2"/>
      <c r="Z41" s="2"/>
      <c r="AA41" s="2"/>
    </row>
    <row r="42" spans="1:27" ht="15.75" customHeight="1">
      <c r="A42" s="2"/>
      <c r="B42" s="98" t="s">
        <v>192</v>
      </c>
      <c r="C42" s="99">
        <f>ROUND(IF('Entradas Rebanho'!C53="Pasto",Default!C72,(IF('Entradas Rebanho'!C53="Pastando grandes áreas", Default!C73, "")))*C22,3)</f>
        <v>8.0969999999999995</v>
      </c>
      <c r="D42" s="100" t="s">
        <v>178</v>
      </c>
      <c r="E42" s="104"/>
      <c r="F42" s="29"/>
      <c r="G42" s="2"/>
      <c r="H42" s="2"/>
      <c r="I42" s="2"/>
      <c r="J42" s="2"/>
      <c r="K42" s="2"/>
      <c r="L42" s="2"/>
      <c r="M42" s="2"/>
      <c r="N42" s="2"/>
      <c r="O42" s="2"/>
      <c r="P42" s="2"/>
      <c r="Q42" s="2"/>
      <c r="R42" s="2"/>
      <c r="S42" s="2"/>
      <c r="T42" s="2"/>
      <c r="U42" s="2"/>
      <c r="V42" s="2"/>
      <c r="W42" s="2"/>
      <c r="X42" s="2"/>
      <c r="Y42" s="2"/>
      <c r="Z42" s="2"/>
      <c r="AA42" s="2"/>
    </row>
    <row r="43" spans="1:27"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5.75" customHeight="1">
      <c r="A45" s="2"/>
      <c r="B45" s="920" t="s">
        <v>195</v>
      </c>
      <c r="C45" s="921"/>
      <c r="D45" s="922"/>
      <c r="E45" s="2"/>
      <c r="F45" s="2"/>
      <c r="G45" s="2"/>
      <c r="H45" s="2"/>
      <c r="I45" s="2"/>
      <c r="J45" s="2"/>
      <c r="K45" s="2"/>
      <c r="L45" s="2"/>
      <c r="M45" s="2"/>
      <c r="N45" s="2"/>
      <c r="O45" s="2"/>
      <c r="P45" s="2"/>
      <c r="Q45" s="2"/>
      <c r="R45" s="2"/>
      <c r="S45" s="2"/>
      <c r="T45" s="2"/>
      <c r="U45" s="2"/>
      <c r="V45" s="2"/>
      <c r="W45" s="2"/>
      <c r="X45" s="2"/>
      <c r="Y45" s="2"/>
      <c r="Z45" s="2"/>
      <c r="AA45" s="2"/>
    </row>
    <row r="46" spans="1:27" ht="15.75" customHeight="1">
      <c r="A46" s="2"/>
      <c r="B46" s="945" t="s">
        <v>196</v>
      </c>
      <c r="C46" s="946"/>
      <c r="D46" s="947"/>
      <c r="E46" s="2"/>
      <c r="F46" s="2"/>
      <c r="G46" s="2"/>
      <c r="H46" s="2"/>
      <c r="I46" s="2"/>
      <c r="J46" s="2"/>
      <c r="K46" s="2"/>
      <c r="L46" s="2"/>
      <c r="M46" s="2"/>
      <c r="N46" s="2"/>
      <c r="O46" s="2"/>
      <c r="P46" s="2"/>
      <c r="Q46" s="2"/>
      <c r="R46" s="2"/>
      <c r="S46" s="2"/>
      <c r="T46" s="2"/>
      <c r="U46" s="2"/>
      <c r="V46" s="2"/>
      <c r="W46" s="2"/>
      <c r="X46" s="2"/>
      <c r="Y46" s="2"/>
      <c r="Z46" s="2"/>
      <c r="AA46" s="2"/>
    </row>
    <row r="47" spans="1:27" ht="15.75" customHeight="1">
      <c r="A47" s="2"/>
      <c r="B47" s="91" t="s">
        <v>174</v>
      </c>
      <c r="C47" s="101" t="s">
        <v>175</v>
      </c>
      <c r="D47" s="93" t="s">
        <v>176</v>
      </c>
      <c r="E47" s="2"/>
      <c r="F47" s="2"/>
      <c r="G47" s="2"/>
      <c r="H47" s="2"/>
      <c r="I47" s="2"/>
      <c r="J47" s="2"/>
      <c r="K47" s="2"/>
      <c r="L47" s="2"/>
      <c r="M47" s="2"/>
      <c r="N47" s="2"/>
      <c r="O47" s="2"/>
      <c r="P47" s="2"/>
      <c r="Q47" s="2"/>
      <c r="R47" s="2"/>
      <c r="S47" s="2"/>
      <c r="T47" s="2"/>
      <c r="U47" s="2"/>
      <c r="V47" s="2"/>
      <c r="W47" s="2"/>
      <c r="X47" s="2"/>
      <c r="Y47" s="2"/>
      <c r="Z47" s="2"/>
      <c r="AA47" s="2"/>
    </row>
    <row r="48" spans="1:27" ht="15.75" customHeight="1">
      <c r="A48" s="2"/>
      <c r="B48" s="94" t="s">
        <v>177</v>
      </c>
      <c r="C48" s="95">
        <f>ROUND(((22.02)*(('Entradas Rebanho'!D21)/(Default!C78*'Entradas Rebanho'!$D$35))^0.75*('Entradas Rebanho'!E21)^1.097),3)</f>
        <v>4.3849999999999998</v>
      </c>
      <c r="D48" s="103" t="s">
        <v>178</v>
      </c>
      <c r="E48" s="2"/>
      <c r="F48" s="2"/>
      <c r="G48" s="2"/>
      <c r="H48" s="2"/>
      <c r="I48" s="2"/>
      <c r="J48" s="2"/>
      <c r="K48" s="2"/>
      <c r="L48" s="2"/>
      <c r="M48" s="2"/>
      <c r="N48" s="2"/>
      <c r="O48" s="2"/>
      <c r="P48" s="2"/>
      <c r="Q48" s="2"/>
      <c r="R48" s="2"/>
      <c r="S48" s="2"/>
      <c r="T48" s="2"/>
      <c r="U48" s="2"/>
      <c r="V48" s="2"/>
      <c r="W48" s="2"/>
      <c r="X48" s="2"/>
      <c r="Y48" s="2"/>
      <c r="Z48" s="2"/>
      <c r="AA48" s="2"/>
    </row>
    <row r="49" spans="1:27" ht="15.75" customHeight="1">
      <c r="A49" s="2"/>
      <c r="B49" s="94" t="s">
        <v>179</v>
      </c>
      <c r="C49" s="95">
        <f>ROUND(((22.02)*(('Entradas Rebanho'!D22)/(Default!C79*'Entradas Rebanho'!$D$35))^0.75*('Entradas Rebanho'!E22)^1.097),3)</f>
        <v>5.0279999999999996</v>
      </c>
      <c r="D49" s="96" t="s">
        <v>178</v>
      </c>
      <c r="E49" s="2"/>
      <c r="F49" s="2"/>
      <c r="G49" s="2"/>
      <c r="H49" s="2"/>
      <c r="I49" s="2"/>
      <c r="J49" s="2"/>
      <c r="K49" s="2"/>
      <c r="L49" s="2"/>
      <c r="M49" s="2"/>
      <c r="N49" s="2"/>
      <c r="O49" s="2"/>
      <c r="P49" s="2"/>
      <c r="Q49" s="2"/>
      <c r="R49" s="2"/>
      <c r="S49" s="2"/>
      <c r="T49" s="2"/>
      <c r="U49" s="2"/>
      <c r="V49" s="2"/>
      <c r="W49" s="2"/>
      <c r="X49" s="2"/>
      <c r="Y49" s="2"/>
      <c r="Z49" s="2"/>
      <c r="AA49" s="2"/>
    </row>
    <row r="50" spans="1:27" ht="15.75" customHeight="1">
      <c r="A50" s="2"/>
      <c r="B50" s="94" t="s">
        <v>180</v>
      </c>
      <c r="C50" s="95">
        <f>ROUND(((22.02)*(('Entradas Rebanho'!D23)/(Default!C80*'Entradas Rebanho'!$D$34))^0.75*('Entradas Rebanho'!E23)^1.097),3)</f>
        <v>6.3109999999999999</v>
      </c>
      <c r="D50" s="96" t="s">
        <v>178</v>
      </c>
      <c r="E50" s="2"/>
      <c r="F50" s="2"/>
      <c r="G50" s="2"/>
      <c r="H50" s="2"/>
      <c r="I50" s="2"/>
      <c r="J50" s="2"/>
      <c r="K50" s="2"/>
      <c r="L50" s="2"/>
      <c r="M50" s="2"/>
      <c r="N50" s="2"/>
      <c r="O50" s="2"/>
      <c r="P50" s="2"/>
      <c r="Q50" s="2"/>
      <c r="R50" s="2"/>
      <c r="S50" s="2"/>
      <c r="T50" s="2"/>
      <c r="U50" s="2"/>
      <c r="V50" s="2"/>
      <c r="W50" s="2"/>
      <c r="X50" s="2"/>
      <c r="Y50" s="2"/>
      <c r="Z50" s="2"/>
      <c r="AA50" s="2"/>
    </row>
    <row r="51" spans="1:27" ht="15.75" customHeight="1">
      <c r="A51" s="2"/>
      <c r="B51" s="97" t="s">
        <v>181</v>
      </c>
      <c r="C51" s="95">
        <f>ROUND(((22.02)*(('Entradas Rebanho'!D24)/(Default!C81*'Entradas Rebanho'!$D$35))^0.75*('Entradas Rebanho'!E24)^1.097),3)</f>
        <v>5.0279999999999996</v>
      </c>
      <c r="D51" s="96" t="s">
        <v>178</v>
      </c>
      <c r="E51" s="2"/>
      <c r="F51" s="2"/>
      <c r="G51" s="2"/>
      <c r="H51" s="2"/>
      <c r="I51" s="2"/>
      <c r="J51" s="2"/>
      <c r="K51" s="2"/>
      <c r="L51" s="2"/>
      <c r="M51" s="2"/>
      <c r="N51" s="2"/>
      <c r="O51" s="2"/>
      <c r="P51" s="2"/>
      <c r="Q51" s="2"/>
      <c r="R51" s="2"/>
      <c r="S51" s="2"/>
      <c r="T51" s="2"/>
      <c r="U51" s="2"/>
      <c r="V51" s="2"/>
      <c r="W51" s="2"/>
      <c r="X51" s="2"/>
      <c r="Y51" s="2"/>
      <c r="Z51" s="2"/>
      <c r="AA51" s="2"/>
    </row>
    <row r="52" spans="1:27" ht="15.75" customHeight="1">
      <c r="A52" s="2"/>
      <c r="B52" s="97" t="s">
        <v>182</v>
      </c>
      <c r="C52" s="95">
        <f>ROUND(((22.02)*(('Entradas Rebanho'!D25)/(Default!C82*'Entradas Rebanho'!$D$35))^0.75*('Entradas Rebanho'!E25)^1.097),3)</f>
        <v>5.7640000000000002</v>
      </c>
      <c r="D52" s="96" t="s">
        <v>178</v>
      </c>
      <c r="E52" s="2"/>
      <c r="F52" s="2"/>
      <c r="G52" s="2"/>
      <c r="H52" s="2"/>
      <c r="I52" s="2"/>
      <c r="J52" s="2"/>
      <c r="K52" s="2"/>
      <c r="L52" s="2"/>
      <c r="M52" s="2"/>
      <c r="N52" s="2"/>
      <c r="O52" s="2"/>
      <c r="P52" s="2"/>
      <c r="Q52" s="2"/>
      <c r="R52" s="2"/>
      <c r="S52" s="2"/>
      <c r="T52" s="2"/>
      <c r="U52" s="2"/>
      <c r="V52" s="2"/>
      <c r="W52" s="2"/>
      <c r="X52" s="2"/>
      <c r="Y52" s="2"/>
      <c r="Z52" s="2"/>
      <c r="AA52" s="2"/>
    </row>
    <row r="53" spans="1:27" ht="15.75" customHeight="1">
      <c r="A53" s="2"/>
      <c r="B53" s="97" t="s">
        <v>183</v>
      </c>
      <c r="C53" s="95">
        <f>ROUND(((22.02)*(('Entradas Rebanho'!D26)/(Default!C83*'Entradas Rebanho'!$D$34))^0.75*('Entradas Rebanho'!E26)^1.097),3)</f>
        <v>7.2359999999999998</v>
      </c>
      <c r="D53" s="96" t="s">
        <v>178</v>
      </c>
      <c r="E53" s="2"/>
      <c r="F53" s="2"/>
      <c r="G53" s="2"/>
      <c r="H53" s="2"/>
      <c r="I53" s="2"/>
      <c r="J53" s="2"/>
      <c r="K53" s="2"/>
      <c r="L53" s="2"/>
      <c r="M53" s="2"/>
      <c r="N53" s="2"/>
      <c r="O53" s="2"/>
      <c r="P53" s="2"/>
      <c r="Q53" s="2"/>
      <c r="R53" s="2"/>
      <c r="S53" s="2"/>
      <c r="T53" s="2"/>
      <c r="U53" s="2"/>
      <c r="V53" s="2"/>
      <c r="W53" s="2"/>
      <c r="X53" s="2"/>
      <c r="Y53" s="2"/>
      <c r="Z53" s="2"/>
      <c r="AA53" s="2"/>
    </row>
    <row r="54" spans="1:27" ht="15.75" customHeight="1">
      <c r="A54" s="2"/>
      <c r="B54" s="97" t="s">
        <v>184</v>
      </c>
      <c r="C54" s="95">
        <f>ROUND(((22.02)*(('Entradas Rebanho'!D27)/(Default!C84*'Entradas Rebanho'!$D$35))^0.75*('Entradas Rebanho'!E27)^1.097),3)</f>
        <v>6.2380000000000004</v>
      </c>
      <c r="D54" s="96" t="s">
        <v>178</v>
      </c>
      <c r="E54" s="2"/>
      <c r="F54" s="2"/>
      <c r="G54" s="2"/>
      <c r="H54" s="2"/>
      <c r="I54" s="2"/>
      <c r="J54" s="2"/>
      <c r="K54" s="2"/>
      <c r="L54" s="2"/>
      <c r="M54" s="2"/>
      <c r="N54" s="2"/>
      <c r="O54" s="2"/>
      <c r="P54" s="2"/>
      <c r="Q54" s="2"/>
      <c r="R54" s="2"/>
      <c r="S54" s="2"/>
      <c r="T54" s="2"/>
      <c r="U54" s="2"/>
      <c r="V54" s="2"/>
      <c r="W54" s="2"/>
      <c r="X54" s="2"/>
      <c r="Y54" s="2"/>
      <c r="Z54" s="2"/>
      <c r="AA54" s="2"/>
    </row>
    <row r="55" spans="1:27" ht="15.75" customHeight="1">
      <c r="A55" s="2"/>
      <c r="B55" s="97" t="s">
        <v>185</v>
      </c>
      <c r="C55" s="95">
        <f>ROUND(((22.02)*(('Entradas Rebanho'!D28)/(Default!C85*'Entradas Rebanho'!$D$35))^0.75*('Entradas Rebanho'!E28)^1.097),3)</f>
        <v>7.1520000000000001</v>
      </c>
      <c r="D55" s="96" t="s">
        <v>178</v>
      </c>
      <c r="E55" s="2"/>
      <c r="F55" s="2"/>
      <c r="G55" s="2"/>
      <c r="H55" s="2"/>
      <c r="I55" s="2"/>
      <c r="J55" s="2"/>
      <c r="K55" s="2"/>
      <c r="L55" s="2"/>
      <c r="M55" s="2"/>
      <c r="N55" s="2"/>
      <c r="O55" s="2"/>
      <c r="P55" s="2"/>
      <c r="Q55" s="2"/>
      <c r="R55" s="2"/>
      <c r="S55" s="2"/>
      <c r="T55" s="2"/>
      <c r="U55" s="2"/>
      <c r="V55" s="2"/>
      <c r="W55" s="2"/>
      <c r="X55" s="2"/>
      <c r="Y55" s="2"/>
      <c r="Z55" s="2"/>
      <c r="AA55" s="2"/>
    </row>
    <row r="56" spans="1:27" ht="15.75" customHeight="1">
      <c r="A56" s="2"/>
      <c r="B56" s="97" t="s">
        <v>186</v>
      </c>
      <c r="C56" s="95">
        <f>ROUND(((22.02)*(('Entradas Rebanho'!D29)/(Default!C86*'Entradas Rebanho'!$D$34))^0.75*('Entradas Rebanho'!E29)^1.097),3)</f>
        <v>8.9779999999999998</v>
      </c>
      <c r="D56" s="96" t="s">
        <v>178</v>
      </c>
      <c r="E56" s="2"/>
      <c r="F56" s="2"/>
      <c r="G56" s="2"/>
      <c r="H56" s="2"/>
      <c r="I56" s="2"/>
      <c r="J56" s="2"/>
      <c r="K56" s="2"/>
      <c r="L56" s="2"/>
      <c r="M56" s="2"/>
      <c r="N56" s="2"/>
      <c r="O56" s="2"/>
      <c r="P56" s="2"/>
      <c r="Q56" s="2"/>
      <c r="R56" s="2"/>
      <c r="S56" s="2"/>
      <c r="T56" s="2"/>
      <c r="U56" s="2"/>
      <c r="V56" s="2"/>
      <c r="W56" s="2"/>
      <c r="X56" s="2"/>
      <c r="Y56" s="2"/>
      <c r="Z56" s="2"/>
      <c r="AA56" s="2"/>
    </row>
    <row r="57" spans="1:27" ht="15.75" customHeight="1">
      <c r="A57" s="2"/>
      <c r="B57" s="97" t="s">
        <v>187</v>
      </c>
      <c r="C57" s="95">
        <f>ROUND(((22.02)*(('Entradas Rebanho'!D30)/(Default!C87*'Entradas Rebanho'!$D$35))^0.75*('Entradas Rebanho'!E30)^1.097),3)</f>
        <v>7.9210000000000003</v>
      </c>
      <c r="D57" s="96" t="s">
        <v>178</v>
      </c>
      <c r="E57" s="2"/>
      <c r="F57" s="2"/>
      <c r="G57" s="2"/>
      <c r="H57" s="2"/>
      <c r="I57" s="2"/>
      <c r="J57" s="2"/>
      <c r="K57" s="2"/>
      <c r="L57" s="2"/>
      <c r="M57" s="2"/>
      <c r="N57" s="2"/>
      <c r="O57" s="2"/>
      <c r="P57" s="2"/>
      <c r="Q57" s="2"/>
      <c r="R57" s="2"/>
      <c r="S57" s="2"/>
      <c r="T57" s="2"/>
      <c r="U57" s="2"/>
      <c r="V57" s="2"/>
      <c r="W57" s="2"/>
      <c r="X57" s="2"/>
      <c r="Y57" s="2"/>
      <c r="Z57" s="2"/>
      <c r="AA57" s="2"/>
    </row>
    <row r="58" spans="1:27" ht="15.75" customHeight="1">
      <c r="A58" s="2"/>
      <c r="B58" s="97" t="s">
        <v>188</v>
      </c>
      <c r="C58" s="95">
        <f>ROUND(((22.02)*(('Entradas Rebanho'!D31)/(Default!C88*'Entradas Rebanho'!$D$35))^0.75*('Entradas Rebanho'!E31)^1.097),3)</f>
        <v>9.0820000000000007</v>
      </c>
      <c r="D58" s="96" t="s">
        <v>178</v>
      </c>
      <c r="E58" s="2"/>
      <c r="F58" s="2"/>
      <c r="G58" s="2"/>
      <c r="H58" s="2"/>
      <c r="I58" s="2"/>
      <c r="J58" s="2"/>
      <c r="K58" s="2"/>
      <c r="L58" s="2"/>
      <c r="M58" s="2"/>
      <c r="N58" s="2"/>
      <c r="O58" s="2"/>
      <c r="P58" s="2"/>
      <c r="Q58" s="2"/>
      <c r="R58" s="2"/>
      <c r="S58" s="2"/>
      <c r="T58" s="2"/>
      <c r="U58" s="2"/>
      <c r="V58" s="2"/>
      <c r="W58" s="2"/>
      <c r="X58" s="2"/>
      <c r="Y58" s="2"/>
      <c r="Z58" s="2"/>
      <c r="AA58" s="2"/>
    </row>
    <row r="59" spans="1:27" ht="15.75" customHeight="1">
      <c r="A59" s="2"/>
      <c r="B59" s="97" t="s">
        <v>189</v>
      </c>
      <c r="C59" s="95">
        <f>ROUND(((22.02)*(('Entradas Rebanho'!D32)/(Default!C89*'Entradas Rebanho'!$D$34))^0.75*('Entradas Rebanho'!E32)^1.097),3)</f>
        <v>11.401</v>
      </c>
      <c r="D59" s="96" t="s">
        <v>178</v>
      </c>
      <c r="E59" s="2"/>
      <c r="F59" s="2"/>
      <c r="G59" s="2"/>
      <c r="H59" s="2"/>
      <c r="I59" s="2"/>
      <c r="J59" s="2"/>
      <c r="K59" s="2"/>
      <c r="L59" s="2"/>
      <c r="M59" s="2"/>
      <c r="N59" s="2"/>
      <c r="O59" s="2"/>
      <c r="P59" s="2"/>
      <c r="Q59" s="2"/>
      <c r="R59" s="2"/>
      <c r="S59" s="2"/>
      <c r="T59" s="2"/>
      <c r="U59" s="2"/>
      <c r="V59" s="2"/>
      <c r="W59" s="2"/>
      <c r="X59" s="2"/>
      <c r="Y59" s="2"/>
      <c r="Z59" s="2"/>
      <c r="AA59" s="2"/>
    </row>
    <row r="60" spans="1:27" ht="15.75" customHeight="1">
      <c r="A60" s="2"/>
      <c r="B60" s="97" t="s">
        <v>190</v>
      </c>
      <c r="C60" s="95">
        <f>ROUND(((22.02)*(('Entradas Rebanho'!D33)/(Default!C90*'Entradas Rebanho'!$D$34))^0.75*('Entradas Rebanho'!E33)^1.097),3)</f>
        <v>0</v>
      </c>
      <c r="D60" s="96" t="s">
        <v>178</v>
      </c>
      <c r="E60" s="2"/>
      <c r="F60" s="2"/>
      <c r="G60" s="2"/>
      <c r="H60" s="2"/>
      <c r="I60" s="2"/>
      <c r="J60" s="2"/>
      <c r="K60" s="2"/>
      <c r="L60" s="2"/>
      <c r="M60" s="2"/>
      <c r="N60" s="2"/>
      <c r="O60" s="2"/>
      <c r="P60" s="2"/>
      <c r="Q60" s="2"/>
      <c r="R60" s="2"/>
      <c r="S60" s="2"/>
      <c r="T60" s="2"/>
      <c r="U60" s="2"/>
      <c r="V60" s="2"/>
      <c r="W60" s="2"/>
      <c r="X60" s="2"/>
      <c r="Y60" s="2"/>
      <c r="Z60" s="2"/>
      <c r="AA60" s="2"/>
    </row>
    <row r="61" spans="1:27" ht="15.75" customHeight="1">
      <c r="A61" s="2"/>
      <c r="B61" s="97" t="s">
        <v>191</v>
      </c>
      <c r="C61" s="95">
        <f>ROUND(((22.02)*(('Entradas Rebanho'!D34)/(Default!C91*'Entradas Rebanho'!$D$34))^0.75*('Entradas Rebanho'!E34)^1.097),3)</f>
        <v>0</v>
      </c>
      <c r="D61" s="96" t="s">
        <v>178</v>
      </c>
      <c r="E61" s="2"/>
      <c r="F61" s="2"/>
      <c r="G61" s="2"/>
      <c r="H61" s="2"/>
      <c r="I61" s="2"/>
      <c r="J61" s="2"/>
      <c r="K61" s="2"/>
      <c r="L61" s="2"/>
      <c r="M61" s="2"/>
      <c r="N61" s="2"/>
      <c r="O61" s="2"/>
      <c r="P61" s="2"/>
      <c r="Q61" s="2"/>
      <c r="R61" s="2"/>
      <c r="S61" s="2"/>
      <c r="T61" s="2"/>
      <c r="U61" s="2"/>
      <c r="V61" s="2"/>
      <c r="W61" s="2"/>
      <c r="X61" s="2"/>
      <c r="Y61" s="2"/>
      <c r="Z61" s="2"/>
      <c r="AA61" s="2"/>
    </row>
    <row r="62" spans="1:27" ht="15.75" customHeight="1" thickBot="1">
      <c r="A62" s="2"/>
      <c r="B62" s="385" t="s">
        <v>192</v>
      </c>
      <c r="C62" s="386">
        <f>ROUND(((22.02)*(('Entradas Rebanho'!D35)/(Default!C92*'Entradas Rebanho'!$D$35))^0.75*('Entradas Rebanho'!E35)^1.097),3)</f>
        <v>0</v>
      </c>
      <c r="D62" s="387" t="s">
        <v>178</v>
      </c>
      <c r="E62" s="2"/>
      <c r="F62" s="2"/>
      <c r="G62" s="2"/>
      <c r="H62" s="2"/>
      <c r="I62" s="2"/>
      <c r="J62" s="2"/>
      <c r="K62" s="2"/>
      <c r="L62" s="2"/>
      <c r="M62" s="2"/>
      <c r="N62" s="2"/>
      <c r="O62" s="2"/>
      <c r="P62" s="2"/>
      <c r="Q62" s="2"/>
      <c r="R62" s="2"/>
      <c r="S62" s="2"/>
      <c r="T62" s="2"/>
      <c r="U62" s="2"/>
      <c r="V62" s="2"/>
      <c r="W62" s="2"/>
      <c r="X62" s="2"/>
      <c r="Y62" s="2"/>
      <c r="Z62" s="2"/>
      <c r="AA62" s="2"/>
    </row>
    <row r="63" spans="1:27"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5.75" customHeight="1">
      <c r="A65" s="2"/>
      <c r="B65" s="920" t="s">
        <v>197</v>
      </c>
      <c r="C65" s="921"/>
      <c r="D65" s="922"/>
      <c r="E65" s="2"/>
      <c r="F65" s="2"/>
      <c r="G65" s="2"/>
      <c r="H65" s="2"/>
      <c r="I65" s="2"/>
      <c r="J65" s="2"/>
      <c r="K65" s="2"/>
      <c r="L65" s="2"/>
      <c r="M65" s="2"/>
      <c r="N65" s="2"/>
      <c r="O65" s="2"/>
      <c r="P65" s="2"/>
      <c r="Q65" s="2"/>
      <c r="R65" s="2"/>
      <c r="S65" s="2"/>
      <c r="T65" s="2"/>
      <c r="U65" s="2"/>
      <c r="V65" s="2"/>
      <c r="W65" s="2"/>
      <c r="X65" s="2"/>
      <c r="Y65" s="2"/>
      <c r="Z65" s="2"/>
      <c r="AA65" s="2"/>
    </row>
    <row r="66" spans="1:27" ht="15.75" customHeight="1">
      <c r="A66" s="2"/>
      <c r="B66" s="945" t="s">
        <v>198</v>
      </c>
      <c r="C66" s="946"/>
      <c r="D66" s="947"/>
      <c r="E66" s="2"/>
      <c r="F66" s="2"/>
      <c r="G66" s="2"/>
      <c r="H66" s="2"/>
      <c r="I66" s="2"/>
      <c r="J66" s="2"/>
      <c r="K66" s="2"/>
      <c r="L66" s="2"/>
      <c r="M66" s="2"/>
      <c r="N66" s="2"/>
      <c r="O66" s="2"/>
      <c r="P66" s="2"/>
      <c r="Q66" s="2"/>
      <c r="R66" s="2"/>
      <c r="S66" s="2"/>
      <c r="T66" s="2"/>
      <c r="U66" s="2"/>
      <c r="V66" s="2"/>
      <c r="W66" s="2"/>
      <c r="X66" s="2"/>
      <c r="Y66" s="2"/>
      <c r="Z66" s="2"/>
      <c r="AA66" s="2"/>
    </row>
    <row r="67" spans="1:27" ht="15.75" customHeight="1">
      <c r="A67" s="2"/>
      <c r="B67" s="91" t="s">
        <v>174</v>
      </c>
      <c r="C67" s="101" t="s">
        <v>175</v>
      </c>
      <c r="D67" s="93" t="s">
        <v>176</v>
      </c>
      <c r="E67" s="2"/>
      <c r="F67" s="2"/>
      <c r="G67" s="2"/>
      <c r="H67" s="2"/>
      <c r="I67" s="2"/>
      <c r="J67" s="2"/>
      <c r="K67" s="2"/>
      <c r="L67" s="2"/>
      <c r="M67" s="2"/>
      <c r="N67" s="2"/>
      <c r="O67" s="2"/>
      <c r="P67" s="2"/>
      <c r="Q67" s="2"/>
      <c r="R67" s="2"/>
      <c r="S67" s="2"/>
      <c r="T67" s="2"/>
      <c r="U67" s="2"/>
      <c r="V67" s="2"/>
      <c r="W67" s="2"/>
      <c r="X67" s="2"/>
      <c r="Y67" s="2"/>
      <c r="Z67" s="2"/>
      <c r="AA67" s="2"/>
    </row>
    <row r="68" spans="1:27" ht="15.75" customHeight="1">
      <c r="A68" s="2"/>
      <c r="B68" s="94" t="s">
        <v>177</v>
      </c>
      <c r="C68" s="95">
        <v>0</v>
      </c>
      <c r="D68" s="103" t="s">
        <v>178</v>
      </c>
      <c r="E68" s="2"/>
      <c r="F68" s="2"/>
      <c r="G68" s="2"/>
      <c r="H68" s="2"/>
      <c r="I68" s="2"/>
      <c r="J68" s="2"/>
      <c r="K68" s="2"/>
      <c r="L68" s="2"/>
      <c r="M68" s="2"/>
      <c r="N68" s="2"/>
      <c r="O68" s="2"/>
      <c r="P68" s="2"/>
      <c r="Q68" s="2"/>
      <c r="R68" s="2"/>
      <c r="S68" s="2"/>
      <c r="T68" s="2"/>
      <c r="U68" s="2"/>
      <c r="V68" s="2"/>
      <c r="W68" s="2"/>
      <c r="X68" s="2"/>
      <c r="Y68" s="2"/>
      <c r="Z68" s="2"/>
      <c r="AA68" s="2"/>
    </row>
    <row r="69" spans="1:27" ht="15.75" customHeight="1">
      <c r="A69" s="2"/>
      <c r="B69" s="94" t="s">
        <v>179</v>
      </c>
      <c r="C69" s="95">
        <v>0</v>
      </c>
      <c r="D69" s="96" t="s">
        <v>178</v>
      </c>
      <c r="E69" s="2"/>
      <c r="F69" s="2"/>
      <c r="G69" s="2"/>
      <c r="H69" s="2"/>
      <c r="I69" s="2"/>
      <c r="J69" s="2"/>
      <c r="K69" s="2"/>
      <c r="L69" s="2"/>
      <c r="M69" s="2"/>
      <c r="N69" s="2"/>
      <c r="O69" s="2"/>
      <c r="P69" s="2"/>
      <c r="Q69" s="2"/>
      <c r="R69" s="2"/>
      <c r="S69" s="2"/>
      <c r="T69" s="2"/>
      <c r="U69" s="2"/>
      <c r="V69" s="2"/>
      <c r="W69" s="2"/>
      <c r="X69" s="2"/>
      <c r="Y69" s="2"/>
      <c r="Z69" s="2"/>
      <c r="AA69" s="2"/>
    </row>
    <row r="70" spans="1:27" ht="15.75" customHeight="1">
      <c r="A70" s="2"/>
      <c r="B70" s="94" t="s">
        <v>180</v>
      </c>
      <c r="C70" s="95">
        <v>0</v>
      </c>
      <c r="D70" s="96" t="s">
        <v>178</v>
      </c>
      <c r="E70" s="2"/>
      <c r="F70" s="2"/>
      <c r="G70" s="2"/>
      <c r="H70" s="2"/>
      <c r="I70" s="2"/>
      <c r="J70" s="2"/>
      <c r="K70" s="2"/>
      <c r="L70" s="2"/>
      <c r="M70" s="2"/>
      <c r="N70" s="2"/>
      <c r="O70" s="2"/>
      <c r="P70" s="2"/>
      <c r="Q70" s="2"/>
      <c r="R70" s="2"/>
      <c r="S70" s="2"/>
      <c r="T70" s="2"/>
      <c r="U70" s="2"/>
      <c r="V70" s="2"/>
      <c r="W70" s="2"/>
      <c r="X70" s="2"/>
      <c r="Y70" s="2"/>
      <c r="Z70" s="2"/>
      <c r="AA70" s="2"/>
    </row>
    <row r="71" spans="1:27" ht="15.75" customHeight="1">
      <c r="A71" s="2"/>
      <c r="B71" s="97" t="s">
        <v>181</v>
      </c>
      <c r="C71" s="95">
        <v>0</v>
      </c>
      <c r="D71" s="96" t="s">
        <v>178</v>
      </c>
      <c r="E71" s="2"/>
      <c r="F71" s="2"/>
      <c r="G71" s="2"/>
      <c r="H71" s="2"/>
      <c r="I71" s="2"/>
      <c r="J71" s="2"/>
      <c r="K71" s="2"/>
      <c r="L71" s="2"/>
      <c r="M71" s="2"/>
      <c r="N71" s="2"/>
      <c r="O71" s="2"/>
      <c r="P71" s="2"/>
      <c r="Q71" s="2"/>
      <c r="R71" s="2"/>
      <c r="S71" s="2"/>
      <c r="T71" s="2"/>
      <c r="U71" s="2"/>
      <c r="V71" s="2"/>
      <c r="W71" s="2"/>
      <c r="X71" s="2"/>
      <c r="Y71" s="2"/>
      <c r="Z71" s="2"/>
      <c r="AA71" s="2"/>
    </row>
    <row r="72" spans="1:27" ht="15.75" customHeight="1">
      <c r="A72" s="2"/>
      <c r="B72" s="97" t="s">
        <v>182</v>
      </c>
      <c r="C72" s="95">
        <v>0</v>
      </c>
      <c r="D72" s="96" t="s">
        <v>178</v>
      </c>
      <c r="E72" s="2"/>
      <c r="F72" s="2"/>
      <c r="G72" s="2"/>
      <c r="H72" s="2"/>
      <c r="I72" s="2"/>
      <c r="J72" s="2"/>
      <c r="K72" s="2"/>
      <c r="L72" s="2"/>
      <c r="M72" s="2"/>
      <c r="N72" s="2"/>
      <c r="O72" s="2"/>
      <c r="P72" s="2"/>
      <c r="Q72" s="2"/>
      <c r="R72" s="2"/>
      <c r="S72" s="2"/>
      <c r="T72" s="2"/>
      <c r="U72" s="2"/>
      <c r="V72" s="2"/>
      <c r="W72" s="2"/>
      <c r="X72" s="2"/>
      <c r="Y72" s="2"/>
      <c r="Z72" s="2"/>
      <c r="AA72" s="2"/>
    </row>
    <row r="73" spans="1:27" ht="15.75" customHeight="1">
      <c r="A73" s="2"/>
      <c r="B73" s="97" t="s">
        <v>183</v>
      </c>
      <c r="C73" s="95">
        <v>0</v>
      </c>
      <c r="D73" s="96" t="s">
        <v>178</v>
      </c>
      <c r="E73" s="2"/>
      <c r="F73" s="2"/>
      <c r="G73" s="2"/>
      <c r="H73" s="2"/>
      <c r="I73" s="2"/>
      <c r="J73" s="2"/>
      <c r="K73" s="2"/>
      <c r="L73" s="2"/>
      <c r="M73" s="2"/>
      <c r="N73" s="2"/>
      <c r="O73" s="2"/>
      <c r="P73" s="2"/>
      <c r="Q73" s="2"/>
      <c r="R73" s="2"/>
      <c r="S73" s="2"/>
      <c r="T73" s="2"/>
      <c r="U73" s="2"/>
      <c r="V73" s="2"/>
      <c r="W73" s="2"/>
      <c r="X73" s="2"/>
      <c r="Y73" s="2"/>
      <c r="Z73" s="2"/>
      <c r="AA73" s="2"/>
    </row>
    <row r="74" spans="1:27" ht="15.75" customHeight="1">
      <c r="A74" s="2"/>
      <c r="B74" s="97" t="s">
        <v>184</v>
      </c>
      <c r="C74" s="95">
        <v>0</v>
      </c>
      <c r="D74" s="96" t="s">
        <v>178</v>
      </c>
      <c r="E74" s="2"/>
      <c r="F74" s="2"/>
      <c r="G74" s="2"/>
      <c r="H74" s="2"/>
      <c r="I74" s="2"/>
      <c r="J74" s="2"/>
      <c r="K74" s="2"/>
      <c r="L74" s="2"/>
      <c r="M74" s="2"/>
      <c r="N74" s="2"/>
      <c r="O74" s="2"/>
      <c r="P74" s="2"/>
      <c r="Q74" s="2"/>
      <c r="R74" s="2"/>
      <c r="S74" s="2"/>
      <c r="T74" s="2"/>
      <c r="U74" s="2"/>
      <c r="V74" s="2"/>
      <c r="W74" s="2"/>
      <c r="X74" s="2"/>
      <c r="Y74" s="2"/>
      <c r="Z74" s="2"/>
      <c r="AA74" s="2"/>
    </row>
    <row r="75" spans="1:27" ht="15.75" customHeight="1">
      <c r="A75" s="2"/>
      <c r="B75" s="97" t="s">
        <v>185</v>
      </c>
      <c r="C75" s="95">
        <v>0</v>
      </c>
      <c r="D75" s="96" t="s">
        <v>178</v>
      </c>
      <c r="E75" s="2"/>
      <c r="F75" s="2"/>
      <c r="G75" s="2"/>
      <c r="H75" s="2"/>
      <c r="I75" s="2"/>
      <c r="J75" s="2"/>
      <c r="K75" s="2"/>
      <c r="L75" s="2"/>
      <c r="M75" s="2"/>
      <c r="N75" s="2"/>
      <c r="O75" s="2"/>
      <c r="P75" s="2"/>
      <c r="Q75" s="2"/>
      <c r="R75" s="2"/>
      <c r="S75" s="2"/>
      <c r="T75" s="2"/>
      <c r="U75" s="2"/>
      <c r="V75" s="2"/>
      <c r="W75" s="2"/>
      <c r="X75" s="2"/>
      <c r="Y75" s="2"/>
      <c r="Z75" s="2"/>
      <c r="AA75" s="2"/>
    </row>
    <row r="76" spans="1:27" ht="15.75" customHeight="1">
      <c r="A76" s="2"/>
      <c r="B76" s="97" t="s">
        <v>186</v>
      </c>
      <c r="C76" s="95">
        <v>0</v>
      </c>
      <c r="D76" s="96" t="s">
        <v>178</v>
      </c>
      <c r="E76" s="2"/>
      <c r="F76" s="2"/>
      <c r="G76" s="2"/>
      <c r="H76" s="2"/>
      <c r="I76" s="2"/>
      <c r="J76" s="2"/>
      <c r="K76" s="2"/>
      <c r="L76" s="2"/>
      <c r="M76" s="2"/>
      <c r="N76" s="2"/>
      <c r="O76" s="2"/>
      <c r="P76" s="2"/>
      <c r="Q76" s="2"/>
      <c r="R76" s="2"/>
      <c r="S76" s="2"/>
      <c r="T76" s="2"/>
      <c r="U76" s="2"/>
      <c r="V76" s="2"/>
      <c r="W76" s="2"/>
      <c r="X76" s="2"/>
      <c r="Y76" s="2"/>
      <c r="Z76" s="2"/>
      <c r="AA76" s="2"/>
    </row>
    <row r="77" spans="1:27" ht="15.75" customHeight="1">
      <c r="A77" s="2"/>
      <c r="B77" s="97" t="s">
        <v>187</v>
      </c>
      <c r="C77" s="95">
        <v>0</v>
      </c>
      <c r="D77" s="96" t="s">
        <v>178</v>
      </c>
      <c r="E77" s="2"/>
      <c r="F77" s="2"/>
      <c r="G77" s="2"/>
      <c r="H77" s="2"/>
      <c r="I77" s="2"/>
      <c r="J77" s="2"/>
      <c r="K77" s="2"/>
      <c r="L77" s="2"/>
      <c r="M77" s="2"/>
      <c r="N77" s="2"/>
      <c r="O77" s="2"/>
      <c r="P77" s="2"/>
      <c r="Q77" s="2"/>
      <c r="R77" s="2"/>
      <c r="S77" s="2"/>
      <c r="T77" s="2"/>
      <c r="U77" s="2"/>
      <c r="V77" s="2"/>
      <c r="W77" s="2"/>
      <c r="X77" s="2"/>
      <c r="Y77" s="2"/>
      <c r="Z77" s="2"/>
      <c r="AA77" s="2"/>
    </row>
    <row r="78" spans="1:27" ht="15.75" customHeight="1">
      <c r="A78" s="2"/>
      <c r="B78" s="97" t="s">
        <v>188</v>
      </c>
      <c r="C78" s="95">
        <v>0</v>
      </c>
      <c r="D78" s="96" t="s">
        <v>178</v>
      </c>
      <c r="E78" s="2"/>
      <c r="F78" s="2"/>
      <c r="G78" s="2"/>
      <c r="H78" s="2"/>
      <c r="I78" s="2"/>
      <c r="J78" s="2"/>
      <c r="K78" s="2"/>
      <c r="L78" s="2"/>
      <c r="M78" s="2"/>
      <c r="N78" s="2"/>
      <c r="O78" s="2"/>
      <c r="P78" s="2"/>
      <c r="Q78" s="2"/>
      <c r="R78" s="2"/>
      <c r="S78" s="2"/>
      <c r="T78" s="2"/>
      <c r="U78" s="2"/>
      <c r="V78" s="2"/>
      <c r="W78" s="2"/>
      <c r="X78" s="2"/>
      <c r="Y78" s="2"/>
      <c r="Z78" s="2"/>
      <c r="AA78" s="2"/>
    </row>
    <row r="79" spans="1:27" ht="15.75" customHeight="1">
      <c r="A79" s="2"/>
      <c r="B79" s="97" t="s">
        <v>189</v>
      </c>
      <c r="C79" s="95">
        <v>0</v>
      </c>
      <c r="D79" s="96" t="s">
        <v>178</v>
      </c>
      <c r="E79" s="2"/>
      <c r="F79" s="2"/>
      <c r="G79" s="2"/>
      <c r="H79" s="2"/>
      <c r="I79" s="2"/>
      <c r="J79" s="2"/>
      <c r="K79" s="2"/>
      <c r="L79" s="2"/>
      <c r="M79" s="2"/>
      <c r="N79" s="2"/>
      <c r="O79" s="2"/>
      <c r="P79" s="2"/>
      <c r="Q79" s="2"/>
      <c r="R79" s="2"/>
      <c r="S79" s="2"/>
      <c r="T79" s="2"/>
      <c r="U79" s="2"/>
      <c r="V79" s="2"/>
      <c r="W79" s="2"/>
      <c r="X79" s="2"/>
      <c r="Y79" s="2"/>
      <c r="Z79" s="2"/>
      <c r="AA79" s="2"/>
    </row>
    <row r="80" spans="1:27" ht="15.75" customHeight="1">
      <c r="A80" s="2"/>
      <c r="B80" s="97" t="s">
        <v>190</v>
      </c>
      <c r="C80" s="95">
        <v>0</v>
      </c>
      <c r="D80" s="96" t="s">
        <v>178</v>
      </c>
      <c r="E80" s="2"/>
      <c r="F80" s="2"/>
      <c r="G80" s="2"/>
      <c r="H80" s="2"/>
      <c r="I80" s="2"/>
      <c r="J80" s="2"/>
      <c r="K80" s="2"/>
      <c r="L80" s="2"/>
      <c r="M80" s="2"/>
      <c r="N80" s="2"/>
      <c r="O80" s="2"/>
      <c r="P80" s="2"/>
      <c r="Q80" s="2"/>
      <c r="R80" s="2"/>
      <c r="S80" s="2"/>
      <c r="T80" s="2"/>
      <c r="U80" s="2"/>
      <c r="V80" s="2"/>
      <c r="W80" s="2"/>
      <c r="X80" s="2"/>
      <c r="Y80" s="2"/>
      <c r="Z80" s="2"/>
      <c r="AA80" s="2"/>
    </row>
    <row r="81" spans="1:27" ht="15.75" customHeight="1">
      <c r="A81" s="2"/>
      <c r="B81" s="97" t="s">
        <v>191</v>
      </c>
      <c r="C81" s="95">
        <f>ROUND(('Entradas Rebanho'!G34)*(1.47+(0.4*4.9)),3)</f>
        <v>13.72</v>
      </c>
      <c r="D81" s="96" t="s">
        <v>178</v>
      </c>
      <c r="E81" s="2"/>
      <c r="F81" s="2"/>
      <c r="G81" s="2"/>
      <c r="H81" s="2"/>
      <c r="I81" s="2"/>
      <c r="J81" s="2"/>
      <c r="K81" s="2"/>
      <c r="L81" s="2"/>
      <c r="M81" s="2"/>
      <c r="N81" s="2"/>
      <c r="O81" s="2"/>
      <c r="P81" s="2"/>
      <c r="Q81" s="2"/>
      <c r="R81" s="2"/>
      <c r="S81" s="2"/>
      <c r="T81" s="2"/>
      <c r="U81" s="2"/>
      <c r="V81" s="2"/>
      <c r="W81" s="2"/>
      <c r="X81" s="2"/>
      <c r="Y81" s="2"/>
      <c r="Z81" s="2"/>
      <c r="AA81" s="2"/>
    </row>
    <row r="82" spans="1:27" ht="15.75" customHeight="1">
      <c r="A82" s="2"/>
      <c r="B82" s="98" t="s">
        <v>192</v>
      </c>
      <c r="C82" s="99">
        <v>0</v>
      </c>
      <c r="D82" s="100" t="s">
        <v>178</v>
      </c>
      <c r="E82" s="2"/>
      <c r="F82" s="2"/>
      <c r="G82" s="2"/>
      <c r="H82" s="2"/>
      <c r="I82" s="2"/>
      <c r="J82" s="2"/>
      <c r="K82" s="2"/>
      <c r="L82" s="2"/>
      <c r="M82" s="2"/>
      <c r="N82" s="2"/>
      <c r="O82" s="2"/>
      <c r="P82" s="2"/>
      <c r="Q82" s="2"/>
      <c r="R82" s="2"/>
      <c r="S82" s="2"/>
      <c r="T82" s="2"/>
      <c r="U82" s="2"/>
      <c r="V82" s="2"/>
      <c r="W82" s="2"/>
      <c r="X82" s="2"/>
      <c r="Y82" s="2"/>
      <c r="Z82" s="2"/>
      <c r="AA82" s="2"/>
    </row>
    <row r="83" spans="1:27"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75" customHeight="1">
      <c r="A85" s="2"/>
      <c r="B85" s="920" t="s">
        <v>199</v>
      </c>
      <c r="C85" s="921"/>
      <c r="D85" s="922"/>
      <c r="E85" s="2"/>
      <c r="F85" s="2"/>
      <c r="G85" s="2"/>
      <c r="H85" s="2"/>
      <c r="I85" s="2"/>
      <c r="J85" s="2"/>
      <c r="K85" s="2"/>
      <c r="L85" s="2"/>
      <c r="M85" s="2"/>
      <c r="N85" s="2"/>
      <c r="O85" s="2"/>
      <c r="P85" s="2"/>
      <c r="Q85" s="2"/>
      <c r="R85" s="2"/>
      <c r="S85" s="2"/>
      <c r="T85" s="2"/>
      <c r="U85" s="2"/>
      <c r="V85" s="2"/>
      <c r="W85" s="2"/>
      <c r="X85" s="2"/>
      <c r="Y85" s="2"/>
      <c r="Z85" s="2"/>
      <c r="AA85" s="2"/>
    </row>
    <row r="86" spans="1:27" ht="15.75" customHeight="1">
      <c r="A86" s="2"/>
      <c r="B86" s="945" t="s">
        <v>200</v>
      </c>
      <c r="C86" s="946"/>
      <c r="D86" s="947"/>
      <c r="E86" s="2"/>
      <c r="F86" s="2"/>
      <c r="G86" s="2"/>
      <c r="H86" s="2"/>
      <c r="I86" s="2"/>
      <c r="J86" s="2"/>
      <c r="K86" s="2"/>
      <c r="L86" s="2"/>
      <c r="M86" s="2"/>
      <c r="N86" s="2"/>
      <c r="O86" s="2"/>
      <c r="P86" s="2"/>
      <c r="Q86" s="2"/>
      <c r="R86" s="2"/>
      <c r="S86" s="2"/>
      <c r="T86" s="2"/>
      <c r="U86" s="2"/>
      <c r="V86" s="2"/>
      <c r="W86" s="2"/>
      <c r="X86" s="2"/>
      <c r="Y86" s="2"/>
      <c r="Z86" s="2"/>
      <c r="AA86" s="2"/>
    </row>
    <row r="87" spans="1:27" ht="15.75" customHeight="1">
      <c r="A87" s="2"/>
      <c r="B87" s="91" t="s">
        <v>174</v>
      </c>
      <c r="C87" s="101" t="s">
        <v>175</v>
      </c>
      <c r="D87" s="93" t="s">
        <v>176</v>
      </c>
      <c r="E87" s="2"/>
      <c r="F87" s="2"/>
      <c r="G87" s="2"/>
      <c r="H87" s="2"/>
      <c r="I87" s="2"/>
      <c r="J87" s="2"/>
      <c r="K87" s="2"/>
      <c r="L87" s="2"/>
      <c r="M87" s="2"/>
      <c r="N87" s="2"/>
      <c r="O87" s="2"/>
      <c r="P87" s="2"/>
      <c r="Q87" s="2"/>
      <c r="R87" s="2"/>
      <c r="S87" s="2"/>
      <c r="T87" s="2"/>
      <c r="U87" s="2"/>
      <c r="V87" s="2"/>
      <c r="W87" s="2"/>
      <c r="X87" s="2"/>
      <c r="Y87" s="2"/>
      <c r="Z87" s="2"/>
      <c r="AA87" s="2"/>
    </row>
    <row r="88" spans="1:27" ht="15.75" customHeight="1">
      <c r="A88" s="2"/>
      <c r="B88" s="94" t="s">
        <v>177</v>
      </c>
      <c r="C88" s="29">
        <f t="shared" ref="C88:C102" si="0">0.1*C8*0</f>
        <v>0</v>
      </c>
      <c r="D88" s="103" t="s">
        <v>178</v>
      </c>
      <c r="E88" s="2"/>
      <c r="F88" s="2"/>
      <c r="G88" s="2"/>
      <c r="H88" s="2"/>
      <c r="I88" s="2"/>
      <c r="J88" s="2"/>
      <c r="K88" s="2"/>
      <c r="L88" s="2"/>
      <c r="M88" s="2"/>
      <c r="N88" s="2"/>
      <c r="O88" s="2"/>
      <c r="P88" s="2"/>
      <c r="Q88" s="2"/>
      <c r="R88" s="2"/>
      <c r="S88" s="2"/>
      <c r="T88" s="2"/>
      <c r="U88" s="2"/>
      <c r="V88" s="2"/>
      <c r="W88" s="2"/>
      <c r="X88" s="2"/>
      <c r="Y88" s="2"/>
      <c r="Z88" s="2"/>
      <c r="AA88" s="2"/>
    </row>
    <row r="89" spans="1:27" ht="15.75" customHeight="1">
      <c r="A89" s="2"/>
      <c r="B89" s="94" t="s">
        <v>179</v>
      </c>
      <c r="C89" s="29">
        <f t="shared" si="0"/>
        <v>0</v>
      </c>
      <c r="D89" s="96" t="s">
        <v>178</v>
      </c>
      <c r="E89" s="2"/>
      <c r="F89" s="2"/>
      <c r="G89" s="2"/>
      <c r="H89" s="2"/>
      <c r="I89" s="2"/>
      <c r="J89" s="2"/>
      <c r="K89" s="2"/>
      <c r="L89" s="2"/>
      <c r="M89" s="2"/>
      <c r="N89" s="2"/>
      <c r="O89" s="2"/>
      <c r="P89" s="2"/>
      <c r="Q89" s="2"/>
      <c r="R89" s="2"/>
      <c r="S89" s="2"/>
      <c r="T89" s="2"/>
      <c r="U89" s="2"/>
      <c r="V89" s="2"/>
      <c r="W89" s="2"/>
      <c r="X89" s="2"/>
      <c r="Y89" s="2"/>
      <c r="Z89" s="2"/>
      <c r="AA89" s="2"/>
    </row>
    <row r="90" spans="1:27" ht="15.75" customHeight="1">
      <c r="A90" s="2"/>
      <c r="B90" s="94" t="s">
        <v>180</v>
      </c>
      <c r="C90" s="29">
        <f t="shared" si="0"/>
        <v>0</v>
      </c>
      <c r="D90" s="96" t="s">
        <v>178</v>
      </c>
      <c r="E90" s="2"/>
      <c r="F90" s="2"/>
      <c r="G90" s="2"/>
      <c r="H90" s="2"/>
      <c r="I90" s="2"/>
      <c r="J90" s="2"/>
      <c r="K90" s="2"/>
      <c r="L90" s="2"/>
      <c r="M90" s="2"/>
      <c r="N90" s="2"/>
      <c r="O90" s="2"/>
      <c r="P90" s="2"/>
      <c r="Q90" s="2"/>
      <c r="R90" s="2"/>
      <c r="S90" s="2"/>
      <c r="T90" s="2"/>
      <c r="U90" s="2"/>
      <c r="V90" s="2"/>
      <c r="W90" s="2"/>
      <c r="X90" s="2"/>
      <c r="Y90" s="2"/>
      <c r="Z90" s="2"/>
      <c r="AA90" s="2"/>
    </row>
    <row r="91" spans="1:27" ht="15.75" customHeight="1">
      <c r="A91" s="2"/>
      <c r="B91" s="97" t="s">
        <v>181</v>
      </c>
      <c r="C91" s="29">
        <f t="shared" si="0"/>
        <v>0</v>
      </c>
      <c r="D91" s="96" t="s">
        <v>178</v>
      </c>
      <c r="E91" s="2"/>
      <c r="F91" s="2"/>
      <c r="G91" s="2"/>
      <c r="H91" s="2"/>
      <c r="I91" s="2"/>
      <c r="J91" s="2"/>
      <c r="K91" s="2"/>
      <c r="L91" s="2"/>
      <c r="M91" s="2"/>
      <c r="N91" s="2"/>
      <c r="O91" s="2"/>
      <c r="P91" s="2"/>
      <c r="Q91" s="2"/>
      <c r="R91" s="2"/>
      <c r="S91" s="2"/>
      <c r="T91" s="2"/>
      <c r="U91" s="2"/>
      <c r="V91" s="2"/>
      <c r="W91" s="2"/>
      <c r="X91" s="2"/>
      <c r="Y91" s="2"/>
      <c r="Z91" s="2"/>
      <c r="AA91" s="2"/>
    </row>
    <row r="92" spans="1:27" ht="15.75" customHeight="1">
      <c r="A92" s="2"/>
      <c r="B92" s="97" t="s">
        <v>182</v>
      </c>
      <c r="C92" s="29">
        <f t="shared" si="0"/>
        <v>0</v>
      </c>
      <c r="D92" s="96" t="s">
        <v>178</v>
      </c>
      <c r="E92" s="2"/>
      <c r="F92" s="2"/>
      <c r="G92" s="2"/>
      <c r="H92" s="2"/>
      <c r="I92" s="2"/>
      <c r="J92" s="2"/>
      <c r="K92" s="2"/>
      <c r="L92" s="2"/>
      <c r="M92" s="2"/>
      <c r="N92" s="2"/>
      <c r="O92" s="2"/>
      <c r="P92" s="2"/>
      <c r="Q92" s="2"/>
      <c r="R92" s="2"/>
      <c r="S92" s="2"/>
      <c r="T92" s="2"/>
      <c r="U92" s="2"/>
      <c r="V92" s="2"/>
      <c r="W92" s="2"/>
      <c r="X92" s="2"/>
      <c r="Y92" s="2"/>
      <c r="Z92" s="2"/>
      <c r="AA92" s="2"/>
    </row>
    <row r="93" spans="1:27" ht="15.75" customHeight="1">
      <c r="A93" s="2"/>
      <c r="B93" s="97" t="s">
        <v>183</v>
      </c>
      <c r="C93" s="29">
        <f t="shared" si="0"/>
        <v>0</v>
      </c>
      <c r="D93" s="96" t="s">
        <v>178</v>
      </c>
      <c r="E93" s="2"/>
      <c r="F93" s="2"/>
      <c r="G93" s="2"/>
      <c r="H93" s="2"/>
      <c r="I93" s="2"/>
      <c r="J93" s="2"/>
      <c r="K93" s="2"/>
      <c r="L93" s="2"/>
      <c r="M93" s="2"/>
      <c r="N93" s="2"/>
      <c r="O93" s="2"/>
      <c r="P93" s="2"/>
      <c r="Q93" s="2"/>
      <c r="R93" s="2"/>
      <c r="S93" s="2"/>
      <c r="T93" s="2"/>
      <c r="U93" s="2"/>
      <c r="V93" s="2"/>
      <c r="W93" s="2"/>
      <c r="X93" s="2"/>
      <c r="Y93" s="2"/>
      <c r="Z93" s="2"/>
      <c r="AA93" s="2"/>
    </row>
    <row r="94" spans="1:27" ht="15.75" customHeight="1">
      <c r="A94" s="2"/>
      <c r="B94" s="97" t="s">
        <v>184</v>
      </c>
      <c r="C94" s="29">
        <f t="shared" si="0"/>
        <v>0</v>
      </c>
      <c r="D94" s="96" t="s">
        <v>178</v>
      </c>
      <c r="E94" s="2"/>
      <c r="F94" s="2"/>
      <c r="G94" s="2"/>
      <c r="H94" s="2"/>
      <c r="I94" s="2"/>
      <c r="J94" s="2"/>
      <c r="K94" s="2"/>
      <c r="L94" s="2"/>
      <c r="M94" s="2"/>
      <c r="N94" s="2"/>
      <c r="O94" s="2"/>
      <c r="P94" s="2"/>
      <c r="Q94" s="2"/>
      <c r="R94" s="2"/>
      <c r="S94" s="2"/>
      <c r="T94" s="2"/>
      <c r="U94" s="2"/>
      <c r="V94" s="2"/>
      <c r="W94" s="2"/>
      <c r="X94" s="2"/>
      <c r="Y94" s="2"/>
      <c r="Z94" s="2"/>
      <c r="AA94" s="2"/>
    </row>
    <row r="95" spans="1:27" ht="15.75" customHeight="1">
      <c r="A95" s="2"/>
      <c r="B95" s="97" t="s">
        <v>185</v>
      </c>
      <c r="C95" s="29">
        <f t="shared" si="0"/>
        <v>0</v>
      </c>
      <c r="D95" s="96" t="s">
        <v>178</v>
      </c>
      <c r="E95" s="2"/>
      <c r="F95" s="2"/>
      <c r="G95" s="2"/>
      <c r="H95" s="2"/>
      <c r="I95" s="2"/>
      <c r="J95" s="2"/>
      <c r="K95" s="2"/>
      <c r="L95" s="2"/>
      <c r="M95" s="2"/>
      <c r="N95" s="2"/>
      <c r="O95" s="2"/>
      <c r="P95" s="2"/>
      <c r="Q95" s="2"/>
      <c r="R95" s="2"/>
      <c r="S95" s="2"/>
      <c r="T95" s="2"/>
      <c r="U95" s="2"/>
      <c r="V95" s="2"/>
      <c r="W95" s="2"/>
      <c r="X95" s="2"/>
      <c r="Y95" s="2"/>
      <c r="Z95" s="2"/>
      <c r="AA95" s="2"/>
    </row>
    <row r="96" spans="1:27" ht="15.75" customHeight="1">
      <c r="A96" s="2"/>
      <c r="B96" s="97" t="s">
        <v>186</v>
      </c>
      <c r="C96" s="29">
        <f t="shared" si="0"/>
        <v>0</v>
      </c>
      <c r="D96" s="96" t="s">
        <v>178</v>
      </c>
      <c r="E96" s="2"/>
      <c r="F96" s="2"/>
      <c r="G96" s="2"/>
      <c r="H96" s="2"/>
      <c r="I96" s="2"/>
      <c r="J96" s="2"/>
      <c r="K96" s="2"/>
      <c r="L96" s="2"/>
      <c r="M96" s="2"/>
      <c r="N96" s="2"/>
      <c r="O96" s="2"/>
      <c r="P96" s="2"/>
      <c r="Q96" s="2"/>
      <c r="R96" s="2"/>
      <c r="S96" s="2"/>
      <c r="T96" s="2"/>
      <c r="U96" s="2"/>
      <c r="V96" s="2"/>
      <c r="W96" s="2"/>
      <c r="X96" s="2"/>
      <c r="Y96" s="2"/>
      <c r="Z96" s="2"/>
      <c r="AA96" s="2"/>
    </row>
    <row r="97" spans="1:27" ht="15.75" customHeight="1">
      <c r="A97" s="2"/>
      <c r="B97" s="97" t="s">
        <v>187</v>
      </c>
      <c r="C97" s="29">
        <f t="shared" si="0"/>
        <v>0</v>
      </c>
      <c r="D97" s="96" t="s">
        <v>178</v>
      </c>
      <c r="E97" s="2"/>
      <c r="F97" s="2"/>
      <c r="G97" s="2"/>
      <c r="H97" s="2"/>
      <c r="I97" s="2"/>
      <c r="J97" s="2"/>
      <c r="K97" s="2"/>
      <c r="L97" s="2"/>
      <c r="M97" s="2"/>
      <c r="N97" s="2"/>
      <c r="O97" s="2"/>
      <c r="P97" s="2"/>
      <c r="Q97" s="2"/>
      <c r="R97" s="2"/>
      <c r="S97" s="2"/>
      <c r="T97" s="2"/>
      <c r="U97" s="2"/>
      <c r="V97" s="2"/>
      <c r="W97" s="2"/>
      <c r="X97" s="2"/>
      <c r="Y97" s="2"/>
      <c r="Z97" s="2"/>
      <c r="AA97" s="2"/>
    </row>
    <row r="98" spans="1:27" ht="15.75" customHeight="1">
      <c r="A98" s="2"/>
      <c r="B98" s="97" t="s">
        <v>188</v>
      </c>
      <c r="C98" s="29">
        <f t="shared" si="0"/>
        <v>0</v>
      </c>
      <c r="D98" s="96" t="s">
        <v>178</v>
      </c>
      <c r="E98" s="2"/>
      <c r="F98" s="2"/>
      <c r="G98" s="2"/>
      <c r="H98" s="2"/>
      <c r="I98" s="2"/>
      <c r="J98" s="2"/>
      <c r="K98" s="2"/>
      <c r="L98" s="2"/>
      <c r="M98" s="2"/>
      <c r="N98" s="2"/>
      <c r="O98" s="2"/>
      <c r="P98" s="2"/>
      <c r="Q98" s="2"/>
      <c r="R98" s="2"/>
      <c r="S98" s="2"/>
      <c r="T98" s="2"/>
      <c r="U98" s="2"/>
      <c r="V98" s="2"/>
      <c r="W98" s="2"/>
      <c r="X98" s="2"/>
      <c r="Y98" s="2"/>
      <c r="Z98" s="2"/>
      <c r="AA98" s="2"/>
    </row>
    <row r="99" spans="1:27" ht="15.75" customHeight="1">
      <c r="A99" s="2"/>
      <c r="B99" s="97" t="s">
        <v>189</v>
      </c>
      <c r="C99" s="29">
        <f t="shared" si="0"/>
        <v>0</v>
      </c>
      <c r="D99" s="96" t="s">
        <v>178</v>
      </c>
      <c r="E99" s="2"/>
      <c r="F99" s="2"/>
      <c r="G99" s="2"/>
      <c r="H99" s="2"/>
      <c r="I99" s="2"/>
      <c r="J99" s="2"/>
      <c r="K99" s="2"/>
      <c r="L99" s="2"/>
      <c r="M99" s="2"/>
      <c r="N99" s="2"/>
      <c r="O99" s="2"/>
      <c r="P99" s="2"/>
      <c r="Q99" s="2"/>
      <c r="R99" s="2"/>
      <c r="S99" s="2"/>
      <c r="T99" s="2"/>
      <c r="U99" s="2"/>
      <c r="V99" s="2"/>
      <c r="W99" s="2"/>
      <c r="X99" s="2"/>
      <c r="Y99" s="2"/>
      <c r="Z99" s="2"/>
      <c r="AA99" s="2"/>
    </row>
    <row r="100" spans="1:27" ht="15.75" customHeight="1">
      <c r="A100" s="2"/>
      <c r="B100" s="97" t="s">
        <v>190</v>
      </c>
      <c r="C100" s="29">
        <f t="shared" si="0"/>
        <v>0</v>
      </c>
      <c r="D100" s="96" t="s">
        <v>178</v>
      </c>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75" customHeight="1">
      <c r="A101" s="2"/>
      <c r="B101" s="97" t="s">
        <v>191</v>
      </c>
      <c r="C101" s="29">
        <f t="shared" si="0"/>
        <v>0</v>
      </c>
      <c r="D101" s="96" t="s">
        <v>178</v>
      </c>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75" customHeight="1">
      <c r="A102" s="2"/>
      <c r="B102" s="98" t="s">
        <v>192</v>
      </c>
      <c r="C102" s="105">
        <f t="shared" si="0"/>
        <v>0</v>
      </c>
      <c r="D102" s="100" t="s">
        <v>178</v>
      </c>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75" customHeight="1">
      <c r="A105" s="2"/>
      <c r="B105" s="920" t="s">
        <v>201</v>
      </c>
      <c r="C105" s="921"/>
      <c r="D105" s="92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75" customHeight="1">
      <c r="A106" s="2"/>
      <c r="B106" s="945" t="s">
        <v>202</v>
      </c>
      <c r="C106" s="946"/>
      <c r="D106" s="947"/>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75" customHeight="1">
      <c r="A107" s="2"/>
      <c r="B107" s="91" t="s">
        <v>174</v>
      </c>
      <c r="C107" s="101" t="s">
        <v>175</v>
      </c>
      <c r="D107" s="93" t="s">
        <v>176</v>
      </c>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75" customHeight="1">
      <c r="A108" s="2"/>
      <c r="B108" s="94" t="s">
        <v>177</v>
      </c>
      <c r="C108" s="95">
        <f>0*Cálculos!C8</f>
        <v>0</v>
      </c>
      <c r="D108" s="103" t="s">
        <v>178</v>
      </c>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75" customHeight="1">
      <c r="A109" s="2"/>
      <c r="B109" s="94" t="s">
        <v>179</v>
      </c>
      <c r="C109" s="95">
        <f>0*Cálculos!C9</f>
        <v>0</v>
      </c>
      <c r="D109" s="96" t="s">
        <v>178</v>
      </c>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75" customHeight="1">
      <c r="A110" s="2"/>
      <c r="B110" s="94" t="s">
        <v>180</v>
      </c>
      <c r="C110" s="95">
        <f>0*Cálculos!C10</f>
        <v>0</v>
      </c>
      <c r="D110" s="96" t="s">
        <v>178</v>
      </c>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75" customHeight="1">
      <c r="A111" s="2"/>
      <c r="B111" s="97" t="s">
        <v>181</v>
      </c>
      <c r="C111" s="95">
        <f>0*Cálculos!C11</f>
        <v>0</v>
      </c>
      <c r="D111" s="96" t="s">
        <v>178</v>
      </c>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c r="A112" s="2"/>
      <c r="B112" s="97" t="s">
        <v>182</v>
      </c>
      <c r="C112" s="95">
        <f>0*Cálculos!C12</f>
        <v>0</v>
      </c>
      <c r="D112" s="96" t="s">
        <v>178</v>
      </c>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75" customHeight="1">
      <c r="A113" s="2"/>
      <c r="B113" s="97" t="s">
        <v>183</v>
      </c>
      <c r="C113" s="95">
        <f>0*Cálculos!C13</f>
        <v>0</v>
      </c>
      <c r="D113" s="96" t="s">
        <v>178</v>
      </c>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75" customHeight="1">
      <c r="A114" s="2"/>
      <c r="B114" s="97" t="s">
        <v>184</v>
      </c>
      <c r="C114" s="95">
        <f>0*Cálculos!C14</f>
        <v>0</v>
      </c>
      <c r="D114" s="96" t="s">
        <v>178</v>
      </c>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75" customHeight="1">
      <c r="A115" s="2"/>
      <c r="B115" s="97" t="s">
        <v>185</v>
      </c>
      <c r="C115" s="95">
        <f>0*Cálculos!C15</f>
        <v>0</v>
      </c>
      <c r="D115" s="96" t="s">
        <v>178</v>
      </c>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75" customHeight="1">
      <c r="A116" s="2"/>
      <c r="B116" s="97" t="s">
        <v>186</v>
      </c>
      <c r="C116" s="95">
        <f>0*Cálculos!C16</f>
        <v>0</v>
      </c>
      <c r="D116" s="96" t="s">
        <v>178</v>
      </c>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75" customHeight="1">
      <c r="A117" s="2"/>
      <c r="B117" s="97" t="s">
        <v>187</v>
      </c>
      <c r="C117" s="95">
        <f>0*Cálculos!C17</f>
        <v>0</v>
      </c>
      <c r="D117" s="96" t="s">
        <v>178</v>
      </c>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75" customHeight="1">
      <c r="A118" s="2"/>
      <c r="B118" s="97" t="s">
        <v>188</v>
      </c>
      <c r="C118" s="95">
        <f>0*Cálculos!C18</f>
        <v>0</v>
      </c>
      <c r="D118" s="96" t="s">
        <v>178</v>
      </c>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75" customHeight="1">
      <c r="A119" s="2"/>
      <c r="B119" s="97" t="s">
        <v>189</v>
      </c>
      <c r="C119" s="95">
        <f>0*Cálculos!C19</f>
        <v>0</v>
      </c>
      <c r="D119" s="96" t="s">
        <v>178</v>
      </c>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75" customHeight="1">
      <c r="A120" s="2"/>
      <c r="B120" s="97" t="s">
        <v>190</v>
      </c>
      <c r="C120" s="95">
        <f>ROUND((Default!$B$97*Cálculos!C20),3)</f>
        <v>3.9039999999999999</v>
      </c>
      <c r="D120" s="96" t="s">
        <v>178</v>
      </c>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75" customHeight="1">
      <c r="A121" s="2"/>
      <c r="B121" s="97" t="s">
        <v>191</v>
      </c>
      <c r="C121" s="95">
        <f>ROUND((Default!$B$97*Cálculos!C21),3)</f>
        <v>4.68</v>
      </c>
      <c r="D121" s="96" t="s">
        <v>178</v>
      </c>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75" customHeight="1">
      <c r="A122" s="2"/>
      <c r="B122" s="98" t="s">
        <v>192</v>
      </c>
      <c r="C122" s="99">
        <f>0*Cálculos!C22</f>
        <v>0</v>
      </c>
      <c r="D122" s="100" t="s">
        <v>178</v>
      </c>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75" customHeight="1">
      <c r="A125" s="2"/>
      <c r="B125" s="920" t="s">
        <v>203</v>
      </c>
      <c r="C125" s="921"/>
      <c r="D125" s="92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75" customHeight="1">
      <c r="A126" s="2"/>
      <c r="B126" s="945" t="s">
        <v>204</v>
      </c>
      <c r="C126" s="946"/>
      <c r="D126" s="947"/>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75" customHeight="1">
      <c r="A127" s="2"/>
      <c r="B127" s="91" t="s">
        <v>174</v>
      </c>
      <c r="C127" s="101" t="s">
        <v>175</v>
      </c>
      <c r="D127" s="93" t="s">
        <v>176</v>
      </c>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75" customHeight="1">
      <c r="A128" s="2"/>
      <c r="B128" s="94" t="s">
        <v>177</v>
      </c>
      <c r="C128" s="95">
        <f>IF(OR('Entradas Rebanho'!B21&gt;0,'Entradas Rebanho'!C21&gt;0),ROUND((1.123-(4.092*10^-3*'Entradas Alimentação'!$F$36)+(1.126*10^-5*'Entradas Alimentação'!$F$36^2)-(25.4/'Entradas Alimentação'!$F$36)),3),0)</f>
        <v>0.54700000000000004</v>
      </c>
      <c r="D128" s="106"/>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75" customHeight="1">
      <c r="A129" s="2"/>
      <c r="B129" s="94" t="s">
        <v>179</v>
      </c>
      <c r="C129" s="95">
        <f>IF(OR('Entradas Rebanho'!B22&gt;0,'Entradas Rebanho'!C22&gt;0),ROUND((1.123-(4.092*10^-3*'Entradas Alimentação'!$L$36)+(1.126*10^-5*'Entradas Alimentação'!$L$36^2)-(25.4/'Entradas Alimentação'!$L$36)),3),0)</f>
        <v>0.54700000000000004</v>
      </c>
      <c r="D129" s="106"/>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75" customHeight="1">
      <c r="A130" s="2"/>
      <c r="B130" s="94" t="s">
        <v>180</v>
      </c>
      <c r="C130" s="95">
        <f>IF(OR('Entradas Rebanho'!B23&gt;0,'Entradas Rebanho'!C23&gt;0),ROUND((1.123-(4.092*10^-3*'Entradas Alimentação'!$R$36)+(1.126*10^-5*'Entradas Alimentação'!$R$36^2)-(25.4/'Entradas Alimentação'!$R$36)),3),0)</f>
        <v>0.54700000000000004</v>
      </c>
      <c r="D130" s="106"/>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75" customHeight="1">
      <c r="A131" s="2"/>
      <c r="B131" s="97" t="s">
        <v>181</v>
      </c>
      <c r="C131" s="95">
        <f>IF(OR('Entradas Rebanho'!B24&gt;0,'Entradas Rebanho'!C24&gt;0),ROUND((1.123-(4.092*10^-3*'Entradas Alimentação'!$X$36)+(1.126*10^-5*'Entradas Alimentação'!$X$36^2)-(25.4/'Entradas Alimentação'!$X$36)),3),0)</f>
        <v>0.54700000000000004</v>
      </c>
      <c r="D131" s="106"/>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75" customHeight="1">
      <c r="A132" s="2"/>
      <c r="B132" s="97" t="s">
        <v>182</v>
      </c>
      <c r="C132" s="95">
        <f>IF(OR('Entradas Rebanho'!B25&gt;0,'Entradas Rebanho'!C25&gt;0),ROUND((1.123-(4.092*10^-3*'Entradas Alimentação'!$AD$36)+(1.126*10^-5*'Entradas Alimentação'!$AD$36^2)-(25.4/'Entradas Alimentação'!$AD$36)),3),0)</f>
        <v>0.54700000000000004</v>
      </c>
      <c r="D132" s="106"/>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75" customHeight="1">
      <c r="A133" s="2"/>
      <c r="B133" s="97" t="s">
        <v>183</v>
      </c>
      <c r="C133" s="95">
        <f>IF(OR('Entradas Rebanho'!B26&gt;0,'Entradas Rebanho'!C26&gt;0),ROUND((1.123-(4.092*10^-3*'Entradas Alimentação'!$AJ$36)+(1.126*10^-5*'Entradas Alimentação'!$AJ$36^2)-(25.4/'Entradas Alimentação'!$AJ$36)),3),0)</f>
        <v>0.54700000000000004</v>
      </c>
      <c r="D133" s="106"/>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75" customHeight="1">
      <c r="A134" s="2"/>
      <c r="B134" s="97" t="s">
        <v>184</v>
      </c>
      <c r="C134" s="95">
        <f>IF(OR('Entradas Rebanho'!B27&gt;0,'Entradas Rebanho'!C27&gt;0),ROUND((1.123-(4.092*10^-3*'Entradas Alimentação'!$AP$36)+(1.126*10^-5*'Entradas Alimentação'!$AP$36^2)-(25.4/'Entradas Alimentação'!$AP$36)),3),0)</f>
        <v>0.54400000000000004</v>
      </c>
      <c r="D134" s="106"/>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75" customHeight="1">
      <c r="A135" s="2"/>
      <c r="B135" s="97" t="s">
        <v>185</v>
      </c>
      <c r="C135" s="95">
        <f>IF(OR('Entradas Rebanho'!B28&gt;0,'Entradas Rebanho'!C28&gt;0),ROUND((1.123-(4.092*10^-3*'Entradas Alimentação'!$AV$36)+(1.126*10^-5*'Entradas Alimentação'!$AV$36^2)-(25.4/'Entradas Alimentação'!$AV$36)),3),0)</f>
        <v>0.54400000000000004</v>
      </c>
      <c r="D135" s="106"/>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75" customHeight="1">
      <c r="A136" s="2"/>
      <c r="B136" s="97" t="s">
        <v>186</v>
      </c>
      <c r="C136" s="95">
        <f>IF(OR('Entradas Rebanho'!B29&gt;0,'Entradas Rebanho'!C29&gt;0),ROUND((1.123-(4.092*10^-3*'Entradas Alimentação'!$BB$36)+(1.126*10^-5*'Entradas Alimentação'!$BB$36^2)-(25.4/'Entradas Alimentação'!$BB$36)),3),0)</f>
        <v>0.54400000000000004</v>
      </c>
      <c r="D136" s="106"/>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75" customHeight="1">
      <c r="A137" s="2"/>
      <c r="B137" s="97" t="s">
        <v>187</v>
      </c>
      <c r="C137" s="95">
        <f>IF(OR('Entradas Rebanho'!B30&gt;0,'Entradas Rebanho'!C30&gt;0),ROUND((1.123-(4.092*10^-3*'Entradas Alimentação'!$BH$36)+(1.126*10^-5*'Entradas Alimentação'!$BH$36^2)-(25.4/'Entradas Alimentação'!$BH$36)),3),0)</f>
        <v>0.54100000000000004</v>
      </c>
      <c r="D137" s="106"/>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75" customHeight="1">
      <c r="A138" s="2"/>
      <c r="B138" s="97" t="s">
        <v>188</v>
      </c>
      <c r="C138" s="95">
        <f>IF(OR('Entradas Rebanho'!B31&gt;0,'Entradas Rebanho'!C31&gt;0),ROUND((1.123-(4.092*10^-3*'Entradas Alimentação'!$BN$36)+(1.126*10^-5*'Entradas Alimentação'!$BN$36^2)-(25.4/'Entradas Alimentação'!$BN$36)),3),0)</f>
        <v>0.54100000000000004</v>
      </c>
      <c r="D138" s="106"/>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75" customHeight="1">
      <c r="A139" s="2"/>
      <c r="B139" s="97" t="s">
        <v>189</v>
      </c>
      <c r="C139" s="95">
        <f>IF(OR('Entradas Rebanho'!B32&gt;0,'Entradas Rebanho'!C32&gt;0),ROUND((1.123-(4.092*10^-3*'Entradas Alimentação'!$BT$36)+(1.126*10^-5*'Entradas Alimentação'!$BT$36^2)-(25.4/'Entradas Alimentação'!$BT$36)),3),0)</f>
        <v>0.54100000000000004</v>
      </c>
      <c r="D139" s="106"/>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75" customHeight="1">
      <c r="A140" s="2"/>
      <c r="B140" s="97" t="s">
        <v>190</v>
      </c>
      <c r="C140" s="95">
        <f>IF(OR('Entradas Rebanho'!B33&gt;0,'Entradas Rebanho'!C33&gt;0),ROUND((1.123-(4.092*10^-3*'Entradas Alimentação'!$BZ$36)+(1.126*10^-5*'Entradas Alimentação'!$BZ$36^2)-(25.4/'Entradas Alimentação'!$BZ$36)),3),0)</f>
        <v>0.54500000000000004</v>
      </c>
      <c r="D140" s="106"/>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75" customHeight="1">
      <c r="A141" s="2"/>
      <c r="B141" s="97" t="s">
        <v>191</v>
      </c>
      <c r="C141" s="95">
        <f>IF(OR('Entradas Rebanho'!B34&gt;0,'Entradas Rebanho'!C34&gt;0),ROUND((1.123-(4.092*10^-3*'Entradas Alimentação'!$CF$36)+(1.126*10^-5*'Entradas Alimentação'!$CF$36^2)-(25.4/'Entradas Alimentação'!$CF$36)),3),0)</f>
        <v>0.54500000000000004</v>
      </c>
      <c r="D141" s="106"/>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75" customHeight="1" thickBot="1">
      <c r="A142" s="2"/>
      <c r="B142" s="385" t="s">
        <v>192</v>
      </c>
      <c r="C142" s="386">
        <f>IF(OR('Entradas Rebanho'!B35&gt;0,'Entradas Rebanho'!C35&gt;0),ROUND((1.123-(4.092*10^-3*'Entradas Alimentação'!$CL$36)+(1.126*10^-5*'Entradas Alimentação'!$CL$36^2)-(25.4/'Entradas Alimentação'!$CL$36)),3),0)</f>
        <v>0.53900000000000003</v>
      </c>
      <c r="D142" s="388"/>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75" customHeight="1">
      <c r="A145" s="2"/>
      <c r="B145" s="948" t="s">
        <v>205</v>
      </c>
      <c r="C145" s="949"/>
      <c r="D145" s="950"/>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75" customHeight="1">
      <c r="A146" s="2"/>
      <c r="B146" s="920" t="s">
        <v>206</v>
      </c>
      <c r="C146" s="921"/>
      <c r="D146" s="92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75" customHeight="1">
      <c r="A147" s="2"/>
      <c r="B147" s="91" t="s">
        <v>174</v>
      </c>
      <c r="C147" s="101" t="s">
        <v>175</v>
      </c>
      <c r="D147" s="93" t="s">
        <v>176</v>
      </c>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75" customHeight="1">
      <c r="A148" s="2"/>
      <c r="B148" s="94" t="s">
        <v>177</v>
      </c>
      <c r="C148" s="95">
        <f>IF(OR('Entradas Rebanho'!B21&gt;0,'Entradas Rebanho'!C21&gt;0),ROUND((1.164-(5.16*10^-3*'Entradas Alimentação'!$F$36)+(1.308*10^-5*'Entradas Alimentação'!$F$36^2)-(37.4/'Entradas Alimentação'!$F$36)),3),0)</f>
        <v>0.36199999999999999</v>
      </c>
      <c r="D148" s="106"/>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75" customHeight="1">
      <c r="A149" s="2"/>
      <c r="B149" s="94" t="s">
        <v>179</v>
      </c>
      <c r="C149" s="95">
        <f>IF(OR('Entradas Rebanho'!B22&gt;0,'Entradas Rebanho'!C22&gt;0),ROUND((1.164-(5.16*10^-3*'Entradas Alimentação'!$L$36)+(1.308*10^-5*'Entradas Alimentação'!$L$36^2)-(37.4/'Entradas Alimentação'!$L$36)),3),0)</f>
        <v>0.36199999999999999</v>
      </c>
      <c r="D149" s="106"/>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75" customHeight="1">
      <c r="A150" s="2"/>
      <c r="B150" s="94" t="s">
        <v>180</v>
      </c>
      <c r="C150" s="95">
        <f>IF(OR('Entradas Rebanho'!B23&gt;0,'Entradas Rebanho'!C23&gt;0),ROUND((1.164-(5.16*10^-3*'Entradas Alimentação'!$R$36)+(1.308*10^-5*'Entradas Alimentação'!$R$36^2)-(37.4/'Entradas Alimentação'!$R$36)),3),0)</f>
        <v>0.36199999999999999</v>
      </c>
      <c r="D150" s="106"/>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75" customHeight="1">
      <c r="A151" s="2"/>
      <c r="B151" s="97" t="s">
        <v>181</v>
      </c>
      <c r="C151" s="95">
        <f>IF(OR('Entradas Rebanho'!B24&gt;0,'Entradas Rebanho'!C24&gt;0),ROUND((1.164-(5.16*10^-3*'Entradas Alimentação'!$X$36)+(1.308*10^-5*'Entradas Alimentação'!$X$36^2)-(37.4/'Entradas Alimentação'!$X$36)),3),0)</f>
        <v>0.36199999999999999</v>
      </c>
      <c r="D151" s="106"/>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75" customHeight="1">
      <c r="A152" s="2"/>
      <c r="B152" s="97" t="s">
        <v>182</v>
      </c>
      <c r="C152" s="95">
        <f>IF(OR('Entradas Rebanho'!B25&gt;0,'Entradas Rebanho'!C25&gt;0),ROUND((1.164-(5.16*10^-3*'Entradas Alimentação'!$AD$36)+(1.308*10^-5*'Entradas Alimentação'!$AD$36^2)-(37.4/'Entradas Alimentação'!$AD$36)),3),0)</f>
        <v>0.36199999999999999</v>
      </c>
      <c r="D152" s="106"/>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75" customHeight="1">
      <c r="A153" s="2"/>
      <c r="B153" s="97" t="s">
        <v>183</v>
      </c>
      <c r="C153" s="95">
        <f>IF(OR('Entradas Rebanho'!B26&gt;0,'Entradas Rebanho'!C26&gt;0),ROUND((1.164-(5.16*10^-3*'Entradas Alimentação'!$AJ$36)+(1.308*10^-5*'Entradas Alimentação'!$AJ$36^2)-(37.4/'Entradas Alimentação'!$AJ$36)),3),0)</f>
        <v>0.36199999999999999</v>
      </c>
      <c r="D153" s="106"/>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75" customHeight="1">
      <c r="A154" s="2"/>
      <c r="B154" s="97" t="s">
        <v>184</v>
      </c>
      <c r="C154" s="95">
        <f>IF(OR('Entradas Rebanho'!B27&gt;0,'Entradas Rebanho'!C27&gt;0),ROUND((1.164-(5.16*10^-3*'Entradas Alimentação'!$AP$36)+(1.308*10^-5*'Entradas Alimentação'!$AP$36^2)-(37.4/'Entradas Alimentação'!$AP$36)),3),0)</f>
        <v>0.35699999999999998</v>
      </c>
      <c r="D154" s="106"/>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75" customHeight="1">
      <c r="A155" s="2"/>
      <c r="B155" s="97" t="s">
        <v>185</v>
      </c>
      <c r="C155" s="95">
        <f>IF(OR('Entradas Rebanho'!B28&gt;0,'Entradas Rebanho'!C28&gt;0),ROUND((1.164-(5.16*10^-3*'Entradas Alimentação'!$AV$36)+(1.308*10^-5*'Entradas Alimentação'!$AV$36^2)-(37.4/'Entradas Alimentação'!$AV$36)),3),0)</f>
        <v>0.35699999999999998</v>
      </c>
      <c r="D155" s="106"/>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75" customHeight="1">
      <c r="A156" s="2"/>
      <c r="B156" s="97" t="s">
        <v>186</v>
      </c>
      <c r="C156" s="95">
        <f>IF(OR('Entradas Rebanho'!B29&gt;0,'Entradas Rebanho'!C29&gt;0),ROUND((1.164-(5.16*10^-3*'Entradas Alimentação'!$BB$36)+(1.308*10^-5*'Entradas Alimentação'!$BB$36^2)-(37.4/'Entradas Alimentação'!$BB$36)),3),0)</f>
        <v>0.35699999999999998</v>
      </c>
      <c r="D156" s="106"/>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75" customHeight="1">
      <c r="A157" s="2"/>
      <c r="B157" s="97" t="s">
        <v>187</v>
      </c>
      <c r="C157" s="95">
        <f>IF(OR('Entradas Rebanho'!B30&gt;0,'Entradas Rebanho'!C30&gt;0),ROUND((1.164-(5.16*10^-3*'Entradas Alimentação'!$BH$36)+(1.308*10^-5*'Entradas Alimentação'!$BH$36^2)-(37.4/'Entradas Alimentação'!$BH$36)),3),0)</f>
        <v>0.35199999999999998</v>
      </c>
      <c r="D157" s="106"/>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75" customHeight="1">
      <c r="A158" s="2"/>
      <c r="B158" s="97" t="s">
        <v>188</v>
      </c>
      <c r="C158" s="95">
        <f>IF(OR('Entradas Rebanho'!B31&gt;0,'Entradas Rebanho'!C31&gt;0),ROUND((1.164-(5.16*10^-3*'Entradas Alimentação'!$BN$36)+(1.308*10^-5*'Entradas Alimentação'!$BN$36^2)-(37.4/'Entradas Alimentação'!$BN$36)),3),0)</f>
        <v>0.35199999999999998</v>
      </c>
      <c r="D158" s="106"/>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75" customHeight="1">
      <c r="A159" s="2"/>
      <c r="B159" s="97" t="s">
        <v>189</v>
      </c>
      <c r="C159" s="95">
        <f>IF(OR('Entradas Rebanho'!B32&gt;0,'Entradas Rebanho'!C32&gt;0),ROUND((1.164-(5.16*10^-3*'Entradas Alimentação'!$BT$36)+(1.308*10^-5*'Entradas Alimentação'!$BT$36^2)-(37.4/'Entradas Alimentação'!$BT$36)),3),0)</f>
        <v>0.35199999999999998</v>
      </c>
      <c r="D159" s="106"/>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75" customHeight="1">
      <c r="A160" s="2"/>
      <c r="B160" s="97" t="s">
        <v>190</v>
      </c>
      <c r="C160" s="95">
        <f>IF(OR('Entradas Rebanho'!B33&gt;0,'Entradas Rebanho'!C33&gt;0),ROUND((1.164-(5.16*10^-3*'Entradas Alimentação'!$BZ$36)+(1.308*10^-5*'Entradas Alimentação'!$BZ$36^2)-(37.4/'Entradas Alimentação'!$BZ$36)),3),0)</f>
        <v>0.35899999999999999</v>
      </c>
      <c r="D160" s="106"/>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75" customHeight="1">
      <c r="A161" s="2"/>
      <c r="B161" s="97" t="s">
        <v>191</v>
      </c>
      <c r="C161" s="389">
        <f>IF(OR('Entradas Rebanho'!B34&gt;0,'Entradas Rebanho'!C34&gt;0),ROUND((1.164-(5.16*10^-3*'Entradas Alimentação'!$CF$36)+(1.308*10^-5*'Entradas Alimentação'!$CF$36^2)-(37.4/'Entradas Alimentação'!$CF$36)),3),0)</f>
        <v>0.35899999999999999</v>
      </c>
      <c r="D161" s="106"/>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75" customHeight="1" thickBot="1">
      <c r="A162" s="2"/>
      <c r="B162" s="385" t="s">
        <v>192</v>
      </c>
      <c r="C162" s="386">
        <f>IF(OR('Entradas Rebanho'!B35&gt;0,'Entradas Rebanho'!C35&gt;0),ROUND((1.164-(5.16*10^-3*'Entradas Alimentação'!$CL$36)+(1.308*10^-5*'Entradas Alimentação'!$CL$36^2)-(37.4/'Entradas Alimentação'!$CL$36)),3),0)</f>
        <v>0.34799999999999998</v>
      </c>
      <c r="D162" s="388"/>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75" customHeight="1">
      <c r="A165" s="2"/>
      <c r="B165" s="920" t="s">
        <v>207</v>
      </c>
      <c r="C165" s="921"/>
      <c r="D165" s="92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75" customHeight="1">
      <c r="A166" s="2"/>
      <c r="B166" s="945" t="s">
        <v>208</v>
      </c>
      <c r="C166" s="946"/>
      <c r="D166" s="947"/>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75" customHeight="1" thickBot="1">
      <c r="A167" s="2"/>
      <c r="B167" s="91" t="s">
        <v>174</v>
      </c>
      <c r="C167" s="101" t="s">
        <v>175</v>
      </c>
      <c r="D167" s="93" t="s">
        <v>176</v>
      </c>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75" customHeight="1">
      <c r="A168" s="2"/>
      <c r="B168" s="94" t="s">
        <v>177</v>
      </c>
      <c r="C168" s="95">
        <f>IF(OR('Entradas Rebanho'!B21&gt;0,'Entradas Rebanho'!C21&gt;0),(((ROUND((C8+C28+C68+C88+C108),3))/(ROUND(C128,3)))+(ROUND((C48/C148),3)))/(ROUND(('Entradas Alimentação'!$F$36/100),3)),0)</f>
        <v>71.046760886888862</v>
      </c>
      <c r="D168" s="103" t="s">
        <v>178</v>
      </c>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75" customHeight="1">
      <c r="A169" s="2"/>
      <c r="B169" s="94" t="s">
        <v>179</v>
      </c>
      <c r="C169" s="95">
        <f>IF(OR('Entradas Rebanho'!B22&gt;0,'Entradas Rebanho'!C22&gt;0),(((ROUND((C9+C29+C69+C89+C109),3))/(ROUND(C129,3)))+(ROUND((C49/C149),3)))/(ROUND(('Entradas Alimentação'!$L$36/100),3)),0)</f>
        <v>73.324966015093992</v>
      </c>
      <c r="D169" s="96" t="s">
        <v>178</v>
      </c>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75" customHeight="1">
      <c r="A170" s="2"/>
      <c r="B170" s="94" t="s">
        <v>180</v>
      </c>
      <c r="C170" s="95">
        <f>IF(OR('Entradas Rebanho'!B23&gt;0,'Entradas Rebanho'!C23&gt;0),(((ROUND((C10+C30+C70+C90+C110),3))/(ROUND(C130,3)))+(ROUND((C50/C150),3)))/(ROUND(('Entradas Alimentação'!$R$36/100),3)),0)</f>
        <v>77.86855575868374</v>
      </c>
      <c r="D170" s="96" t="s">
        <v>178</v>
      </c>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75" customHeight="1">
      <c r="A171" s="2"/>
      <c r="B171" s="97" t="s">
        <v>181</v>
      </c>
      <c r="C171" s="95">
        <f>IF(OR('Entradas Rebanho'!B24&gt;0,'Entradas Rebanho'!C24&gt;0),(((ROUND((C11+C31+C71+C91+C111),3))/(ROUND(C131,3)))+(ROUND((C51/C151),3)))/(ROUND(('Entradas Alimentação'!$X$36/100),3)),0)</f>
        <v>81.457905592274869</v>
      </c>
      <c r="D171" s="96" t="s">
        <v>178</v>
      </c>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75" customHeight="1">
      <c r="A172" s="2"/>
      <c r="B172" s="97" t="s">
        <v>182</v>
      </c>
      <c r="C172" s="95">
        <f>IF(OR('Entradas Rebanho'!B25&gt;0,'Entradas Rebanho'!C25&gt;0),(((ROUND((C12+C32+C72+C92+C112),3))/(ROUND(C132,3)))+(ROUND((C52/C152),3)))/(ROUND(('Entradas Alimentação'!$AD$36/100),3)),0)</f>
        <v>84.064315848685126</v>
      </c>
      <c r="D172" s="96" t="s">
        <v>178</v>
      </c>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75" customHeight="1">
      <c r="A173" s="2"/>
      <c r="B173" s="97" t="s">
        <v>183</v>
      </c>
      <c r="C173" s="95">
        <f>IF(OR('Entradas Rebanho'!B26&gt;0,'Entradas Rebanho'!C26&gt;0),(((ROUND((C13+C33+C73+C93+C113),3))/(ROUND(C133,3)))+(ROUND((C53/C153),3)))/(ROUND(('Entradas Alimentação'!$AJ$36/100),3)),0)</f>
        <v>89.27713636150564</v>
      </c>
      <c r="D173" s="96" t="s">
        <v>178</v>
      </c>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75" customHeight="1">
      <c r="A174" s="2"/>
      <c r="B174" s="97" t="s">
        <v>184</v>
      </c>
      <c r="C174" s="95">
        <f>IF(OR('Entradas Rebanho'!B27&gt;0,'Entradas Rebanho'!C27&gt;0),(((ROUND((C14+C34+C74+C94+C114),3))/(ROUND(C134,3)))+(ROUND((C54/C154),3)))/(ROUND(('Entradas Alimentação'!$AP$36/100),3)),0)</f>
        <v>103.94766322759472</v>
      </c>
      <c r="D174" s="96" t="s">
        <v>178</v>
      </c>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75" customHeight="1">
      <c r="A175" s="2"/>
      <c r="B175" s="97" t="s">
        <v>185</v>
      </c>
      <c r="C175" s="95">
        <f>IF(OR('Entradas Rebanho'!B28&gt;0,'Entradas Rebanho'!C28&gt;0),(((ROUND((C15+C35+C75+C95+C115),3))/(ROUND(C135,3)))+(ROUND((C55/C155),3)))/(ROUND(('Entradas Alimentação'!$AV$36/100),3)),0)</f>
        <v>107.2997574684324</v>
      </c>
      <c r="D175" s="96" t="s">
        <v>178</v>
      </c>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75" customHeight="1">
      <c r="A176" s="2"/>
      <c r="B176" s="97" t="s">
        <v>186</v>
      </c>
      <c r="C176" s="95">
        <f>IF(OR('Entradas Rebanho'!B29&gt;0,'Entradas Rebanho'!C29&gt;0),(((ROUND((C16+C36+C76+C96+C116),3))/(ROUND(C136,3)))+(ROUND((C56/C156),3)))/(ROUND(('Entradas Alimentação'!$BB$36/100),3)),0)</f>
        <v>113.99347474591931</v>
      </c>
      <c r="D176" s="96" t="s">
        <v>178</v>
      </c>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75" customHeight="1">
      <c r="A177" s="2"/>
      <c r="B177" s="97" t="s">
        <v>187</v>
      </c>
      <c r="C177" s="95">
        <f>IF(OR('Entradas Rebanho'!B30&gt;0,'Entradas Rebanho'!C30&gt;0),(((ROUND((C17+C37+C77+C97+C117),3))/(ROUND(C137,3)))+(ROUND((C57/C157),3)))/(ROUND(('Entradas Alimentação'!$BH$36/100),3)),0)</f>
        <v>119.973425451216</v>
      </c>
      <c r="D177" s="96" t="s">
        <v>178</v>
      </c>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75" customHeight="1">
      <c r="A178" s="2"/>
      <c r="B178" s="97" t="s">
        <v>188</v>
      </c>
      <c r="C178" s="95">
        <f>IF(OR('Entradas Rebanho'!B31&gt;0,'Entradas Rebanho'!C31&gt;0),(((ROUND((C18+C38+C78+C98+C118),3))/(ROUND(C138,3)))+(ROUND((C58/C158),3)))/(ROUND(('Entradas Alimentação'!$BN$36/100),3)),0)</f>
        <v>124.36490348051028</v>
      </c>
      <c r="D178" s="96" t="s">
        <v>178</v>
      </c>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customHeight="1">
      <c r="A179" s="2"/>
      <c r="B179" s="97" t="s">
        <v>189</v>
      </c>
      <c r="C179" s="95">
        <f>IF(OR('Entradas Rebanho'!B32&gt;0,'Entradas Rebanho'!C32&gt;0),(((ROUND((C19+C39+C79+C99+C119),3))/(ROUND(C139,3)))+(ROUND((C59/C159),3)))/(ROUND(('Entradas Alimentação'!$BT$36/100),3)),0)</f>
        <v>133.13720707571667</v>
      </c>
      <c r="D179" s="96" t="s">
        <v>178</v>
      </c>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75" customHeight="1">
      <c r="A180" s="2"/>
      <c r="B180" s="97" t="s">
        <v>190</v>
      </c>
      <c r="C180" s="95">
        <f>IF(OR('Entradas Rebanho'!B33&gt;0,'Entradas Rebanho'!C33&gt;0),(((ROUND((C20+C40+C80+C100+C120),3))/(ROUND(C140,3)))+(ROUND((C60/C160),3)))/(ROUND(('Entradas Alimentação'!$BZ$36/100),3)),0)</f>
        <v>117.8304891381851</v>
      </c>
      <c r="D180" s="96" t="s">
        <v>178</v>
      </c>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75" customHeight="1">
      <c r="A181" s="2"/>
      <c r="B181" s="97" t="s">
        <v>191</v>
      </c>
      <c r="C181" s="95">
        <f>IF(OR('Entradas Rebanho'!B34&gt;0,'Entradas Rebanho'!C34&gt;0),(((ROUND((C21+C41+C81+C101+C121),3))/(ROUND(C141,3)))+(ROUND((C61/C161),3)))/(ROUND(('Entradas Alimentação'!$CF$36/100),3)),0)</f>
        <v>173.86034130341778</v>
      </c>
      <c r="D181" s="96" t="s">
        <v>178</v>
      </c>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75" customHeight="1" thickBot="1">
      <c r="A182" s="2"/>
      <c r="B182" s="385" t="s">
        <v>192</v>
      </c>
      <c r="C182" s="386">
        <f>IF(OR('Entradas Rebanho'!B35&gt;0,'Entradas Rebanho'!C35&gt;0),(((ROUND((C22+C42+C82+C102+C122),3))/(ROUND(C142,3)))+(ROUND((C62/C162),3)))/(ROUND(('Entradas Alimentação'!$CL$36/100),3)),0)</f>
        <v>139.718196861054</v>
      </c>
      <c r="D182" s="387" t="s">
        <v>178</v>
      </c>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75" customHeight="1" thickBo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75" customHeight="1" thickBot="1">
      <c r="A185" s="107"/>
      <c r="B185" s="957" t="s">
        <v>209</v>
      </c>
      <c r="C185" s="958"/>
      <c r="D185" s="958"/>
      <c r="E185" s="458"/>
      <c r="F185" s="107"/>
      <c r="G185" s="107"/>
      <c r="H185" s="107"/>
      <c r="I185" s="107"/>
      <c r="J185" s="107"/>
      <c r="K185" s="107"/>
      <c r="L185" s="107"/>
      <c r="M185" s="107"/>
      <c r="N185" s="107"/>
      <c r="O185" s="108"/>
      <c r="P185" s="108"/>
      <c r="Q185" s="108"/>
      <c r="R185" s="108"/>
      <c r="S185" s="108"/>
      <c r="T185" s="108"/>
      <c r="U185" s="108"/>
      <c r="V185" s="108"/>
      <c r="W185" s="108"/>
      <c r="X185" s="108"/>
      <c r="Y185" s="108"/>
      <c r="Z185" s="108"/>
      <c r="AA185" s="108"/>
    </row>
    <row r="186" spans="1:27"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75" customHeight="1" thickBo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75" customHeight="1" thickBot="1">
      <c r="A188" s="2"/>
      <c r="B188" s="951" t="s">
        <v>210</v>
      </c>
      <c r="C188" s="952"/>
      <c r="D188" s="953"/>
      <c r="E188" s="409"/>
      <c r="F188" s="2"/>
      <c r="G188" s="2"/>
      <c r="H188" s="2"/>
      <c r="I188" s="2"/>
      <c r="J188" s="2"/>
      <c r="K188" s="2"/>
      <c r="L188" s="2"/>
      <c r="M188" s="2"/>
      <c r="N188" s="2"/>
      <c r="O188" s="2"/>
      <c r="P188" s="2"/>
      <c r="Q188" s="2"/>
      <c r="R188" s="2"/>
      <c r="S188" s="2"/>
      <c r="T188" s="2"/>
      <c r="U188" s="2"/>
      <c r="V188" s="2"/>
      <c r="W188" s="2"/>
      <c r="X188" s="2"/>
      <c r="Y188" s="2"/>
      <c r="Z188" s="2"/>
      <c r="AA188" s="2"/>
    </row>
    <row r="189" spans="1:27" ht="15.75" customHeight="1" thickBot="1">
      <c r="A189" s="2"/>
      <c r="B189" s="954" t="s">
        <v>211</v>
      </c>
      <c r="C189" s="955"/>
      <c r="D189" s="956"/>
      <c r="E189" s="409"/>
      <c r="F189" s="2"/>
      <c r="G189" s="2"/>
      <c r="H189" s="2"/>
      <c r="I189" s="2"/>
      <c r="J189" s="2"/>
      <c r="K189" s="2"/>
      <c r="L189" s="2"/>
      <c r="M189" s="2"/>
      <c r="N189" s="2"/>
      <c r="O189" s="2"/>
      <c r="P189" s="2"/>
      <c r="Q189" s="2"/>
      <c r="R189" s="2"/>
      <c r="S189" s="2"/>
      <c r="T189" s="2"/>
      <c r="U189" s="2"/>
      <c r="V189" s="2"/>
      <c r="W189" s="2"/>
      <c r="X189" s="2"/>
      <c r="Y189" s="2"/>
      <c r="Z189" s="2"/>
      <c r="AA189" s="2"/>
    </row>
    <row r="190" spans="1:27" ht="15.75" customHeight="1" thickBot="1">
      <c r="A190" s="2"/>
      <c r="B190" s="434" t="s">
        <v>174</v>
      </c>
      <c r="C190" s="435" t="s">
        <v>175</v>
      </c>
      <c r="D190" s="433" t="s">
        <v>176</v>
      </c>
      <c r="E190" s="432"/>
      <c r="F190" s="2"/>
      <c r="G190" s="2"/>
      <c r="H190" s="2"/>
      <c r="I190" s="2"/>
      <c r="J190" s="2"/>
      <c r="K190" s="2"/>
      <c r="L190" s="2"/>
      <c r="M190" s="2"/>
      <c r="N190" s="2"/>
      <c r="O190" s="2"/>
      <c r="P190" s="2"/>
      <c r="Q190" s="2"/>
      <c r="R190" s="2"/>
      <c r="S190" s="2"/>
      <c r="T190" s="2"/>
      <c r="U190" s="2"/>
      <c r="V190" s="2"/>
      <c r="W190" s="2"/>
      <c r="X190" s="2"/>
      <c r="Y190" s="2"/>
      <c r="Z190" s="2"/>
      <c r="AA190" s="2"/>
    </row>
    <row r="191" spans="1:27" ht="15.75" customHeight="1">
      <c r="A191" s="2"/>
      <c r="B191" s="436" t="s">
        <v>177</v>
      </c>
      <c r="C191" s="389">
        <f>ROUND((ROUND(C168,3)*(ROUND((IF('Entradas Rebanho'!D39="&gt; 75% de forragem ",Default!$D$105,IF('Entradas Rebanho'!D39="Dieta contendo forragem entre 15 e 75% misturada com silagem e ou grãos; &gt; 75% de forragem de alta qualidade da dieta total",Default!$D$106,))),3)/100)*'Entradas Rebanho'!D10)/55.65,3)</f>
        <v>2.77</v>
      </c>
      <c r="D191" s="437" t="s">
        <v>1142</v>
      </c>
      <c r="E191" s="432">
        <f>ROUND(ROUND((C168*((IF('Entradas Rebanho'!D39="&gt; 75% de forragem ",Default!$D$105,IF('Entradas Rebanho'!D39="Dieta contendo forragem entre 15 e 75% misturada com silagem e ou grãos; &gt; 75% de forragem de alta qualidade da dieta total",Default!$D$106,)))/100)*365),3)/55.65,3)</f>
        <v>32.619</v>
      </c>
      <c r="F191" s="429"/>
      <c r="G191" s="2"/>
      <c r="H191" s="2"/>
      <c r="I191" s="2"/>
      <c r="J191" s="2"/>
      <c r="K191" s="2"/>
      <c r="L191" s="2"/>
      <c r="M191" s="2"/>
      <c r="N191" s="2"/>
      <c r="O191" s="2"/>
      <c r="P191" s="2"/>
      <c r="Q191" s="2"/>
      <c r="R191" s="2"/>
      <c r="S191" s="2"/>
      <c r="T191" s="2"/>
      <c r="U191" s="2"/>
      <c r="V191" s="2"/>
      <c r="W191" s="2"/>
      <c r="X191" s="2"/>
      <c r="Y191" s="2"/>
      <c r="Z191" s="2"/>
      <c r="AA191" s="2"/>
    </row>
    <row r="192" spans="1:27" ht="15.75" customHeight="1">
      <c r="A192" s="2"/>
      <c r="B192" s="436" t="s">
        <v>179</v>
      </c>
      <c r="C192" s="389">
        <f>ROUND((ROUND(C169,3)*(ROUND((IF('Entradas Rebanho'!D40="&gt; 75% de forragem ",Default!$D$107,IF('Entradas Rebanho'!D40="Dieta contendo forragem entre 15 e 75% misturada com silagem e ou grãos; &gt; 75% de forragem de alta qualidade da dieta total",Default!$D$108,))),3)/100)*'Entradas Rebanho'!D10)/55.65,3)</f>
        <v>2.859</v>
      </c>
      <c r="D192" s="437" t="s">
        <v>1142</v>
      </c>
      <c r="E192" s="432"/>
      <c r="F192" s="429"/>
      <c r="G192" s="2"/>
      <c r="H192" s="2"/>
      <c r="I192" s="2"/>
      <c r="J192" s="2"/>
      <c r="K192" s="2"/>
      <c r="L192" s="2"/>
      <c r="M192" s="2"/>
      <c r="N192" s="2"/>
      <c r="O192" s="2"/>
      <c r="P192" s="2"/>
      <c r="Q192" s="2"/>
      <c r="R192" s="2"/>
      <c r="S192" s="2"/>
      <c r="T192" s="2"/>
      <c r="U192" s="2"/>
      <c r="V192" s="2"/>
      <c r="W192" s="2"/>
      <c r="X192" s="2"/>
      <c r="Y192" s="2"/>
      <c r="Z192" s="2"/>
      <c r="AA192" s="2"/>
    </row>
    <row r="193" spans="1:27" ht="15.75" customHeight="1">
      <c r="A193" s="2"/>
      <c r="B193" s="436" t="s">
        <v>180</v>
      </c>
      <c r="C193" s="389">
        <f>ROUND((ROUND(C170,3)*(ROUND((IF('Entradas Rebanho'!D41="&gt; 75% de forragem ",Default!$D$109,IF('Entradas Rebanho'!D41="Dieta contendo forragem entre 15 e 75% misturada com silagem e ou grãos; &gt; 75% de forragem de alta qualidade da dieta total",Default!$D$110,))),3)/100)*'Entradas Rebanho'!D10)/55.65,3)</f>
        <v>3.036</v>
      </c>
      <c r="D193" s="437" t="s">
        <v>1142</v>
      </c>
      <c r="E193" s="432"/>
      <c r="F193" s="429"/>
      <c r="G193" s="2"/>
      <c r="H193" s="2"/>
      <c r="I193" s="2"/>
      <c r="J193" s="2"/>
      <c r="K193" s="2"/>
      <c r="L193" s="2"/>
      <c r="M193" s="2"/>
      <c r="N193" s="2"/>
      <c r="O193" s="2"/>
      <c r="P193" s="2"/>
      <c r="Q193" s="2"/>
      <c r="R193" s="2"/>
      <c r="S193" s="2"/>
      <c r="T193" s="2"/>
      <c r="U193" s="2"/>
      <c r="V193" s="2"/>
      <c r="W193" s="2"/>
      <c r="X193" s="2"/>
      <c r="Y193" s="2"/>
      <c r="Z193" s="2"/>
      <c r="AA193" s="2"/>
    </row>
    <row r="194" spans="1:27" ht="15.75" customHeight="1">
      <c r="A194" s="2"/>
      <c r="B194" s="438" t="s">
        <v>181</v>
      </c>
      <c r="C194" s="389">
        <f>ROUND((ROUND(C171,3)*(ROUND((IF('Entradas Rebanho'!D42="&gt; 75% de forragem ",Default!$D$111,IF('Entradas Rebanho'!D42="Dieta contendo forragem entre 15 e 75% misturada com silagem e ou grãos; &gt; 75% de forragem de alta qualidade da dieta total",Default!$D$112,))),3)/100)*'Entradas Rebanho'!D10)/55.65,3)</f>
        <v>3.1760000000000002</v>
      </c>
      <c r="D194" s="437" t="s">
        <v>1142</v>
      </c>
      <c r="E194" s="432"/>
      <c r="F194" s="429"/>
      <c r="G194" s="2"/>
      <c r="H194" s="2"/>
      <c r="I194" s="2"/>
      <c r="J194" s="2"/>
      <c r="K194" s="2"/>
      <c r="L194" s="2"/>
      <c r="M194" s="2"/>
      <c r="N194" s="2"/>
      <c r="O194" s="2"/>
      <c r="P194" s="2"/>
      <c r="Q194" s="2"/>
      <c r="R194" s="2"/>
      <c r="S194" s="2"/>
      <c r="T194" s="2"/>
      <c r="U194" s="2"/>
      <c r="V194" s="2"/>
      <c r="W194" s="2"/>
      <c r="X194" s="2"/>
      <c r="Y194" s="2"/>
      <c r="Z194" s="2"/>
      <c r="AA194" s="2"/>
    </row>
    <row r="195" spans="1:27" ht="15.75" customHeight="1">
      <c r="A195" s="2"/>
      <c r="B195" s="438" t="s">
        <v>182</v>
      </c>
      <c r="C195" s="389">
        <f>ROUND((ROUND(C172,3)*(ROUND((IF('Entradas Rebanho'!D43="&gt; 75% de forragem ",Default!$D$113,IF('Entradas Rebanho'!D43="Dieta contendo forragem entre 15 e 75% misturada com silagem e ou grãos; &gt; 75% de forragem de alta qualidade da dieta total",Default!$D$114,))),3)/100)*'Entradas Rebanho'!D10)/55.65,3)</f>
        <v>3.278</v>
      </c>
      <c r="D195" s="437" t="s">
        <v>1142</v>
      </c>
      <c r="E195" s="432"/>
      <c r="F195" s="429"/>
      <c r="G195" s="2"/>
      <c r="H195" s="2"/>
      <c r="I195" s="2"/>
      <c r="J195" s="2"/>
      <c r="K195" s="2"/>
      <c r="L195" s="2"/>
      <c r="M195" s="2"/>
      <c r="N195" s="2"/>
      <c r="O195" s="2"/>
      <c r="P195" s="2"/>
      <c r="Q195" s="2"/>
      <c r="R195" s="2"/>
      <c r="S195" s="2"/>
      <c r="T195" s="2"/>
      <c r="U195" s="2"/>
      <c r="V195" s="2"/>
      <c r="W195" s="2"/>
      <c r="X195" s="2"/>
      <c r="Y195" s="2"/>
      <c r="Z195" s="2"/>
      <c r="AA195" s="2"/>
    </row>
    <row r="196" spans="1:27" ht="15.75" customHeight="1">
      <c r="A196" s="2"/>
      <c r="B196" s="438" t="s">
        <v>183</v>
      </c>
      <c r="C196" s="389">
        <f>ROUND((ROUND(C173,3)*(ROUND((IF('Entradas Rebanho'!D44="&gt; 75% de forragem ",Default!$D$115,IF('Entradas Rebanho'!D44="Dieta contendo forragem entre 15 e 75% misturada com silagem e ou grãos; &gt; 75% de forragem de alta qualidade da dieta total",Default!$D$116,))),3)/100)*'Entradas Rebanho'!D10)/55.65,3)</f>
        <v>3.4809999999999999</v>
      </c>
      <c r="D196" s="437" t="s">
        <v>1142</v>
      </c>
      <c r="E196" s="432"/>
      <c r="F196" s="429"/>
      <c r="G196" s="2"/>
      <c r="H196" s="2"/>
      <c r="I196" s="2"/>
      <c r="J196" s="2"/>
      <c r="K196" s="2"/>
      <c r="L196" s="2"/>
      <c r="M196" s="2"/>
      <c r="N196" s="2"/>
      <c r="O196" s="2"/>
      <c r="P196" s="2"/>
      <c r="Q196" s="2"/>
      <c r="R196" s="2"/>
      <c r="S196" s="2"/>
      <c r="T196" s="2"/>
      <c r="U196" s="2"/>
      <c r="V196" s="2"/>
      <c r="W196" s="2"/>
      <c r="X196" s="2"/>
      <c r="Y196" s="2"/>
      <c r="Z196" s="2"/>
      <c r="AA196" s="2"/>
    </row>
    <row r="197" spans="1:27" ht="15.75" customHeight="1">
      <c r="A197" s="2"/>
      <c r="B197" s="438" t="s">
        <v>184</v>
      </c>
      <c r="C197" s="389">
        <f>ROUND((ROUND(C174,3)*(ROUND((IF('Entradas Rebanho'!D45="&gt; 75% de forragem ",Default!$D$117,IF('Entradas Rebanho'!D45="Dieta contendo forragem entre 15 e 75% misturada com silagem e ou grãos; &gt; 75% de forragem de alta qualidade da dieta total",Default!$D$118,))),3)/100)*'Entradas Rebanho'!D10)/55.65,3)</f>
        <v>4.0529999999999999</v>
      </c>
      <c r="D197" s="437" t="s">
        <v>1142</v>
      </c>
      <c r="E197" s="432"/>
      <c r="F197" s="429"/>
      <c r="G197" s="2"/>
      <c r="H197" s="2"/>
      <c r="I197" s="2"/>
      <c r="J197" s="2"/>
      <c r="K197" s="2"/>
      <c r="L197" s="2"/>
      <c r="M197" s="2"/>
      <c r="N197" s="2"/>
      <c r="O197" s="2"/>
      <c r="P197" s="2"/>
      <c r="Q197" s="2"/>
      <c r="R197" s="2"/>
      <c r="S197" s="2"/>
      <c r="T197" s="2"/>
      <c r="U197" s="2"/>
      <c r="V197" s="2"/>
      <c r="W197" s="2"/>
      <c r="X197" s="2"/>
      <c r="Y197" s="2"/>
      <c r="Z197" s="2"/>
      <c r="AA197" s="2"/>
    </row>
    <row r="198" spans="1:27" ht="15.75" customHeight="1">
      <c r="A198" s="2"/>
      <c r="B198" s="438" t="s">
        <v>185</v>
      </c>
      <c r="C198" s="389">
        <f>ROUND((ROUND(C175,3)*(ROUND((IF('Entradas Rebanho'!D46="&gt; 75% de forragem ",Default!$D$119,IF('Entradas Rebanho'!D46="Dieta contendo forragem entre 15 e 75% misturada com silagem e ou grãos; &gt; 75% de forragem de alta qualidade da dieta total",Default!$D$120,))),3)/100)*'Entradas Rebanho'!D10)/55.65,3)</f>
        <v>4.1840000000000002</v>
      </c>
      <c r="D198" s="437" t="s">
        <v>1142</v>
      </c>
      <c r="E198" s="581"/>
      <c r="F198" s="429"/>
      <c r="G198" s="2"/>
      <c r="H198" s="2"/>
      <c r="I198" s="2"/>
      <c r="J198" s="2"/>
      <c r="K198" s="2"/>
      <c r="L198" s="2"/>
      <c r="M198" s="2"/>
      <c r="N198" s="2"/>
      <c r="O198" s="2"/>
      <c r="P198" s="2"/>
      <c r="Q198" s="2"/>
      <c r="R198" s="2"/>
      <c r="S198" s="2"/>
      <c r="T198" s="2"/>
      <c r="U198" s="2"/>
      <c r="V198" s="2"/>
      <c r="W198" s="2"/>
      <c r="X198" s="2"/>
      <c r="Y198" s="2"/>
      <c r="Z198" s="2"/>
      <c r="AA198" s="2"/>
    </row>
    <row r="199" spans="1:27" ht="15.75" customHeight="1">
      <c r="A199" s="2"/>
      <c r="B199" s="438" t="s">
        <v>186</v>
      </c>
      <c r="C199" s="389">
        <f>ROUND((ROUND(C176,3)*(ROUND((IF('Entradas Rebanho'!D47="&gt; 75% de forragem ",Default!$D$121,IF('Entradas Rebanho'!D47="Dieta contendo forragem entre 15 e 75% misturada com silagem e ou grãos; &gt; 75% de forragem de alta qualidade da dieta total",Default!$D$122,))),3)/100)*'Entradas Rebanho'!D10)/55.65,3)</f>
        <v>4.4450000000000003</v>
      </c>
      <c r="D199" s="437" t="s">
        <v>1142</v>
      </c>
      <c r="E199" s="432"/>
      <c r="F199" s="429"/>
      <c r="G199" s="2"/>
      <c r="H199" s="2"/>
      <c r="I199" s="2"/>
      <c r="J199" s="2"/>
      <c r="K199" s="2"/>
      <c r="L199" s="2"/>
      <c r="M199" s="2"/>
      <c r="N199" s="2"/>
      <c r="O199" s="2"/>
      <c r="P199" s="2"/>
      <c r="Q199" s="2"/>
      <c r="R199" s="2"/>
      <c r="S199" s="2"/>
      <c r="T199" s="2"/>
      <c r="U199" s="2"/>
      <c r="V199" s="2"/>
      <c r="W199" s="2"/>
      <c r="X199" s="2"/>
      <c r="Y199" s="2"/>
      <c r="Z199" s="2"/>
      <c r="AA199" s="2"/>
    </row>
    <row r="200" spans="1:27" ht="15.75" customHeight="1">
      <c r="A200" s="2"/>
      <c r="B200" s="438" t="s">
        <v>187</v>
      </c>
      <c r="C200" s="389">
        <f>ROUND((ROUND(C177,3)*(ROUND((IF('Entradas Rebanho'!D48="Confinamento (0 a 15% de forragem)",Default!$D$123,IF('Entradas Rebanho'!D48="Confinamento (Milho flocado à vapor - 0 a 15% de forragem)",Default!$D$124,))),3)/100)*'Entradas Rebanho'!D10)/55.65,3)</f>
        <v>2.673</v>
      </c>
      <c r="D200" s="437" t="s">
        <v>1142</v>
      </c>
      <c r="E200" s="432"/>
      <c r="F200" s="582"/>
      <c r="G200" s="583"/>
      <c r="H200" s="109"/>
      <c r="I200" s="2"/>
      <c r="J200" s="2"/>
      <c r="K200" s="2"/>
      <c r="L200" s="2"/>
      <c r="M200" s="2"/>
      <c r="N200" s="2"/>
      <c r="O200" s="2"/>
      <c r="P200" s="2"/>
      <c r="Q200" s="2"/>
      <c r="R200" s="2"/>
      <c r="S200" s="2"/>
      <c r="T200" s="2"/>
      <c r="U200" s="2"/>
      <c r="V200" s="2"/>
      <c r="W200" s="2"/>
      <c r="X200" s="2"/>
      <c r="Y200" s="2"/>
      <c r="Z200" s="2"/>
      <c r="AA200" s="2"/>
    </row>
    <row r="201" spans="1:27" ht="15.75" customHeight="1">
      <c r="A201" s="2"/>
      <c r="B201" s="438" t="s">
        <v>188</v>
      </c>
      <c r="C201" s="389">
        <f>ROUND((ROUND(C178,3)*(ROUND((IF('Entradas Rebanho'!D49="Confinamento (0 a 15% de forragem)",Default!$D$125,IF('Entradas Rebanho'!D49="Confinamento (Milho flocado à vapor - 0 a 15% de forragem)",Default!$D$126,))),3)/100)*'Entradas Rebanho'!D10)/55.65,3)</f>
        <v>2.7709999999999999</v>
      </c>
      <c r="D201" s="437" t="s">
        <v>1142</v>
      </c>
      <c r="E201" s="432"/>
      <c r="F201" s="127"/>
      <c r="G201" s="2"/>
      <c r="H201" s="110"/>
      <c r="I201" s="2"/>
      <c r="J201" s="2"/>
      <c r="K201" s="2"/>
      <c r="L201" s="2"/>
      <c r="M201" s="2"/>
      <c r="N201" s="2"/>
      <c r="O201" s="2"/>
      <c r="P201" s="2"/>
      <c r="Q201" s="2"/>
      <c r="R201" s="2"/>
      <c r="S201" s="2"/>
      <c r="T201" s="2"/>
      <c r="U201" s="2"/>
      <c r="V201" s="2"/>
      <c r="W201" s="2"/>
      <c r="X201" s="2"/>
      <c r="Y201" s="2"/>
      <c r="Z201" s="2"/>
      <c r="AA201" s="2"/>
    </row>
    <row r="202" spans="1:27" ht="15.75" customHeight="1">
      <c r="A202" s="2"/>
      <c r="B202" s="438" t="s">
        <v>189</v>
      </c>
      <c r="C202" s="389">
        <f>ROUND((ROUND(C179,3)*(ROUND((IF('Entradas Rebanho'!D50="Confinamento (0 a 15% de forragem)",Default!$D$127,IF('Entradas Rebanho'!D50="Confinamento (Milho flocado à vapor - 0 a 15% de forragem)",Default!$D$128,))),3)/100)*'Entradas Rebanho'!D10)/55.65,3)</f>
        <v>2.9670000000000001</v>
      </c>
      <c r="D202" s="437" t="s">
        <v>1142</v>
      </c>
      <c r="E202" s="432"/>
      <c r="F202" s="429"/>
      <c r="G202" s="2"/>
      <c r="H202" s="2"/>
      <c r="I202" s="2"/>
      <c r="J202" s="2"/>
      <c r="K202" s="2"/>
      <c r="L202" s="2"/>
      <c r="M202" s="2"/>
      <c r="N202" s="2"/>
      <c r="O202" s="2"/>
      <c r="P202" s="2"/>
      <c r="Q202" s="2"/>
      <c r="R202" s="2"/>
      <c r="S202" s="2"/>
      <c r="T202" s="2"/>
      <c r="U202" s="2"/>
      <c r="V202" s="2"/>
      <c r="W202" s="2"/>
      <c r="X202" s="2"/>
      <c r="Y202" s="2"/>
      <c r="Z202" s="2"/>
      <c r="AA202" s="2"/>
    </row>
    <row r="203" spans="1:27" ht="15.75" customHeight="1">
      <c r="A203" s="2"/>
      <c r="B203" s="438" t="s">
        <v>190</v>
      </c>
      <c r="C203" s="389">
        <f>ROUND((ROUND(C180,3)*(ROUND((IF('Entradas Rebanho'!D51="&gt; 75% de forragem ",Default!$D$129,IF('Entradas Rebanho'!D51="Dieta contendo forragem entre 15 e 75% misturada com silagem e ou grãos; &gt; 75% de forragem de alta qualidade da dieta total",Default!$D$130,))),3)/100)*'Entradas Rebanho'!D10)/55.65,3)</f>
        <v>4.5949999999999998</v>
      </c>
      <c r="D203" s="437" t="s">
        <v>1142</v>
      </c>
      <c r="E203" s="432"/>
      <c r="F203" s="582"/>
      <c r="G203" s="111"/>
      <c r="H203" s="2"/>
      <c r="I203" s="2"/>
      <c r="J203" s="2"/>
      <c r="K203" s="2"/>
      <c r="L203" s="2"/>
      <c r="M203" s="2"/>
      <c r="N203" s="2"/>
      <c r="O203" s="2"/>
      <c r="P203" s="2"/>
      <c r="Q203" s="2"/>
      <c r="R203" s="2"/>
      <c r="S203" s="2"/>
      <c r="T203" s="2"/>
      <c r="U203" s="2"/>
      <c r="V203" s="2"/>
      <c r="W203" s="2"/>
      <c r="X203" s="2"/>
      <c r="Y203" s="2"/>
      <c r="Z203" s="2"/>
      <c r="AA203" s="2"/>
    </row>
    <row r="204" spans="1:27" ht="15.75" customHeight="1">
      <c r="A204" s="2"/>
      <c r="B204" s="438" t="s">
        <v>191</v>
      </c>
      <c r="C204" s="389">
        <f>ROUND((ROUND(C181,3)*(ROUND(Default!D131,3)/100)*'Entradas Rebanho'!D10)/55.65,3)</f>
        <v>6.2949999999999999</v>
      </c>
      <c r="D204" s="437" t="s">
        <v>1142</v>
      </c>
      <c r="E204" s="432"/>
      <c r="F204" s="430"/>
      <c r="G204" s="2"/>
      <c r="H204" s="2"/>
      <c r="I204" s="2"/>
      <c r="J204" s="2"/>
      <c r="K204" s="2"/>
      <c r="L204" s="2"/>
      <c r="M204" s="2"/>
      <c r="N204" s="2"/>
      <c r="O204" s="2"/>
      <c r="P204" s="2"/>
      <c r="Q204" s="2"/>
      <c r="R204" s="2"/>
      <c r="S204" s="2"/>
      <c r="T204" s="2"/>
      <c r="U204" s="2"/>
      <c r="V204" s="2"/>
      <c r="W204" s="2"/>
      <c r="X204" s="2"/>
      <c r="Y204" s="2"/>
      <c r="Z204" s="2"/>
      <c r="AA204" s="2"/>
    </row>
    <row r="205" spans="1:27" ht="15.75" customHeight="1" thickBot="1">
      <c r="A205" s="2"/>
      <c r="B205" s="439" t="s">
        <v>192</v>
      </c>
      <c r="C205" s="386">
        <f>ROUND((ROUND(C182,3)*(ROUND((IF('Entradas Rebanho'!D53="&gt; 75% de forragem ",Default!$D$132,IF('Entradas Rebanho'!D53="Dieta contendo forragem entre 15 e 75% misturada com silagem e ou grãos; &gt; 75% de forragem de alta qualidade da dieta total",Default!$D$133,))),3)/100)*'Entradas Rebanho'!D10)/55.65,3)</f>
        <v>5.4480000000000004</v>
      </c>
      <c r="D205" s="440" t="s">
        <v>1142</v>
      </c>
      <c r="E205" s="432"/>
      <c r="F205" s="429"/>
      <c r="G205" s="2"/>
      <c r="H205" s="2"/>
      <c r="I205" s="2"/>
      <c r="J205" s="2"/>
      <c r="K205" s="2"/>
      <c r="L205" s="2"/>
      <c r="M205" s="2"/>
      <c r="N205" s="2"/>
      <c r="O205" s="2"/>
      <c r="P205" s="2"/>
      <c r="Q205" s="2"/>
      <c r="R205" s="2"/>
      <c r="S205" s="2"/>
      <c r="T205" s="2"/>
      <c r="U205" s="2"/>
      <c r="V205" s="2"/>
      <c r="W205" s="2"/>
      <c r="X205" s="2"/>
      <c r="Y205" s="2"/>
      <c r="Z205" s="2"/>
      <c r="AA205" s="2"/>
    </row>
    <row r="206" spans="1:27" ht="15.75" customHeight="1">
      <c r="A206" s="2"/>
      <c r="B206" s="2"/>
      <c r="C206" s="2"/>
      <c r="D206" s="2"/>
      <c r="E206" s="2"/>
      <c r="F206" s="430"/>
      <c r="G206" s="2"/>
      <c r="H206" s="2"/>
      <c r="I206" s="2"/>
      <c r="J206" s="2"/>
      <c r="K206" s="2"/>
      <c r="L206" s="2"/>
      <c r="M206" s="2"/>
      <c r="N206" s="2"/>
      <c r="O206" s="2"/>
      <c r="P206" s="2"/>
      <c r="Q206" s="2"/>
      <c r="R206" s="2"/>
      <c r="S206" s="2"/>
      <c r="T206" s="2"/>
      <c r="U206" s="2"/>
      <c r="V206" s="2"/>
      <c r="W206" s="2"/>
      <c r="X206" s="2"/>
      <c r="Y206" s="2"/>
      <c r="Z206" s="2"/>
      <c r="AA206" s="2"/>
    </row>
    <row r="207" spans="1:2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customHeight="1">
      <c r="A208" s="2"/>
      <c r="B208" s="920" t="s">
        <v>212</v>
      </c>
      <c r="C208" s="921"/>
      <c r="D208" s="922"/>
      <c r="E208" s="22"/>
      <c r="F208" s="2"/>
      <c r="G208" s="2"/>
      <c r="H208" s="2"/>
      <c r="I208" s="2"/>
      <c r="J208" s="2"/>
      <c r="K208" s="2"/>
      <c r="L208" s="2"/>
      <c r="M208" s="2"/>
      <c r="N208" s="2"/>
      <c r="O208" s="2"/>
      <c r="P208" s="2"/>
      <c r="Q208" s="2"/>
      <c r="R208" s="2"/>
      <c r="S208" s="2"/>
      <c r="T208" s="2"/>
      <c r="U208" s="2"/>
      <c r="V208" s="2"/>
      <c r="W208" s="2"/>
      <c r="X208" s="2"/>
      <c r="Y208" s="2"/>
      <c r="Z208" s="2"/>
      <c r="AA208" s="2"/>
    </row>
    <row r="209" spans="1:27" ht="15.75" customHeight="1" thickBot="1">
      <c r="A209" s="2"/>
      <c r="B209" s="923" t="s">
        <v>213</v>
      </c>
      <c r="C209" s="924"/>
      <c r="D209" s="925"/>
      <c r="E209" s="22"/>
      <c r="F209" s="2"/>
      <c r="G209" s="2"/>
      <c r="H209" s="2"/>
      <c r="I209" s="2"/>
      <c r="J209" s="2"/>
      <c r="K209" s="2"/>
      <c r="L209" s="2"/>
      <c r="M209" s="2"/>
      <c r="N209" s="2"/>
      <c r="O209" s="2"/>
      <c r="P209" s="2"/>
      <c r="Q209" s="2"/>
      <c r="R209" s="2"/>
      <c r="S209" s="2"/>
      <c r="T209" s="2"/>
      <c r="U209" s="2"/>
      <c r="V209" s="2"/>
      <c r="W209" s="2"/>
      <c r="X209" s="2"/>
      <c r="Y209" s="2"/>
      <c r="Z209" s="2"/>
      <c r="AA209" s="2"/>
    </row>
    <row r="210" spans="1:27" ht="15.75" hidden="1" customHeight="1">
      <c r="A210" s="2"/>
      <c r="B210" s="91" t="s">
        <v>174</v>
      </c>
      <c r="C210" s="101" t="s">
        <v>175</v>
      </c>
      <c r="D210" s="112" t="s">
        <v>176</v>
      </c>
      <c r="E210" s="26"/>
      <c r="F210" s="2"/>
      <c r="G210" s="2"/>
      <c r="H210" s="2"/>
      <c r="I210" s="2"/>
      <c r="J210" s="2"/>
      <c r="K210" s="2"/>
      <c r="L210" s="2"/>
      <c r="M210" s="2"/>
      <c r="N210" s="2"/>
      <c r="O210" s="2"/>
      <c r="P210" s="2"/>
      <c r="Q210" s="2"/>
      <c r="R210" s="2"/>
      <c r="S210" s="2"/>
      <c r="T210" s="2"/>
      <c r="U210" s="2"/>
      <c r="V210" s="2"/>
      <c r="W210" s="2"/>
      <c r="X210" s="2"/>
      <c r="Y210" s="2"/>
      <c r="Z210" s="2"/>
      <c r="AA210" s="2"/>
    </row>
    <row r="211" spans="1:27" ht="15.75" hidden="1" customHeight="1">
      <c r="A211" s="2"/>
      <c r="B211" s="113" t="s">
        <v>214</v>
      </c>
      <c r="C211" s="114" t="e">
        <f>#REF!*('Entradas Rebanho'!B21/10^6)</f>
        <v>#REF!</v>
      </c>
      <c r="D211" s="96" t="s">
        <v>215</v>
      </c>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hidden="1" customHeight="1">
      <c r="A212" s="2"/>
      <c r="B212" s="113" t="s">
        <v>216</v>
      </c>
      <c r="C212" s="114" t="e">
        <f>#REF!*('Entradas Rebanho'!B30/10^6)</f>
        <v>#REF!</v>
      </c>
      <c r="D212" s="96" t="s">
        <v>217</v>
      </c>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hidden="1" customHeight="1">
      <c r="A213" s="2"/>
      <c r="B213" s="113" t="s">
        <v>218</v>
      </c>
      <c r="C213" s="114" t="e">
        <f>#REF!*('Entradas Rebanho'!B31/10^6)</f>
        <v>#REF!</v>
      </c>
      <c r="D213" s="96" t="s">
        <v>219</v>
      </c>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hidden="1" customHeight="1">
      <c r="A214" s="2"/>
      <c r="B214" s="113" t="s">
        <v>220</v>
      </c>
      <c r="C214" s="114" t="e">
        <f>#REF!*('Entradas Rebanho'!B32/10^6)</f>
        <v>#REF!</v>
      </c>
      <c r="D214" s="96" t="s">
        <v>221</v>
      </c>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hidden="1" customHeight="1">
      <c r="A215" s="2"/>
      <c r="B215" s="113" t="s">
        <v>64</v>
      </c>
      <c r="C215" s="114" t="e">
        <f>#REF!*('Entradas Rebanho'!B33/10^6)</f>
        <v>#REF!</v>
      </c>
      <c r="D215" s="96" t="s">
        <v>222</v>
      </c>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hidden="1" customHeight="1">
      <c r="A216" s="2"/>
      <c r="B216" s="113" t="s">
        <v>35</v>
      </c>
      <c r="C216" s="114">
        <f>C204*('Entradas Rebanho'!B34/10^6)</f>
        <v>0</v>
      </c>
      <c r="D216" s="96" t="s">
        <v>223</v>
      </c>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hidden="1" customHeight="1">
      <c r="A217" s="2"/>
      <c r="B217" s="115" t="s">
        <v>36</v>
      </c>
      <c r="C217" s="116" t="e">
        <f>#REF!*('Entradas Rebanho'!B35/10^6)</f>
        <v>#REF!</v>
      </c>
      <c r="D217" s="117" t="s">
        <v>224</v>
      </c>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hidden="1" customHeight="1">
      <c r="A218" s="2"/>
      <c r="B218" s="118" t="s">
        <v>174</v>
      </c>
      <c r="C218" s="92" t="s">
        <v>175</v>
      </c>
      <c r="D218" s="93" t="s">
        <v>176</v>
      </c>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hidden="1" customHeight="1">
      <c r="A219" s="2"/>
      <c r="B219" s="113" t="s">
        <v>214</v>
      </c>
      <c r="C219" s="95" t="e">
        <f>#REF!*('Entradas Rebanho'!B21/10^6)*1000</f>
        <v>#REF!</v>
      </c>
      <c r="D219" s="96" t="s">
        <v>225</v>
      </c>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hidden="1" customHeight="1">
      <c r="A220" s="2"/>
      <c r="B220" s="113" t="s">
        <v>216</v>
      </c>
      <c r="C220" s="95" t="e">
        <f>#REF!*('Entradas Rebanho'!B30/10^6)*1000</f>
        <v>#REF!</v>
      </c>
      <c r="D220" s="96" t="s">
        <v>226</v>
      </c>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hidden="1" customHeight="1">
      <c r="A221" s="2"/>
      <c r="B221" s="113" t="s">
        <v>218</v>
      </c>
      <c r="C221" s="95" t="e">
        <f>#REF!*('Entradas Rebanho'!B31/10^6)*1000</f>
        <v>#REF!</v>
      </c>
      <c r="D221" s="96" t="s">
        <v>227</v>
      </c>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hidden="1" customHeight="1">
      <c r="A222" s="2"/>
      <c r="B222" s="113" t="s">
        <v>220</v>
      </c>
      <c r="C222" s="95" t="e">
        <f>#REF!*('Entradas Rebanho'!B32/10^6)*1000</f>
        <v>#REF!</v>
      </c>
      <c r="D222" s="96" t="s">
        <v>228</v>
      </c>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hidden="1" customHeight="1">
      <c r="A223" s="2"/>
      <c r="B223" s="113" t="s">
        <v>64</v>
      </c>
      <c r="C223" s="95" t="e">
        <f>#REF!*('Entradas Rebanho'!B33/10^6)*1000</f>
        <v>#REF!</v>
      </c>
      <c r="D223" s="96" t="s">
        <v>229</v>
      </c>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hidden="1" customHeight="1">
      <c r="A224" s="2"/>
      <c r="B224" s="113" t="s">
        <v>35</v>
      </c>
      <c r="C224" s="95">
        <f>C204*('Entradas Rebanho'!B34/10^6)*1000</f>
        <v>0</v>
      </c>
      <c r="D224" s="96" t="s">
        <v>230</v>
      </c>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hidden="1" customHeight="1">
      <c r="A225" s="2"/>
      <c r="B225" s="115" t="s">
        <v>36</v>
      </c>
      <c r="C225" s="95" t="e">
        <f>#REF!*('Entradas Rebanho'!B35/10^6)*1000</f>
        <v>#REF!</v>
      </c>
      <c r="D225" s="96" t="s">
        <v>231</v>
      </c>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customHeight="1" thickBot="1">
      <c r="A226" s="2"/>
      <c r="B226" s="118" t="s">
        <v>174</v>
      </c>
      <c r="C226" s="92" t="s">
        <v>175</v>
      </c>
      <c r="D226" s="93" t="s">
        <v>176</v>
      </c>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customHeight="1">
      <c r="A227" s="2"/>
      <c r="B227" s="94" t="s">
        <v>177</v>
      </c>
      <c r="C227" s="95">
        <f>ROUND(ROUND(C191,3)*(ROUND('Entradas Rebanho'!B21+'Entradas Rebanho'!C21,3)/10^6)*1000000,3)</f>
        <v>138.5</v>
      </c>
      <c r="D227" s="96" t="s">
        <v>1143</v>
      </c>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customHeight="1">
      <c r="A228" s="2"/>
      <c r="B228" s="94" t="s">
        <v>179</v>
      </c>
      <c r="C228" s="95">
        <f>ROUND(ROUND(C192,3)*(ROUND('Entradas Rebanho'!B22+'Entradas Rebanho'!C22,3)/10^6)*1000000,3)</f>
        <v>28.59</v>
      </c>
      <c r="D228" s="96" t="s">
        <v>1143</v>
      </c>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customHeight="1">
      <c r="A229" s="2"/>
      <c r="B229" s="94" t="s">
        <v>180</v>
      </c>
      <c r="C229" s="95">
        <f>ROUND(ROUND(C193,3)*(ROUND('Entradas Rebanho'!B23+'Entradas Rebanho'!C23,3)/10^6)*1000000,3)</f>
        <v>15.18</v>
      </c>
      <c r="D229" s="96" t="s">
        <v>1143</v>
      </c>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customHeight="1">
      <c r="A230" s="2"/>
      <c r="B230" s="97" t="s">
        <v>181</v>
      </c>
      <c r="C230" s="95">
        <f>ROUND(ROUND(C194,3)*(ROUND('Entradas Rebanho'!B24+'Entradas Rebanho'!C24,3)/10^6)*1000000,3)</f>
        <v>317.60000000000002</v>
      </c>
      <c r="D230" s="96" t="s">
        <v>1143</v>
      </c>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customHeight="1">
      <c r="A231" s="2"/>
      <c r="B231" s="97" t="s">
        <v>182</v>
      </c>
      <c r="C231" s="95">
        <f>ROUND(ROUND(C195,3)*(ROUND('Entradas Rebanho'!B25+'Entradas Rebanho'!C25,3)/10^6)*1000000,3)</f>
        <v>131.12</v>
      </c>
      <c r="D231" s="96" t="s">
        <v>1143</v>
      </c>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customHeight="1">
      <c r="A232" s="2"/>
      <c r="B232" s="97" t="s">
        <v>183</v>
      </c>
      <c r="C232" s="95">
        <f>ROUND(ROUND(C196,3)*(ROUND('Entradas Rebanho'!B26+'Entradas Rebanho'!C26,3)/10^6)*1000000,3)</f>
        <v>34.81</v>
      </c>
      <c r="D232" s="96" t="s">
        <v>1143</v>
      </c>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customHeight="1">
      <c r="A233" s="2"/>
      <c r="B233" s="97" t="s">
        <v>184</v>
      </c>
      <c r="C233" s="95">
        <f>ROUND(ROUND(C197,3)*(ROUND('Entradas Rebanho'!B27+'Entradas Rebanho'!C27,3)/10^6)*1000000,3)</f>
        <v>810.6</v>
      </c>
      <c r="D233" s="96" t="s">
        <v>1143</v>
      </c>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customHeight="1">
      <c r="A234" s="2"/>
      <c r="B234" s="97" t="s">
        <v>185</v>
      </c>
      <c r="C234" s="95">
        <f>ROUND(ROUND(C198,3)*(ROUND('Entradas Rebanho'!B28+'Entradas Rebanho'!C28,3)/10^6)*1000000,3)</f>
        <v>209.2</v>
      </c>
      <c r="D234" s="96" t="s">
        <v>1143</v>
      </c>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customHeight="1">
      <c r="A235" s="2"/>
      <c r="B235" s="97" t="s">
        <v>186</v>
      </c>
      <c r="C235" s="95">
        <f>ROUND(ROUND(C199,3)*(ROUND('Entradas Rebanho'!B29+'Entradas Rebanho'!C29,3)/10^6)*1000000,3)</f>
        <v>13.335000000000001</v>
      </c>
      <c r="D235" s="96" t="s">
        <v>1143</v>
      </c>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customHeight="1">
      <c r="A236" s="2"/>
      <c r="B236" s="97" t="s">
        <v>187</v>
      </c>
      <c r="C236" s="95">
        <f>ROUND(ROUND(C200,3)*(ROUND('Entradas Rebanho'!B30+'Entradas Rebanho'!C30,3)/10^6)*1000000,3)</f>
        <v>400.95</v>
      </c>
      <c r="D236" s="96" t="s">
        <v>1143</v>
      </c>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customHeight="1">
      <c r="A237" s="2"/>
      <c r="B237" s="97" t="s">
        <v>188</v>
      </c>
      <c r="C237" s="95">
        <f>ROUND(ROUND(C201,3)*(ROUND('Entradas Rebanho'!B31+'Entradas Rebanho'!C31,3)/10^6)*1000000,3)</f>
        <v>692.75</v>
      </c>
      <c r="D237" s="96" t="s">
        <v>1143</v>
      </c>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customHeight="1">
      <c r="A238" s="2"/>
      <c r="B238" s="97" t="s">
        <v>189</v>
      </c>
      <c r="C238" s="95">
        <f>ROUND(ROUND(C202,3)*(ROUND('Entradas Rebanho'!B32+'Entradas Rebanho'!C32,3)/10^6)*1000000,3)</f>
        <v>89.01</v>
      </c>
      <c r="D238" s="96" t="s">
        <v>1143</v>
      </c>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customHeight="1">
      <c r="A239" s="2"/>
      <c r="B239" s="97" t="s">
        <v>190</v>
      </c>
      <c r="C239" s="95">
        <f>ROUND(ROUND(C203,3)*(ROUND('Entradas Rebanho'!B33+'Entradas Rebanho'!C33,3)/10^6)*1000000,3)</f>
        <v>45.95</v>
      </c>
      <c r="D239" s="96" t="s">
        <v>1143</v>
      </c>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customHeight="1">
      <c r="A240" s="2"/>
      <c r="B240" s="97" t="s">
        <v>191</v>
      </c>
      <c r="C240" s="95">
        <f>ROUND(ROUND(C204,3)*(ROUND('Entradas Rebanho'!B34+'Entradas Rebanho'!C34,3)/10^6)*1000000,3)</f>
        <v>94.424999999999997</v>
      </c>
      <c r="D240" s="96" t="s">
        <v>1143</v>
      </c>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customHeight="1" thickBot="1">
      <c r="A241" s="2"/>
      <c r="B241" s="385" t="s">
        <v>192</v>
      </c>
      <c r="C241" s="386">
        <f>ROUND(ROUND(C205,3)*(ROUND('Entradas Rebanho'!B35+'Entradas Rebanho'!C35,3)/10^6)*1000000,3)</f>
        <v>5.4480000000000004</v>
      </c>
      <c r="D241" s="387" t="s">
        <v>1143</v>
      </c>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customHeight="1">
      <c r="A244" s="2"/>
      <c r="B244" s="959" t="s">
        <v>232</v>
      </c>
      <c r="C244" s="930"/>
      <c r="D244" s="931"/>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customHeight="1">
      <c r="A245" s="2"/>
      <c r="B245" s="923" t="s">
        <v>233</v>
      </c>
      <c r="C245" s="924"/>
      <c r="D245" s="925"/>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customHeight="1" thickBot="1">
      <c r="A246" s="2"/>
      <c r="B246" s="91" t="s">
        <v>234</v>
      </c>
      <c r="C246" s="101" t="s">
        <v>175</v>
      </c>
      <c r="D246" s="112" t="s">
        <v>176</v>
      </c>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hidden="1" customHeight="1">
      <c r="A247" s="2"/>
      <c r="B247" s="119" t="s">
        <v>235</v>
      </c>
      <c r="C247" s="120" t="e">
        <f>SUM(C211:C217)</f>
        <v>#REF!</v>
      </c>
      <c r="D247" s="121" t="s">
        <v>236</v>
      </c>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hidden="1" customHeight="1">
      <c r="A248" s="2"/>
      <c r="B248" s="122" t="s">
        <v>235</v>
      </c>
      <c r="C248" s="123" t="e">
        <f>SUM(C219:C225)</f>
        <v>#REF!</v>
      </c>
      <c r="D248" s="124" t="s">
        <v>237</v>
      </c>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customHeight="1" thickBot="1">
      <c r="A249" s="2"/>
      <c r="B249" s="799" t="s">
        <v>235</v>
      </c>
      <c r="C249" s="800">
        <f>ROUND(SUM(C227:C241),3)</f>
        <v>3027.4679999999998</v>
      </c>
      <c r="D249" s="801" t="s">
        <v>1143</v>
      </c>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customHeight="1" thickBot="1">
      <c r="A250" s="2"/>
      <c r="B250" s="442" t="s">
        <v>238</v>
      </c>
      <c r="C250" s="454" t="s">
        <v>239</v>
      </c>
      <c r="D250" s="444" t="s">
        <v>1143</v>
      </c>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customHeight="1">
      <c r="A253" s="107"/>
      <c r="B253" s="960" t="s">
        <v>240</v>
      </c>
      <c r="C253" s="940"/>
      <c r="D253" s="941"/>
      <c r="E253" s="107"/>
      <c r="F253" s="107"/>
      <c r="G253" s="107"/>
      <c r="H253" s="107"/>
      <c r="I253" s="107"/>
      <c r="J253" s="107"/>
      <c r="K253" s="107"/>
      <c r="L253" s="107"/>
      <c r="M253" s="107"/>
      <c r="N253" s="107"/>
      <c r="O253" s="126"/>
      <c r="P253" s="126"/>
      <c r="Q253" s="126"/>
      <c r="R253" s="126"/>
      <c r="S253" s="126"/>
      <c r="T253" s="126"/>
      <c r="U253" s="126"/>
      <c r="V253" s="126"/>
      <c r="W253" s="126"/>
      <c r="X253" s="126"/>
      <c r="Y253" s="126"/>
      <c r="Z253" s="126"/>
      <c r="AA253" s="126"/>
    </row>
    <row r="254" spans="1:27" ht="15.75" customHeight="1">
      <c r="A254" s="107"/>
      <c r="B254" s="961" t="s">
        <v>241</v>
      </c>
      <c r="C254" s="872"/>
      <c r="D254" s="873"/>
      <c r="E254" s="126"/>
      <c r="F254" s="126"/>
      <c r="G254" s="126"/>
      <c r="H254" s="126"/>
      <c r="I254" s="126"/>
      <c r="J254" s="126"/>
      <c r="K254" s="126"/>
      <c r="L254" s="126"/>
      <c r="M254" s="126"/>
      <c r="N254" s="126"/>
      <c r="O254" s="126"/>
      <c r="P254" s="126"/>
      <c r="Q254" s="126"/>
      <c r="R254" s="126"/>
      <c r="S254" s="126"/>
      <c r="T254" s="126"/>
      <c r="U254" s="126"/>
      <c r="V254" s="126"/>
      <c r="W254" s="126"/>
      <c r="X254" s="126"/>
      <c r="Y254" s="126"/>
      <c r="Z254" s="126"/>
      <c r="AA254" s="126"/>
    </row>
    <row r="255" spans="1:27"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customHeight="1">
      <c r="A257" s="2"/>
      <c r="B257" s="920" t="s">
        <v>242</v>
      </c>
      <c r="C257" s="921"/>
      <c r="D257" s="92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customHeight="1">
      <c r="A258" s="2"/>
      <c r="B258" s="923" t="s">
        <v>243</v>
      </c>
      <c r="C258" s="924"/>
      <c r="D258" s="925"/>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customHeight="1">
      <c r="A259" s="2"/>
      <c r="B259" s="91" t="s">
        <v>174</v>
      </c>
      <c r="C259" s="101" t="s">
        <v>175</v>
      </c>
      <c r="D259" s="112" t="s">
        <v>176</v>
      </c>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customHeight="1">
      <c r="A260" s="2"/>
      <c r="B260" s="94" t="s">
        <v>177</v>
      </c>
      <c r="C260" s="95">
        <f>ROUND((C168*((1-('Entradas Alimentação'!$F$36/100))+(Default!$D$147)))*((1-Default!$E$147)/18.45),3)</f>
        <v>0.84899999999999998</v>
      </c>
      <c r="D260" s="96" t="s">
        <v>244</v>
      </c>
      <c r="E260" s="2"/>
      <c r="F260" s="104"/>
      <c r="G260" s="2"/>
      <c r="H260" s="2"/>
      <c r="I260" s="2"/>
      <c r="J260" s="2"/>
      <c r="K260" s="2"/>
      <c r="L260" s="2"/>
      <c r="M260" s="2"/>
      <c r="N260" s="2"/>
      <c r="O260" s="2"/>
      <c r="P260" s="2"/>
      <c r="Q260" s="2"/>
      <c r="R260" s="2"/>
      <c r="S260" s="2"/>
      <c r="T260" s="2"/>
      <c r="U260" s="2"/>
      <c r="V260" s="2"/>
      <c r="W260" s="2"/>
      <c r="X260" s="2"/>
      <c r="Y260" s="2"/>
      <c r="Z260" s="2"/>
      <c r="AA260" s="2"/>
    </row>
    <row r="261" spans="1:27" ht="15.75" customHeight="1">
      <c r="A261" s="2"/>
      <c r="B261" s="94" t="s">
        <v>179</v>
      </c>
      <c r="C261" s="95">
        <f>ROUND((C169*((1-('Entradas Alimentação'!$L$36/100))+(Default!$D$149)))*((1-Default!$E$149)/18.45),3)</f>
        <v>0.876</v>
      </c>
      <c r="D261" s="96" t="s">
        <v>244</v>
      </c>
      <c r="E261" s="2"/>
      <c r="F261" s="104"/>
      <c r="G261" s="2"/>
      <c r="H261" s="2"/>
      <c r="I261" s="2"/>
      <c r="J261" s="2"/>
      <c r="K261" s="2"/>
      <c r="L261" s="2"/>
      <c r="M261" s="2"/>
      <c r="N261" s="2"/>
      <c r="O261" s="2"/>
      <c r="P261" s="2"/>
      <c r="Q261" s="2"/>
      <c r="R261" s="2"/>
      <c r="S261" s="2"/>
      <c r="T261" s="2"/>
      <c r="U261" s="2"/>
      <c r="V261" s="2"/>
      <c r="W261" s="2"/>
      <c r="X261" s="2"/>
      <c r="Y261" s="2"/>
      <c r="Z261" s="2"/>
      <c r="AA261" s="2"/>
    </row>
    <row r="262" spans="1:27" ht="15.75" customHeight="1">
      <c r="A262" s="2"/>
      <c r="B262" s="94" t="s">
        <v>180</v>
      </c>
      <c r="C262" s="95">
        <f>ROUND((C170*((1-('Entradas Alimentação'!$R$36/100))+(Default!$D$151)))*((1-Default!$E$151)/18.45),3)</f>
        <v>0.93</v>
      </c>
      <c r="D262" s="96" t="s">
        <v>244</v>
      </c>
      <c r="E262" s="2"/>
      <c r="F262" s="104"/>
      <c r="G262" s="2"/>
      <c r="H262" s="2"/>
      <c r="I262" s="2"/>
      <c r="J262" s="2"/>
      <c r="K262" s="2"/>
      <c r="L262" s="2"/>
      <c r="M262" s="2"/>
      <c r="N262" s="2"/>
      <c r="O262" s="2"/>
      <c r="P262" s="2"/>
      <c r="Q262" s="2"/>
      <c r="R262" s="2"/>
      <c r="S262" s="2"/>
      <c r="T262" s="2"/>
      <c r="U262" s="2"/>
      <c r="V262" s="2"/>
      <c r="W262" s="2"/>
      <c r="X262" s="2"/>
      <c r="Y262" s="2"/>
      <c r="Z262" s="2"/>
      <c r="AA262" s="2"/>
    </row>
    <row r="263" spans="1:27" ht="15.75" customHeight="1">
      <c r="A263" s="2"/>
      <c r="B263" s="97" t="s">
        <v>181</v>
      </c>
      <c r="C263" s="95">
        <f>ROUND((C171*((1-('Entradas Alimentação'!$X$36/100))+(Default!$D$153)))*((1-Default!$E$153)/18.45),3)</f>
        <v>0.97299999999999998</v>
      </c>
      <c r="D263" s="96" t="s">
        <v>244</v>
      </c>
      <c r="E263" s="2"/>
      <c r="F263" s="104"/>
      <c r="G263" s="2"/>
      <c r="H263" s="2"/>
      <c r="I263" s="2"/>
      <c r="J263" s="2"/>
      <c r="K263" s="2"/>
      <c r="L263" s="2"/>
      <c r="M263" s="2"/>
      <c r="N263" s="2"/>
      <c r="O263" s="2"/>
      <c r="P263" s="2"/>
      <c r="Q263" s="2"/>
      <c r="R263" s="2"/>
      <c r="S263" s="2"/>
      <c r="T263" s="2"/>
      <c r="U263" s="2"/>
      <c r="V263" s="2"/>
      <c r="W263" s="2"/>
      <c r="X263" s="2"/>
      <c r="Y263" s="2"/>
      <c r="Z263" s="2"/>
      <c r="AA263" s="2"/>
    </row>
    <row r="264" spans="1:27" ht="15.75" customHeight="1">
      <c r="A264" s="2"/>
      <c r="B264" s="97" t="s">
        <v>182</v>
      </c>
      <c r="C264" s="95">
        <f>ROUND((C172*((1-('Entradas Alimentação'!$AD$36/100))+(Default!$D$155)))*((1-Default!$E$155)/18.45),3)</f>
        <v>1.004</v>
      </c>
      <c r="D264" s="96" t="s">
        <v>244</v>
      </c>
      <c r="E264" s="2"/>
      <c r="F264" s="104"/>
      <c r="G264" s="2"/>
      <c r="H264" s="2"/>
      <c r="I264" s="2"/>
      <c r="J264" s="2"/>
      <c r="K264" s="2"/>
      <c r="L264" s="2"/>
      <c r="M264" s="2"/>
      <c r="N264" s="2"/>
      <c r="O264" s="2"/>
      <c r="P264" s="2"/>
      <c r="Q264" s="2"/>
      <c r="R264" s="2"/>
      <c r="S264" s="2"/>
      <c r="T264" s="2"/>
      <c r="U264" s="2"/>
      <c r="V264" s="2"/>
      <c r="W264" s="2"/>
      <c r="X264" s="2"/>
      <c r="Y264" s="2"/>
      <c r="Z264" s="2"/>
      <c r="AA264" s="2"/>
    </row>
    <row r="265" spans="1:27" ht="15.75" customHeight="1">
      <c r="A265" s="2"/>
      <c r="B265" s="97" t="s">
        <v>183</v>
      </c>
      <c r="C265" s="95">
        <f>ROUND((C173*((1-('Entradas Alimentação'!$AJ$36/100))+(Default!$D$157)))*((1-Default!$E$157)/18.45),3)</f>
        <v>1.0669999999999999</v>
      </c>
      <c r="D265" s="96" t="s">
        <v>244</v>
      </c>
      <c r="E265" s="2"/>
      <c r="F265" s="104"/>
      <c r="G265" s="2"/>
      <c r="H265" s="2"/>
      <c r="I265" s="2"/>
      <c r="J265" s="2"/>
      <c r="K265" s="2"/>
      <c r="L265" s="2"/>
      <c r="M265" s="2"/>
      <c r="N265" s="2"/>
      <c r="O265" s="2"/>
      <c r="P265" s="2"/>
      <c r="Q265" s="2"/>
      <c r="R265" s="2"/>
      <c r="S265" s="2"/>
      <c r="T265" s="2"/>
      <c r="U265" s="2"/>
      <c r="V265" s="2"/>
      <c r="W265" s="2"/>
      <c r="X265" s="2"/>
      <c r="Y265" s="2"/>
      <c r="Z265" s="2"/>
      <c r="AA265" s="2"/>
    </row>
    <row r="266" spans="1:27" ht="15.75" customHeight="1">
      <c r="A266" s="2"/>
      <c r="B266" s="97" t="s">
        <v>184</v>
      </c>
      <c r="C266" s="95">
        <f>ROUND((C174*((1-('Entradas Alimentação'!$AP$36/100))+(Default!$D$159)))*((1-Default!$E$159)/18.45),3)</f>
        <v>1.3280000000000001</v>
      </c>
      <c r="D266" s="96" t="s">
        <v>244</v>
      </c>
      <c r="E266" s="2"/>
      <c r="F266" s="104"/>
      <c r="G266" s="2"/>
      <c r="H266" s="2"/>
      <c r="I266" s="2"/>
      <c r="J266" s="2"/>
      <c r="K266" s="2"/>
      <c r="L266" s="2"/>
      <c r="M266" s="2"/>
      <c r="N266" s="2"/>
      <c r="O266" s="2"/>
      <c r="P266" s="2"/>
      <c r="Q266" s="2"/>
      <c r="R266" s="2"/>
      <c r="S266" s="2"/>
      <c r="T266" s="2"/>
      <c r="U266" s="2"/>
      <c r="V266" s="2"/>
      <c r="W266" s="2"/>
      <c r="X266" s="2"/>
      <c r="Y266" s="2"/>
      <c r="Z266" s="2"/>
      <c r="AA266" s="2"/>
    </row>
    <row r="267" spans="1:27" ht="15.75" customHeight="1">
      <c r="A267" s="2"/>
      <c r="B267" s="97" t="s">
        <v>185</v>
      </c>
      <c r="C267" s="95">
        <f>ROUND((C175*((1-('Entradas Alimentação'!$AV$36/100))+(Default!$D$161)))*((1-Default!$E$161)/18.45),3)</f>
        <v>1.371</v>
      </c>
      <c r="D267" s="96" t="s">
        <v>244</v>
      </c>
      <c r="E267" s="2"/>
      <c r="F267" s="104"/>
      <c r="G267" s="2"/>
      <c r="H267" s="2"/>
      <c r="I267" s="2"/>
      <c r="J267" s="2"/>
      <c r="K267" s="2"/>
      <c r="L267" s="2"/>
      <c r="M267" s="2"/>
      <c r="N267" s="2"/>
      <c r="O267" s="2"/>
      <c r="P267" s="2"/>
      <c r="Q267" s="2"/>
      <c r="R267" s="2"/>
      <c r="S267" s="2"/>
      <c r="T267" s="2"/>
      <c r="U267" s="2"/>
      <c r="V267" s="2"/>
      <c r="W267" s="2"/>
      <c r="X267" s="2"/>
      <c r="Y267" s="2"/>
      <c r="Z267" s="2"/>
      <c r="AA267" s="2"/>
    </row>
    <row r="268" spans="1:27" ht="15.75" customHeight="1">
      <c r="A268" s="2"/>
      <c r="B268" s="97" t="s">
        <v>186</v>
      </c>
      <c r="C268" s="95">
        <f>ROUND((C176*((1-('Entradas Alimentação'!$BB$36/100))+(Default!$D$163)))*((1-Default!$E$163)/18.45),3)</f>
        <v>1.456</v>
      </c>
      <c r="D268" s="96" t="s">
        <v>244</v>
      </c>
      <c r="E268" s="2"/>
      <c r="F268" s="104"/>
      <c r="G268" s="2"/>
      <c r="H268" s="2"/>
      <c r="I268" s="2"/>
      <c r="J268" s="2"/>
      <c r="K268" s="2"/>
      <c r="L268" s="2"/>
      <c r="M268" s="2"/>
      <c r="N268" s="2"/>
      <c r="O268" s="2"/>
      <c r="P268" s="2"/>
      <c r="Q268" s="2"/>
      <c r="R268" s="2"/>
      <c r="S268" s="2"/>
      <c r="T268" s="2"/>
      <c r="U268" s="2"/>
      <c r="V268" s="2"/>
      <c r="W268" s="2"/>
      <c r="X268" s="2"/>
      <c r="Y268" s="2"/>
      <c r="Z268" s="2"/>
      <c r="AA268" s="2"/>
    </row>
    <row r="269" spans="1:27" ht="15.75" customHeight="1">
      <c r="A269" s="2"/>
      <c r="B269" s="97" t="s">
        <v>187</v>
      </c>
      <c r="C269" s="95">
        <f>ROUND((C177*((1-('Entradas Alimentação'!$BH$36/100))+(Default!$D$165)))*((1-Default!$E$165)/18.45),3)</f>
        <v>1.6120000000000001</v>
      </c>
      <c r="D269" s="96" t="s">
        <v>244</v>
      </c>
      <c r="E269" s="2"/>
      <c r="F269" s="104"/>
      <c r="G269" s="2"/>
      <c r="H269" s="2"/>
      <c r="I269" s="2"/>
      <c r="J269" s="2"/>
      <c r="K269" s="2"/>
      <c r="L269" s="2"/>
      <c r="M269" s="2"/>
      <c r="N269" s="2"/>
      <c r="O269" s="2"/>
      <c r="P269" s="2"/>
      <c r="Q269" s="2"/>
      <c r="R269" s="2"/>
      <c r="S269" s="2"/>
      <c r="T269" s="2"/>
      <c r="U269" s="2"/>
      <c r="V269" s="2"/>
      <c r="W269" s="2"/>
      <c r="X269" s="2"/>
      <c r="Y269" s="2"/>
      <c r="Z269" s="2"/>
      <c r="AA269" s="2"/>
    </row>
    <row r="270" spans="1:27" ht="15.75" customHeight="1">
      <c r="A270" s="2"/>
      <c r="B270" s="97" t="s">
        <v>188</v>
      </c>
      <c r="C270" s="95">
        <f>ROUND((C178*((1-('Entradas Alimentação'!$BN$36/100))+(Default!$D$166)))*((1-Default!$E$166)/18.45),3)</f>
        <v>1.671</v>
      </c>
      <c r="D270" s="96" t="s">
        <v>244</v>
      </c>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customHeight="1">
      <c r="A271" s="2"/>
      <c r="B271" s="97" t="s">
        <v>189</v>
      </c>
      <c r="C271" s="95">
        <f>ROUND((C179*((1-('Entradas Alimentação'!$BT$36/100))+(Default!$D$167)))*((1-Default!$E$167)/18.45),3)</f>
        <v>1.788</v>
      </c>
      <c r="D271" s="96" t="s">
        <v>244</v>
      </c>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customHeight="1">
      <c r="A272" s="2"/>
      <c r="B272" s="97" t="s">
        <v>190</v>
      </c>
      <c r="C272" s="95">
        <f>ROUND((C180*((1-('Entradas Alimentação'!$BZ$36/100))+(Default!$D$168)))*((1-Default!$E$168)/18.45),3)</f>
        <v>1.4590000000000001</v>
      </c>
      <c r="D272" s="96" t="s">
        <v>244</v>
      </c>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customHeight="1">
      <c r="A273" s="2"/>
      <c r="B273" s="97" t="s">
        <v>191</v>
      </c>
      <c r="C273" s="95">
        <f>ROUND((C181*((1-('Entradas Alimentação'!$CF$36/100))+(Default!$D$170)))*((1-Default!$E$170)/18.45),3)</f>
        <v>2.153</v>
      </c>
      <c r="D273" s="96" t="s">
        <v>244</v>
      </c>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customHeight="1">
      <c r="A274" s="2"/>
      <c r="B274" s="98" t="s">
        <v>192</v>
      </c>
      <c r="C274" s="99">
        <f>ROUND((C182*((1-('Entradas Alimentação'!$CL$36/100))+(Default!$D$171)))*((1-Default!$E$171)/18.45),3)</f>
        <v>1.952</v>
      </c>
      <c r="D274" s="100" t="s">
        <v>244</v>
      </c>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customHeight="1">
      <c r="A277" s="2"/>
      <c r="B277" s="920" t="s">
        <v>245</v>
      </c>
      <c r="C277" s="921"/>
      <c r="D277" s="92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customHeight="1">
      <c r="A278" s="2"/>
      <c r="B278" s="923" t="s">
        <v>246</v>
      </c>
      <c r="C278" s="924"/>
      <c r="D278" s="925"/>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customHeight="1">
      <c r="A279" s="2"/>
      <c r="B279" s="91" t="s">
        <v>174</v>
      </c>
      <c r="C279" s="101" t="s">
        <v>175</v>
      </c>
      <c r="D279" s="112" t="s">
        <v>176</v>
      </c>
      <c r="E279" s="2"/>
      <c r="F279" s="127"/>
      <c r="G279" s="2"/>
      <c r="H279" s="2"/>
      <c r="I279" s="2"/>
      <c r="J279" s="2"/>
      <c r="K279" s="2"/>
      <c r="L279" s="2"/>
      <c r="M279" s="2"/>
      <c r="N279" s="2"/>
      <c r="O279" s="2"/>
      <c r="P279" s="2"/>
      <c r="Q279" s="2"/>
      <c r="R279" s="2"/>
      <c r="S279" s="2"/>
      <c r="T279" s="2"/>
      <c r="U279" s="2"/>
      <c r="V279" s="2"/>
      <c r="W279" s="2"/>
      <c r="X279" s="2"/>
      <c r="Y279" s="2"/>
      <c r="Z279" s="2"/>
      <c r="AA279" s="2"/>
    </row>
    <row r="280" spans="1:27" ht="15.75" customHeight="1">
      <c r="A280" s="2"/>
      <c r="B280" s="94" t="s">
        <v>177</v>
      </c>
      <c r="C280" s="95">
        <f>ROUND((C260*'Entradas Rebanho'!D10)*((IF(AND('Entradas Rebanho'!B39="Semiconfinado",'Entradas Rebanho'!E39="Sim"),Default!$C$147,(IF(AND('Entradas Rebanho'!B39="Semiconfinado",'Entradas Rebanho'!E39="Não"),Default!$C$148,IF('Entradas Rebanho'!B39="A pasto",Default!$C$148,)))))*0.67)*((((IF('Entradas Rebanho'!$B57="Lagoa anaeróbica descoberta",Default!$G$179,IF('Entradas Rebanho'!$B57="Sistema de gerenciamento com cama apresentando mistura",Default!$G$185,IF('Entradas Rebanho'!$B57="Armazenamento sólido",Default!$G$187,IF('Entradas Rebanho'!$B57="Lote seco",Default!$G$191,IF('Entradas Rebanho'!$B57="Espalhamento diário",Default!$G$192,IF('Entradas Rebanho'!$B57="Compostagem pilha estática (aeração forçada)",Default!$G$194,IF('Entradas Rebanho'!$B57="Pastagem/área de pastoreio/piquete",Default!$G$197,IF('Entradas Rebanho'!$B57="Tratamento aeróbico ",Default!$G$199,IF('Entradas Rebanho'!$B57="Biodigestor (alta tecnologia)",Default!$G$201,IF('Entradas Rebanho'!$B57="Biodigestor (convencional)",Default!$G$202)))))))))))/100)*('Entradas Rebanho'!$C57/100))+(((IF('Entradas Rebanho'!$D57="Lagoa anaeróbica descoberta",Default!$G$179,IF('Entradas Rebanho'!$D57="Sistema de gerenciamento com cama apresentando mistura",Default!$G$185,IF('Entradas Rebanho'!$D57="Armazenamento sólido",Default!$G$187,IF('Entradas Rebanho'!$D57="Lote seco",Default!$G$191,IF('Entradas Rebanho'!$D57="Espalhamento diário",Default!$G$192,IF('Entradas Rebanho'!$D57="Compostagem pilha estática (aeração forçada)",Default!$G$194,IF('Entradas Rebanho'!$D57="Pastagem/área de pastoreio/piquete",Default!$G$197,IF('Entradas Rebanho'!$D57="Tratamento aeróbico ",Default!$G$199,IF('Entradas Rebanho'!$D57="Biodigestor (alta tecnologia)",Default!$G$201,IF('Entradas Rebanho'!$D57="Biodigestor (convencional)",Default!$G$202)))))))))))/100)*('Entradas Rebanho'!$E57/100))+(((IF('Entradas Rebanho'!$F57="Lagoa anaeróbica descoberta",Default!$G$179,IF('Entradas Rebanho'!$F57="Sistema de gerenciamento com cama apresentando mistura",Default!$G$185,IF('Entradas Rebanho'!$F57="Armazenamento sólido",Default!$G$187,IF('Entradas Rebanho'!$F57="Lote seco",Default!$G$191,IF('Entradas Rebanho'!$F57="Espalhamento diário",Default!$G$192,IF('Entradas Rebanho'!$F57="Compostagem pilha estática (aeração forçada)",Default!$G$194,IF('Entradas Rebanho'!$F57="Pastagem/área de pastoreio/piquete",Default!$G$197,IF('Entradas Rebanho'!$F57="Tratamento aeróbico ",Default!$G$199,IF('Entradas Rebanho'!$F57="Biodigestor (alta tecnologia)",Default!$G$201,IF('Entradas Rebanho'!$F57="Biodigestor (convencional)",Default!$G$202)))))))))))/100)*('Entradas Rebanho'!$G57/100))),3)</f>
        <v>1.0999999999999999E-2</v>
      </c>
      <c r="D280" s="96" t="s">
        <v>1144</v>
      </c>
      <c r="E280" s="2"/>
      <c r="F280" s="127"/>
      <c r="G280" s="2"/>
      <c r="H280" s="2"/>
      <c r="I280" s="2"/>
      <c r="J280" s="2"/>
      <c r="K280" s="2"/>
      <c r="L280" s="2"/>
      <c r="M280" s="2"/>
      <c r="N280" s="2"/>
      <c r="O280" s="2"/>
      <c r="P280" s="2"/>
      <c r="Q280" s="2"/>
      <c r="R280" s="2"/>
      <c r="S280" s="2"/>
      <c r="T280" s="2"/>
      <c r="U280" s="2"/>
      <c r="V280" s="2"/>
      <c r="W280" s="2"/>
      <c r="X280" s="2"/>
      <c r="Y280" s="2"/>
      <c r="Z280" s="2"/>
      <c r="AA280" s="2"/>
    </row>
    <row r="281" spans="1:27" ht="15.75" customHeight="1">
      <c r="A281" s="2"/>
      <c r="B281" s="94" t="s">
        <v>179</v>
      </c>
      <c r="C281" s="95">
        <f>ROUND((C261*'Entradas Rebanho'!D10)*((IF(AND('Entradas Rebanho'!B40="Semiconfinado",'Entradas Rebanho'!E40="Sim"),Default!$C$149,(((IF(AND('Entradas Rebanho'!B40="Semiconfinado",'Entradas Rebanho'!E40="Não"),Default!$C$150,IF('Entradas Rebanho'!B40="A pasto",Default!$C$150,)))))*0.67)))*(((((IF('Entradas Rebanho'!$B58="Lagoa anaeróbica descoberta",Default!$G$179,IF('Entradas Rebanho'!$B58="Sistema de gerenciamento com cama apresentando mistura",Default!$G$185,IF('Entradas Rebanho'!$B58="Armazenamento sólido",Default!$G$187,IF('Entradas Rebanho'!$B58="Lote seco",Default!$G$191,IF('Entradas Rebanho'!$B58="Espalhamento diário",Default!$G$192,IF('Entradas Rebanho'!$B58="Compostagem pilha estática (aeração forçada)",Default!$G$194,IF('Entradas Rebanho'!$B58="Pastagem/área de pastoreio/piquete",Default!$G$197,IF('Entradas Rebanho'!$B58="Tratamento aeróbico ",Default!$G$199,IF('Entradas Rebanho'!$B58="Biodigestor (alta tecnologia)",Default!$G$201,IF('Entradas Rebanho'!$B58="Biodigestor (convencional)",Default!$G$202)))))))))))/100)*('Entradas Rebanho'!$C58/100))+(((IF('Entradas Rebanho'!$D58="Lagoa anaeróbica descoberta",Default!$G$179,IF('Entradas Rebanho'!$D58="Sistema de gerenciamento com cama apresentando mistura",Default!$G$185,IF('Entradas Rebanho'!$D58="Armazenamento sólido",Default!$G$187,IF('Entradas Rebanho'!$D58="Lote seco",Default!$G$191,IF('Entradas Rebanho'!$D58="Espalhamento diário",Default!$G$192,IF('Entradas Rebanho'!$D58="Compostagem pilha estática (aeração forçada)",Default!$G$194,IF('Entradas Rebanho'!$D58="Pastagem/área de pastoreio/piquete",Default!$G$197,IF('Entradas Rebanho'!$D58="Tratamento aeróbico ",Default!$G$199,IF('Entradas Rebanho'!$D58="Biodigestor (alta tecnologia)",Default!$G$201,IF('Entradas Rebanho'!$D58="Biodigestor (convencional)",Default!$G$202)))))))))))/100)*('Entradas Rebanho'!$E58/100))+(((IF('Entradas Rebanho'!$F58="Lagoa anaeróbica descoberta",Default!$G$179,IF('Entradas Rebanho'!$F58="Sistema de gerenciamento com cama apresentando mistura",Default!$G$185,IF('Entradas Rebanho'!$F58="Armazenamento sólido",Default!$G$187,IF('Entradas Rebanho'!$F58="Lote seco",Default!$G$191,IF('Entradas Rebanho'!$F58="Espalhamento diário",Default!$G$192,IF('Entradas Rebanho'!$F58="Compostagem pilha estática (aeração forçada)",Default!$G$194,IF('Entradas Rebanho'!$F58="Pastagem/área de pastoreio/piquete",Default!$G$197,IF('Entradas Rebanho'!$F58="Tratamento aeróbico ",Default!$G$199,IF('Entradas Rebanho'!$F58="Biodigestor (alta tecnologia)",Default!$G$201,IF('Entradas Rebanho'!$F58="Biodigestor (convencional)",Default!$G$202)))))))))))/100)*('Entradas Rebanho'!$G58/100)))),3)</f>
        <v>1.0999999999999999E-2</v>
      </c>
      <c r="D281" s="96" t="s">
        <v>1144</v>
      </c>
      <c r="E281" s="2"/>
      <c r="F281" s="127"/>
      <c r="G281" s="2"/>
      <c r="H281" s="2"/>
      <c r="I281" s="2"/>
      <c r="J281" s="2"/>
      <c r="K281" s="2"/>
      <c r="L281" s="2"/>
      <c r="M281" s="2"/>
      <c r="N281" s="2"/>
      <c r="O281" s="2"/>
      <c r="P281" s="2"/>
      <c r="Q281" s="2"/>
      <c r="R281" s="2"/>
      <c r="S281" s="2"/>
      <c r="T281" s="2"/>
      <c r="U281" s="2"/>
      <c r="V281" s="2"/>
      <c r="W281" s="2"/>
      <c r="X281" s="2"/>
      <c r="Y281" s="2"/>
      <c r="Z281" s="2"/>
      <c r="AA281" s="2"/>
    </row>
    <row r="282" spans="1:27" ht="15.75" customHeight="1">
      <c r="A282" s="2"/>
      <c r="B282" s="94" t="s">
        <v>180</v>
      </c>
      <c r="C282" s="95">
        <f>ROUND((C262*'Entradas Rebanho'!D10)*((IF(AND('Entradas Rebanho'!B41="Semiconfinado",'Entradas Rebanho'!E41="Sim"),Default!$C$151,(IF(AND('Entradas Rebanho'!B41="Semiconfinado",'Entradas Rebanho'!E41="Não"),Default!$C$152,IF('Entradas Rebanho'!B41="A pasto",Default!$C$152,)))))*0.67)*((((IF('Entradas Rebanho'!$B59="Lagoa anaeróbica descoberta",Default!$G$179,IF('Entradas Rebanho'!$B59="Sistema de gerenciamento com cama apresentando mistura",Default!$G$185,IF('Entradas Rebanho'!$B59="Armazenamento sólido",Default!$G$187,IF('Entradas Rebanho'!$B59="Lote seco",Default!$G$191,IF('Entradas Rebanho'!$B59="Espalhamento diário",Default!$G$192,IF('Entradas Rebanho'!$B59="Compostagem pilha estática (aeração forçada)",Default!$G$194,IF('Entradas Rebanho'!$B59="Pastagem/área de pastoreio/piquete",Default!$G$197,IF('Entradas Rebanho'!$B59="Tratamento aeróbico ",Default!$G$199,IF('Entradas Rebanho'!$B59="Biodigestor (alta tecnologia)",Default!$G$201,IF('Entradas Rebanho'!$B59="Biodigestor (convencional)",Default!$G$202)))))))))))/100)*('Entradas Rebanho'!$C59/100))+(((IF('Entradas Rebanho'!$D59="Lagoa anaeróbica descoberta",Default!$G$179,IF('Entradas Rebanho'!$D59="Sistema de gerenciamento com cama apresentando mistura",Default!$G$185,IF('Entradas Rebanho'!$D59="Armazenamento sólido",Default!$G$187,IF('Entradas Rebanho'!$D59="Lote seco",Default!$G$191,IF('Entradas Rebanho'!$D59="Espalhamento diário",Default!$G$192,IF('Entradas Rebanho'!$D59="Compostagem pilha estática (aeração forçada)",Default!$G$194,IF('Entradas Rebanho'!$D59="Pastagem/área de pastoreio/piquete",Default!$G$197,IF('Entradas Rebanho'!$D59="Tratamento aeróbico ",Default!$G$199,IF('Entradas Rebanho'!$D59="Biodigestor (alta tecnologia)",Default!$G$201,IF('Entradas Rebanho'!$D59="Biodigestor (convencional)",Default!$G$202)))))))))))/100)*('Entradas Rebanho'!$E59/100))+(((IF('Entradas Rebanho'!$F59="Lagoa anaeróbica descoberta",Default!$G$179,IF('Entradas Rebanho'!$F59="Sistema de gerenciamento com cama apresentando mistura",Default!$G$185,IF('Entradas Rebanho'!$F59="Armazenamento sólido",Default!$G$187,IF('Entradas Rebanho'!$F59="Lote seco",Default!$G$191,IF('Entradas Rebanho'!$F59="Espalhamento diário",Default!$G$192,IF('Entradas Rebanho'!$F59="Compostagem pilha estática (aeração forçada)",Default!$G$194,IF('Entradas Rebanho'!$F59="Pastagem/área de pastoreio/piquete",Default!$G$197,IF('Entradas Rebanho'!$F59="Tratamento aeróbico ",Default!$G$199,IF('Entradas Rebanho'!$F59="Biodigestor (alta tecnologia)",Default!$G$201,IF('Entradas Rebanho'!$F59="Biodigestor (convencional)",Default!$G$202)))))))))))/100)*('Entradas Rebanho'!$G59/100))),3)</f>
        <v>1.2E-2</v>
      </c>
      <c r="D282" s="96" t="s">
        <v>1144</v>
      </c>
      <c r="E282" s="2"/>
      <c r="F282" s="127"/>
      <c r="G282" s="2"/>
      <c r="H282" s="2"/>
      <c r="I282" s="2"/>
      <c r="J282" s="2"/>
      <c r="K282" s="2"/>
      <c r="L282" s="2"/>
      <c r="M282" s="2"/>
      <c r="N282" s="2"/>
      <c r="O282" s="2"/>
      <c r="P282" s="2"/>
      <c r="Q282" s="2"/>
      <c r="R282" s="2"/>
      <c r="S282" s="2"/>
      <c r="T282" s="2"/>
      <c r="U282" s="2"/>
      <c r="V282" s="2"/>
      <c r="W282" s="2"/>
      <c r="X282" s="2"/>
      <c r="Y282" s="2"/>
      <c r="Z282" s="2"/>
      <c r="AA282" s="2"/>
    </row>
    <row r="283" spans="1:27" ht="15.75" customHeight="1">
      <c r="A283" s="2"/>
      <c r="B283" s="97" t="s">
        <v>181</v>
      </c>
      <c r="C283" s="95">
        <f>ROUND((C263*'Entradas Rebanho'!D10)*((IF(AND('Entradas Rebanho'!B42="Semiconfinado",'Entradas Rebanho'!E42="Sim"),Default!$C$153,(IF(AND('Entradas Rebanho'!B42="Semiconfinado",'Entradas Rebanho'!E42="Não"),Default!$C$154,IF('Entradas Rebanho'!B42="A pasto",Default!$C$154,)))))*0.67)*((((IF('Entradas Rebanho'!$B60="Lagoa anaeróbica descoberta",Default!$G$179,IF('Entradas Rebanho'!$B60="Sistema de gerenciamento com cama apresentando mistura",Default!$G$185,IF('Entradas Rebanho'!$B60="Armazenamento sólido",Default!$G$187,IF('Entradas Rebanho'!$B60="Lote seco",Default!$G$191,IF('Entradas Rebanho'!$B60="Espalhamento diário",Default!$G$192,IF('Entradas Rebanho'!$B60="Compostagem pilha estática (aeração forçada)",Default!$G$194,IF('Entradas Rebanho'!$B60="Pastagem/área de pastoreio/piquete",Default!$G$197,IF('Entradas Rebanho'!$B60="Tratamento aeróbico ",Default!$G$199,IF('Entradas Rebanho'!$B60="Biodigestor (alta tecnologia)",Default!$G$201,IF('Entradas Rebanho'!$B60="Biodigestor (convencional)",Default!$G$202)))))))))))/100)*('Entradas Rebanho'!$C60/100))+(((IF('Entradas Rebanho'!$D60="Lagoa anaeróbica descoberta",Default!$G$179,IF('Entradas Rebanho'!$D60="Sistema de gerenciamento com cama apresentando mistura",Default!$G$185,IF('Entradas Rebanho'!$D60="Armazenamento sólido",Default!$G$187,IF('Entradas Rebanho'!$D60="Lote seco",Default!$G$191,IF('Entradas Rebanho'!$D60="Espalhamento diário",Default!$G$192,IF('Entradas Rebanho'!$D60="Compostagem pilha estática (aeração forçada)",Default!$G$194,IF('Entradas Rebanho'!$D60="Pastagem/área de pastoreio/piquete",Default!$G$197,IF('Entradas Rebanho'!$D60="Tratamento aeróbico ",Default!$G$199,IF('Entradas Rebanho'!$D60="Biodigestor (alta tecnologia)",Default!$G$201,IF('Entradas Rebanho'!$D60="Biodigestor (convencional)",Default!$G$202)))))))))))/100)*('Entradas Rebanho'!$E60/100))+(((IF('Entradas Rebanho'!$F60="Lagoa anaeróbica descoberta",Default!$G$179,IF('Entradas Rebanho'!$F60="Sistema de gerenciamento com cama apresentando mistura",Default!$G$185,IF('Entradas Rebanho'!$F60="Armazenamento sólido",Default!$G$187,IF('Entradas Rebanho'!$F60="Lote seco",Default!$G$191,IF('Entradas Rebanho'!$F60="Espalhamento diário",Default!$G$192,IF('Entradas Rebanho'!$F60="Compostagem pilha estática (aeração forçada)",Default!$G$194,IF('Entradas Rebanho'!$F60="Pastagem/área de pastoreio/piquete",Default!$G$197,IF('Entradas Rebanho'!$F60="Tratamento aeróbico ",Default!$G$199,IF('Entradas Rebanho'!$F60="Biodigestor (alta tecnologia)",Default!$G$201,IF('Entradas Rebanho'!$F60="Biodigestor (convencional)",Default!$G$202)))))))))))/100)*('Entradas Rebanho'!$G60/100))),3)</f>
        <v>1.2E-2</v>
      </c>
      <c r="D283" s="96" t="s">
        <v>1144</v>
      </c>
      <c r="E283" s="2"/>
      <c r="F283" s="127"/>
      <c r="G283" s="2"/>
      <c r="H283" s="2"/>
      <c r="I283" s="2"/>
      <c r="J283" s="2"/>
      <c r="K283" s="2"/>
      <c r="L283" s="2"/>
      <c r="M283" s="2"/>
      <c r="N283" s="2"/>
      <c r="O283" s="2"/>
      <c r="P283" s="2"/>
      <c r="Q283" s="2"/>
      <c r="R283" s="2"/>
      <c r="S283" s="2"/>
      <c r="T283" s="2"/>
      <c r="U283" s="2"/>
      <c r="V283" s="2"/>
      <c r="W283" s="2"/>
      <c r="X283" s="2"/>
      <c r="Y283" s="2"/>
      <c r="Z283" s="2"/>
      <c r="AA283" s="2"/>
    </row>
    <row r="284" spans="1:27" ht="15.75" customHeight="1">
      <c r="A284" s="2"/>
      <c r="B284" s="97" t="s">
        <v>182</v>
      </c>
      <c r="C284" s="95">
        <f>ROUND((C264*'Entradas Rebanho'!D10)*((IF(AND('Entradas Rebanho'!B43="Semiconfinado",'Entradas Rebanho'!E43="Sim"),Default!$C$155,(IF(AND('Entradas Rebanho'!B43="Semiconfinado",'Entradas Rebanho'!E43="Não"),Default!$C$156,IF('Entradas Rebanho'!B43="A pasto",Default!$C$156,)))))*0.67)*(((((IF('Entradas Rebanho'!$B61="Lagoa anaeróbica descoberta",Default!$G$179,IF('Entradas Rebanho'!$B61="Sistema de gerenciamento com cama apresentando mistura",Default!$G$185,IF('Entradas Rebanho'!$B61="Armazenamento sólido",Default!$G$187,IF('Entradas Rebanho'!$B61="Lote seco",Default!$G$191,IF('Entradas Rebanho'!$B61="Espalhamento diário",Default!$G$192,IF('Entradas Rebanho'!$B61="Compostagem pilha estática (aeração forçada)",Default!$G$194,IF('Entradas Rebanho'!$B61="Pastagem/área de pastoreio/piquete",Default!$G$197,IF('Entradas Rebanho'!$B61="Tratamento aeróbico ",Default!$G$199,IF('Entradas Rebanho'!$B61="Biodigestor (alta tecnologia)",Default!$G$201,IF('Entradas Rebanho'!$B61="Biodigestor (convencional)",Default!$G$202)))))))))))/100)*('Entradas Rebanho'!$C61/100))+(((IF('Entradas Rebanho'!$D61="Lagoa anaeróbica descoberta",Default!$G$179,IF('Entradas Rebanho'!$D61="Sistema de gerenciamento com cama apresentando mistura",Default!$G$185,IF('Entradas Rebanho'!$D61="Armazenamento sólido",Default!$G$187,IF('Entradas Rebanho'!$D61="Lote seco",Default!$G$191,IF('Entradas Rebanho'!$D61="Espalhamento diário",Default!$G$192,IF('Entradas Rebanho'!$D61="Compostagem pilha estática (aeração forçada)",Default!$G$194,IF('Entradas Rebanho'!$D61="Pastagem/área de pastoreio/piquete",Default!$G$197,IF('Entradas Rebanho'!$D61="Tratamento aeróbico ",Default!$G$199,IF('Entradas Rebanho'!$D61="Biodigestor (alta tecnologia)",Default!$G$201,IF('Entradas Rebanho'!$D61="Biodigestor (convencional)",Default!$G$202)))))))))))/100)*('Entradas Rebanho'!$E61/100))+(((IF('Entradas Rebanho'!$F61="Lagoa anaeróbica descoberta",Default!$G$179,IF('Entradas Rebanho'!$F61="Sistema de gerenciamento com cama apresentando mistura",Default!$G$185,IF('Entradas Rebanho'!$F61="Armazenamento sólido",Default!$G$187,IF('Entradas Rebanho'!$F61="Lote seco",Default!$G$191,IF('Entradas Rebanho'!$F61="Espalhamento diário",Default!$G$192,IF('Entradas Rebanho'!$F61="Compostagem pilha estática (aeração forçada)",Default!$G$194,IF('Entradas Rebanho'!$F61="Pastagem/área de pastoreio/piquete",Default!$G$197,IF('Entradas Rebanho'!$F61="Tratamento aeróbico ",Default!$G$199,IF('Entradas Rebanho'!$F61="Biodigestor (alta tecnologia)",Default!$G$201,IF('Entradas Rebanho'!$F61="Biodigestor (convencional)",Default!$G$202)))))))))))/100)*('Entradas Rebanho'!$G61/100)))),3)</f>
        <v>1.2999999999999999E-2</v>
      </c>
      <c r="D284" s="96" t="s">
        <v>1144</v>
      </c>
      <c r="E284" s="2"/>
      <c r="F284" s="127"/>
      <c r="G284" s="2"/>
      <c r="H284" s="2"/>
      <c r="I284" s="2"/>
      <c r="J284" s="2"/>
      <c r="K284" s="2"/>
      <c r="L284" s="2"/>
      <c r="M284" s="2"/>
      <c r="N284" s="2"/>
      <c r="O284" s="2"/>
      <c r="P284" s="2"/>
      <c r="Q284" s="2"/>
      <c r="R284" s="2"/>
      <c r="S284" s="2"/>
      <c r="T284" s="2"/>
      <c r="U284" s="2"/>
      <c r="V284" s="2"/>
      <c r="W284" s="2"/>
      <c r="X284" s="2"/>
      <c r="Y284" s="2"/>
      <c r="Z284" s="2"/>
      <c r="AA284" s="2"/>
    </row>
    <row r="285" spans="1:27" ht="15.75" customHeight="1">
      <c r="A285" s="2"/>
      <c r="B285" s="97" t="s">
        <v>183</v>
      </c>
      <c r="C285" s="95">
        <f>ROUND((C265*'Entradas Rebanho'!D10)*((IF(AND('Entradas Rebanho'!B44="Semiconfinado",'Entradas Rebanho'!E44="Sim"),Default!$C$157,(IF(AND('Entradas Rebanho'!B44="Semiconfinado",'Entradas Rebanho'!E44="Não"),Default!$C$158,IF('Entradas Rebanho'!B44="A pasto",Default!$C$158,)))))*0.67)*((((IF('Entradas Rebanho'!$B62="Lagoa anaeróbica descoberta",Default!$G$179,IF('Entradas Rebanho'!$B62="Sistema de gerenciamento com cama apresentando mistura",Default!$G$185,IF('Entradas Rebanho'!$B62="Armazenamento sólido",Default!$G$187,IF('Entradas Rebanho'!$B62="Lote seco",Default!$G$191,IF('Entradas Rebanho'!$B62="Espalhamento diário",Default!$G$192,IF('Entradas Rebanho'!$B62="Compostagem pilha estática (aeração forçada)",Default!$G$194,IF('Entradas Rebanho'!$B62="Pastagem/área de pastoreio/piquete",Default!$G$197,IF('Entradas Rebanho'!$B62="Tratamento aeróbico ",Default!$G$199,IF('Entradas Rebanho'!$B62="Biodigestor (alta tecnologia)",Default!$G$201,IF('Entradas Rebanho'!$B62="Biodigestor (convencional)",Default!$G$202)))))))))))/100)*('Entradas Rebanho'!$C62/100))+(((IF('Entradas Rebanho'!$D62="Lagoa anaeróbica descoberta",Default!$G$179,IF('Entradas Rebanho'!$D62="Sistema de gerenciamento com cama apresentando mistura",Default!$G$185,IF('Entradas Rebanho'!$D62="Armazenamento sólido",Default!$G$187,IF('Entradas Rebanho'!$D62="Lote seco",Default!$G$191,IF('Entradas Rebanho'!$D62="Espalhamento diário",Default!$G$192,IF('Entradas Rebanho'!$D62="Compostagem pilha estática (aeração forçada)",Default!$G$194,IF('Entradas Rebanho'!$D62="Pastagem/área de pastoreio/piquete",Default!$G$197,IF('Entradas Rebanho'!$D62="Tratamento aeróbico ",Default!$G$199,IF('Entradas Rebanho'!$D62="Biodigestor (alta tecnologia)",Default!$G$201,IF('Entradas Rebanho'!$D62="Biodigestor (convencional)",Default!$G$202)))))))))))/100)*('Entradas Rebanho'!$E62/100))+(((IF('Entradas Rebanho'!$F62="Lagoa anaeróbica descoberta",Default!$G$179,IF('Entradas Rebanho'!$F62="Sistema de gerenciamento com cama apresentando mistura",Default!$G$185,IF('Entradas Rebanho'!$F62="Armazenamento sólido",Default!$G$187,IF('Entradas Rebanho'!$F62="Lote seco",Default!$G$191,IF('Entradas Rebanho'!$F62="Espalhamento diário",Default!$G$192,IF('Entradas Rebanho'!$F62="Compostagem pilha estática (aeração forçada)",Default!$G$194,IF('Entradas Rebanho'!$F62="Pastagem/área de pastoreio/piquete",Default!$G$197,IF('Entradas Rebanho'!$F62="Tratamento aeróbico ",Default!$G$199,IF('Entradas Rebanho'!$F62="Biodigestor (alta tecnologia)",Default!$G$201,IF('Entradas Rebanho'!$F62="Biodigestor (convencional)",Default!$G$202)))))))))))/100)*('Entradas Rebanho'!$G62/100))),3)</f>
        <v>1.4E-2</v>
      </c>
      <c r="D285" s="96" t="s">
        <v>1144</v>
      </c>
      <c r="E285" s="2"/>
      <c r="F285" s="127"/>
      <c r="G285" s="2"/>
      <c r="H285" s="2"/>
      <c r="I285" s="2"/>
      <c r="J285" s="2"/>
      <c r="K285" s="2"/>
      <c r="L285" s="2"/>
      <c r="M285" s="2"/>
      <c r="N285" s="2"/>
      <c r="O285" s="2"/>
      <c r="P285" s="2"/>
      <c r="Q285" s="2"/>
      <c r="R285" s="2"/>
      <c r="S285" s="2"/>
      <c r="T285" s="2"/>
      <c r="U285" s="2"/>
      <c r="V285" s="2"/>
      <c r="W285" s="2"/>
      <c r="X285" s="2"/>
      <c r="Y285" s="2"/>
      <c r="Z285" s="2"/>
      <c r="AA285" s="2"/>
    </row>
    <row r="286" spans="1:27" ht="15.75" customHeight="1">
      <c r="A286" s="2"/>
      <c r="B286" s="97" t="s">
        <v>184</v>
      </c>
      <c r="C286" s="95">
        <f>ROUND((C266*'Entradas Rebanho'!D10)*((IF(AND('Entradas Rebanho'!B45="Semiconfinado",'Entradas Rebanho'!E45="Sim"),Default!$C$159,(IF(AND('Entradas Rebanho'!B45="Semiconfinado",'Entradas Rebanho'!E45="Não"),Default!$C$160,IF('Entradas Rebanho'!B45="A pasto",Default!$C$160,)))))*0.67)*((((IF('Entradas Rebanho'!$B63="Lagoa anaeróbica descoberta",Default!$G$179,IF('Entradas Rebanho'!$B63="Sistema de gerenciamento com cama apresentando mistura",Default!$G$185,IF('Entradas Rebanho'!$B63="Armazenamento sólido",Default!$G$187,IF('Entradas Rebanho'!$B63="Lote seco",Default!$G$191,IF('Entradas Rebanho'!$B63="Espalhamento diário",Default!$G$192,IF('Entradas Rebanho'!$B63="Compostagem pilha estática (aeração forçada)",Default!$G$194,IF('Entradas Rebanho'!$B63="Pastagem/área de pastoreio/piquete",Default!$G$197,IF('Entradas Rebanho'!$B63="Tratamento aeróbico ",Default!$G$199,IF('Entradas Rebanho'!$B63="Biodigestor (alta tecnologia)",Default!$G$201,IF('Entradas Rebanho'!$B63="Biodigestor (convencional)",Default!$G$202)))))))))))/100)*('Entradas Rebanho'!$C63/100))+(((IF('Entradas Rebanho'!$D63="Lagoa anaeróbica descoberta",Default!$G$179,IF('Entradas Rebanho'!$D63="Sistema de gerenciamento com cama apresentando mistura",Default!$G$185,IF('Entradas Rebanho'!$D63="Armazenamento sólido",Default!$G$187,IF('Entradas Rebanho'!$D63="Lote seco",Default!$G$191,IF('Entradas Rebanho'!$D63="Espalhamento diário",Default!$G$192,IF('Entradas Rebanho'!$D63="Compostagem pilha estática (aeração forçada)",Default!$G$194,IF('Entradas Rebanho'!$D63="Pastagem/área de pastoreio/piquete",Default!$G$197,IF('Entradas Rebanho'!$D63="Tratamento aeróbico ",Default!$G$199,IF('Entradas Rebanho'!$D63="Biodigestor (alta tecnologia)",Default!$G$201,IF('Entradas Rebanho'!$D63="Biodigestor (convencional)",Default!$G$202)))))))))))/100)*('Entradas Rebanho'!$E63/100))+(((IF('Entradas Rebanho'!$F63="Lagoa anaeróbica descoberta",Default!$G$179,IF('Entradas Rebanho'!$F63="Sistema de gerenciamento com cama apresentando mistura",Default!$G$185,IF('Entradas Rebanho'!$F63="Armazenamento sólido",Default!$G$187,IF('Entradas Rebanho'!$F63="Lote seco",Default!$G$191,IF('Entradas Rebanho'!$F63="Espalhamento diário",Default!$G$192,IF('Entradas Rebanho'!$F63="Compostagem pilha estática (aeração forçada)",Default!$G$194,IF('Entradas Rebanho'!$F63="Pastagem/área de pastoreio/piquete",Default!$G$197,IF('Entradas Rebanho'!$F63="Tratamento aeróbico ",Default!$G$199,IF('Entradas Rebanho'!$F63="Biodigestor (alta tecnologia)",Default!$G$201,IF('Entradas Rebanho'!$F63="Biodigestor (convencional)",Default!$G$202)))))))))))/100)*('Entradas Rebanho'!$G63/100))),3)</f>
        <v>1.7000000000000001E-2</v>
      </c>
      <c r="D286" s="96" t="s">
        <v>1144</v>
      </c>
      <c r="E286" s="2"/>
      <c r="F286" s="127"/>
      <c r="G286" s="2"/>
      <c r="H286" s="2"/>
      <c r="I286" s="2"/>
      <c r="J286" s="2"/>
      <c r="K286" s="2"/>
      <c r="L286" s="2"/>
      <c r="M286" s="2"/>
      <c r="N286" s="2"/>
      <c r="O286" s="2"/>
      <c r="P286" s="2"/>
      <c r="Q286" s="2"/>
      <c r="R286" s="2"/>
      <c r="S286" s="2"/>
      <c r="T286" s="2"/>
      <c r="U286" s="2"/>
      <c r="V286" s="2"/>
      <c r="W286" s="2"/>
      <c r="X286" s="2"/>
      <c r="Y286" s="2"/>
      <c r="Z286" s="2"/>
      <c r="AA286" s="2"/>
    </row>
    <row r="287" spans="1:27" ht="15.75" customHeight="1">
      <c r="A287" s="2"/>
      <c r="B287" s="97" t="s">
        <v>185</v>
      </c>
      <c r="C287" s="95">
        <f>ROUND((C267*'Entradas Rebanho'!D10)*((IF(AND('Entradas Rebanho'!B46="Semiconfinado",'Entradas Rebanho'!E46="Sim"),Default!$C$161,(IF(AND('Entradas Rebanho'!B46="Semiconfinado",'Entradas Rebanho'!E46="Não"),Default!$C$162,IF('Entradas Rebanho'!B46="A pasto",Default!$C$162,)))))*0.67)*((((IF('Entradas Rebanho'!$B64="Lagoa anaeróbica descoberta",Default!$G$179,IF('Entradas Rebanho'!$B64="Sistema de gerenciamento com cama apresentando mistura",Default!$G$185,IF('Entradas Rebanho'!$B64="Armazenamento sólido",Default!$G$187,IF('Entradas Rebanho'!$B64="Lote seco",Default!$G$191,IF('Entradas Rebanho'!$B64="Espalhamento diário",Default!$G$192,IF('Entradas Rebanho'!$B64="Compostagem pilha estática (aeração forçada)",Default!$G$194,IF('Entradas Rebanho'!$B64="Pastagem/área de pastoreio/piquete",Default!$G$197,IF('Entradas Rebanho'!$B64="Tratamento aeróbico ",Default!$G$199,IF('Entradas Rebanho'!$B64="Biodigestor (alta tecnologia)",Default!$G$201,IF('Entradas Rebanho'!$B64="Biodigestor (convencional)",Default!$G$202)))))))))))/100)*('Entradas Rebanho'!$C64/100))+(((IF('Entradas Rebanho'!$D64="Lagoa anaeróbica descoberta",Default!$G$179,IF('Entradas Rebanho'!$D64="Sistema de gerenciamento com cama apresentando mistura",Default!$G$185,IF('Entradas Rebanho'!$D64="Armazenamento sólido",Default!$G$187,IF('Entradas Rebanho'!$D64="Lote seco",Default!$G$191,IF('Entradas Rebanho'!$D64="Espalhamento diário",Default!$G$192,IF('Entradas Rebanho'!$D64="Compostagem pilha estática (aeração forçada)",Default!$G$194,IF('Entradas Rebanho'!$D64="Pastagem/área de pastoreio/piquete",Default!$G$197,IF('Entradas Rebanho'!$D64="Tratamento aeróbico ",Default!$G$199,IF('Entradas Rebanho'!$D64="Biodigestor (alta tecnologia)",Default!$G$201,IF('Entradas Rebanho'!$D64="Biodigestor (convencional)",Default!$G$202)))))))))))/100)*('Entradas Rebanho'!$E64/100))+(((IF('Entradas Rebanho'!$F64="Lagoa anaeróbica descoberta",Default!$G$179,IF('Entradas Rebanho'!$F64="Sistema de gerenciamento com cama apresentando mistura",Default!$G$185,IF('Entradas Rebanho'!$F64="Armazenamento sólido",Default!$G$187,IF('Entradas Rebanho'!$F64="Lote seco",Default!$G$191,IF('Entradas Rebanho'!$F64="Espalhamento diário",Default!$G$192,IF('Entradas Rebanho'!$F64="Compostagem pilha estática (aeração forçada)",Default!$G$194,IF('Entradas Rebanho'!$F64="Pastagem/área de pastoreio/piquete",Default!$G$197,IF('Entradas Rebanho'!$F64="Tratamento aeróbico ",Default!$G$199,IF('Entradas Rebanho'!$F64="Biodigestor (alta tecnologia)",Default!$G$201,IF('Entradas Rebanho'!$F64="Biodigestor (convencional)",Default!$G$202)))))))))))/100)*('Entradas Rebanho'!$G64/100))),3)</f>
        <v>1.7000000000000001E-2</v>
      </c>
      <c r="D287" s="96" t="s">
        <v>1144</v>
      </c>
      <c r="E287" s="2"/>
      <c r="F287" s="127"/>
      <c r="G287" s="2"/>
      <c r="H287" s="2"/>
      <c r="I287" s="2"/>
      <c r="J287" s="2"/>
      <c r="K287" s="2"/>
      <c r="L287" s="2"/>
      <c r="M287" s="2"/>
      <c r="N287" s="2"/>
      <c r="O287" s="2"/>
      <c r="P287" s="2"/>
      <c r="Q287" s="2"/>
      <c r="R287" s="2"/>
      <c r="S287" s="2"/>
      <c r="T287" s="2"/>
      <c r="U287" s="2"/>
      <c r="V287" s="2"/>
      <c r="W287" s="2"/>
      <c r="X287" s="2"/>
      <c r="Y287" s="2"/>
      <c r="Z287" s="2"/>
      <c r="AA287" s="2"/>
    </row>
    <row r="288" spans="1:27" ht="15.75" customHeight="1">
      <c r="A288" s="2"/>
      <c r="B288" s="97" t="s">
        <v>186</v>
      </c>
      <c r="C288" s="95">
        <f>ROUND((C268*'Entradas Rebanho'!D10)*((IF(AND('Entradas Rebanho'!B47="Semiconfinado",'Entradas Rebanho'!E47="Sim"),Default!$C$163,(IF(AND('Entradas Rebanho'!B47="Semiconfinado",'Entradas Rebanho'!E47="Não"),Default!$C$164,IF('Entradas Rebanho'!B47="A pasto",Default!$C$164,)))))*0.67)*((((IF('Entradas Rebanho'!$B65="Lagoa anaeróbica descoberta",Default!$G$179,IF('Entradas Rebanho'!$B65="Sistema de gerenciamento com cama apresentando mistura",Default!$G$185,IF('Entradas Rebanho'!$B65="Armazenamento sólido",Default!$G$187,IF('Entradas Rebanho'!$B65="Lote seco",Default!$G$191,IF('Entradas Rebanho'!$B65="Espalhamento diário",Default!$G$192,IF('Entradas Rebanho'!$B65="Compostagem pilha estática (aeração forçada)",Default!$G$194,IF('Entradas Rebanho'!$B65="Pastagem/área de pastoreio/piquete",Default!$G$197,IF('Entradas Rebanho'!$B65="Tratamento aeróbico ",Default!$G$199,IF('Entradas Rebanho'!$B65="Biodigestor (alta tecnologia)",Default!$G$201,IF('Entradas Rebanho'!$B65="Biodigestor (convencional)",Default!$G$202)))))))))))/100)*('Entradas Rebanho'!$C65/100))+(((IF('Entradas Rebanho'!$D65="Lagoa anaeróbica descoberta",Default!$G$179,IF('Entradas Rebanho'!$D65="Sistema de gerenciamento com cama apresentando mistura",Default!$G$185,IF('Entradas Rebanho'!$D65="Armazenamento sólido",Default!$G$187,IF('Entradas Rebanho'!$D65="Lote seco",Default!$G$191,IF('Entradas Rebanho'!$D65="Espalhamento diário",Default!$G$192,IF('Entradas Rebanho'!$D65="Compostagem pilha estática (aeração forçada)",Default!$G$194,IF('Entradas Rebanho'!$D65="Pastagem/área de pastoreio/piquete",Default!$G$197,IF('Entradas Rebanho'!$D65="Tratamento aeróbico ",Default!$G$199,IF('Entradas Rebanho'!$D65="Biodigestor (alta tecnologia)",Default!$G$201,IF('Entradas Rebanho'!$D65="Biodigestor (convencional)",Default!$G$202)))))))))))/100)*('Entradas Rebanho'!$E65/100))+(((IF('Entradas Rebanho'!$F65="Lagoa anaeróbica descoberta",Default!$G$179,IF('Entradas Rebanho'!$F65="Sistema de gerenciamento com cama apresentando mistura",Default!$G$185,IF('Entradas Rebanho'!$F65="Armazenamento sólido",Default!$G$187,IF('Entradas Rebanho'!$F65="Lote seco",Default!$G$191,IF('Entradas Rebanho'!$F65="Espalhamento diário",Default!$G$192,IF('Entradas Rebanho'!$F65="Compostagem pilha estática (aeração forçada)",Default!$G$194,IF('Entradas Rebanho'!$F65="Pastagem/área de pastoreio/piquete",Default!$G$197,IF('Entradas Rebanho'!$F65="Tratamento aeróbico ",Default!$G$199,IF('Entradas Rebanho'!$F65="Biodigestor (alta tecnologia)",Default!$G$201,IF('Entradas Rebanho'!$F65="Biodigestor (convencional)",Default!$G$202)))))))))))/100)*('Entradas Rebanho'!$G65/100))),3)</f>
        <v>1.7999999999999999E-2</v>
      </c>
      <c r="D288" s="96" t="s">
        <v>1144</v>
      </c>
      <c r="E288" s="2"/>
      <c r="F288" s="127"/>
      <c r="G288" s="2"/>
      <c r="H288" s="2"/>
      <c r="I288" s="2"/>
      <c r="J288" s="2"/>
      <c r="K288" s="2"/>
      <c r="L288" s="2"/>
      <c r="M288" s="2"/>
      <c r="N288" s="2"/>
      <c r="O288" s="2"/>
      <c r="P288" s="2"/>
      <c r="Q288" s="2"/>
      <c r="R288" s="2"/>
      <c r="S288" s="2"/>
      <c r="T288" s="2"/>
      <c r="U288" s="2"/>
      <c r="V288" s="2"/>
      <c r="W288" s="2"/>
      <c r="X288" s="2"/>
      <c r="Y288" s="2"/>
      <c r="Z288" s="2"/>
      <c r="AA288" s="2"/>
    </row>
    <row r="289" spans="1:27" ht="15.75" customHeight="1">
      <c r="A289" s="2"/>
      <c r="B289" s="97" t="s">
        <v>187</v>
      </c>
      <c r="C289" s="95">
        <f>ROUND((C269*'Entradas Rebanho'!D10)*(Default!$C$165*0.67)*((((IF('Entradas Rebanho'!$B66="Lagoa anaeróbica descoberta",Default!$G$179,IF('Entradas Rebanho'!$B66="Sistema de gerenciamento com cama apresentando mistura",Default!$G$185,IF('Entradas Rebanho'!$B66="Armazenamento sólido",Default!$G$187,IF('Entradas Rebanho'!$B66="Lote seco",Default!$G$191,IF('Entradas Rebanho'!$B66="Espalhamento diário",Default!$G$192,IF('Entradas Rebanho'!$B66="Compostagem pilha estática (aeração forçada)",Default!$G$194,IF('Entradas Rebanho'!$B66="Pastagem/área de pastoreio/piquete",Default!$G$197,IF('Entradas Rebanho'!$B66="Tratamento aeróbico ",Default!$G$199,IF('Entradas Rebanho'!$B66="Biodigestor (alta tecnologia)",Default!$G$201,IF('Entradas Rebanho'!$B66="Biodigestor (convencional)",Default!$G$202)))))))))))/100)*('Entradas Rebanho'!$C66/100))+(((IF('Entradas Rebanho'!$D66="Lagoa anaeróbica descoberta",Default!$G$179,IF('Entradas Rebanho'!$D66="Sistema de gerenciamento com cama apresentando mistura",Default!$G$185,IF('Entradas Rebanho'!$D66="Armazenamento sólido",Default!$G$187,IF('Entradas Rebanho'!$D66="Lote seco",Default!$G$191,IF('Entradas Rebanho'!$D66="Espalhamento diário",Default!$G$192,IF('Entradas Rebanho'!$D66="Compostagem pilha estática (aeração forçada)",Default!$G$194,IF('Entradas Rebanho'!$D66="Pastagem/área de pastoreio/piquete",Default!$G$197,IF('Entradas Rebanho'!$D66="Tratamento aeróbico ",Default!$G$199,IF('Entradas Rebanho'!$D66="Biodigestor (alta tecnologia)",Default!$G$201,IF('Entradas Rebanho'!$D66="Biodigestor (convencional)",Default!$G$202)))))))))))/100)*('Entradas Rebanho'!$E66/100))+(((IF('Entradas Rebanho'!$F66="Lagoa anaeróbica descoberta",Default!$G$179,IF('Entradas Rebanho'!$F66="Sistema de gerenciamento com cama apresentando mistura",Default!$G$185,IF('Entradas Rebanho'!$F66="Armazenamento sólido",Default!$G$187,IF('Entradas Rebanho'!$F66="Lote seco",Default!$G$191,IF('Entradas Rebanho'!$F66="Espalhamento diário",Default!$G$192,IF('Entradas Rebanho'!$F66="Compostagem pilha estática (aeração forçada)",Default!$G$194,IF('Entradas Rebanho'!$F66="Pastagem/área de pastoreio/piquete",Default!$G$197,IF('Entradas Rebanho'!$F66="Tratamento aeróbico ",Default!$G$199,IF('Entradas Rebanho'!$F66="Biodigestor (alta tecnologia)",Default!$G$201,IF('Entradas Rebanho'!$F66="Biodigestor (convencional)",Default!$G$202)))))))))))/100)*('Entradas Rebanho'!$G66/100))),3)</f>
        <v>0.30099999999999999</v>
      </c>
      <c r="D289" s="96" t="s">
        <v>1144</v>
      </c>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customHeight="1">
      <c r="A290" s="2"/>
      <c r="B290" s="97" t="s">
        <v>188</v>
      </c>
      <c r="C290" s="95">
        <f>ROUND((C270*'Entradas Rebanho'!D10)*(Default!$C$166*0.67)*((((IF('Entradas Rebanho'!$B67="Lagoa anaeróbica descoberta",Default!$G$179,IF('Entradas Rebanho'!$B67="Sistema de gerenciamento com cama apresentando mistura",Default!$G$185,IF('Entradas Rebanho'!$B67="Armazenamento sólido",Default!$G$187,IF('Entradas Rebanho'!$B67="Lote seco",Default!$G$191,IF('Entradas Rebanho'!$B67="Espalhamento diário",Default!$G$192,IF('Entradas Rebanho'!$B67="Compostagem pilha estática (aeração forçada)",Default!$G$194,IF('Entradas Rebanho'!$B67="Pastagem/área de pastoreio/piquete",Default!$G$197,IF('Entradas Rebanho'!$B67="Tratamento aeróbico ",Default!$G$199,IF('Entradas Rebanho'!$B67="Biodigestor (alta tecnologia)",Default!$G$201,IF('Entradas Rebanho'!$B67="Biodigestor (convencional)",Default!$G$202)))))))))))/100)*('Entradas Rebanho'!$C67/100))+(((IF('Entradas Rebanho'!$D67="Lagoa anaeróbica descoberta",Default!$G$179,IF('Entradas Rebanho'!$D67="Sistema de gerenciamento com cama apresentando mistura",Default!$G$185,IF('Entradas Rebanho'!$D67="Armazenamento sólido",Default!$G$187,IF('Entradas Rebanho'!$D67="Lote seco",Default!$G$191,IF('Entradas Rebanho'!$D67="Espalhamento diário",Default!$G$192,IF('Entradas Rebanho'!$D67="Compostagem pilha estática (aeração forçada)",Default!$G$194,IF('Entradas Rebanho'!$D67="Pastagem/área de pastoreio/piquete",Default!$G$197,IF('Entradas Rebanho'!$D67="Tratamento aeróbico ",Default!$G$199,IF('Entradas Rebanho'!$D67="Biodigestor (alta tecnologia)",Default!$G$201,IF('Entradas Rebanho'!$D67="Biodigestor (convencional)",Default!$G$202)))))))))))/100)*('Entradas Rebanho'!$E67/100))+(((IF('Entradas Rebanho'!$F67="Lagoa anaeróbica descoberta",Default!$G$179,IF('Entradas Rebanho'!$F67="Sistema de gerenciamento com cama apresentando mistura",Default!$G$185,IF('Entradas Rebanho'!$F67="Armazenamento sólido",Default!$G$187,IF('Entradas Rebanho'!$F67="Lote seco",Default!$G$191,IF('Entradas Rebanho'!$F67="Espalhamento diário",Default!$G$192,IF('Entradas Rebanho'!$F67="Compostagem pilha estática (aeração forçada)",Default!$G$194,IF('Entradas Rebanho'!$F67="Pastagem/área de pastoreio/piquete",Default!$G$197,IF('Entradas Rebanho'!$F67="Tratamento aeróbico ",Default!$G$199,IF('Entradas Rebanho'!$F67="Biodigestor (alta tecnologia)",Default!$G$201,IF('Entradas Rebanho'!$F67="Biodigestor (convencional)",Default!$G$202)))))))))))/100)*('Entradas Rebanho'!$G67/100))),3)</f>
        <v>0.312</v>
      </c>
      <c r="D290" s="96" t="s">
        <v>1144</v>
      </c>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customHeight="1">
      <c r="A291" s="2"/>
      <c r="B291" s="97" t="s">
        <v>189</v>
      </c>
      <c r="C291" s="95">
        <f>ROUND((C271*'Entradas Rebanho'!D10)*(Default!$C$167*0.67)*((((IF('Entradas Rebanho'!$B68="Lagoa anaeróbica descoberta",Default!$G$179,IF('Entradas Rebanho'!$B68="Sistema de gerenciamento com cama apresentando mistura",Default!$G$185,IF('Entradas Rebanho'!$B68="Armazenamento sólido",Default!$G$187,IF('Entradas Rebanho'!$B68="Lote seco",Default!$G$191,IF('Entradas Rebanho'!$B68="Espalhamento diário",Default!$G$192,IF('Entradas Rebanho'!$B68="Compostagem pilha estática (aeração forçada)",Default!$G$194,IF('Entradas Rebanho'!$B68="Pastagem/área de pastoreio/piquete",Default!$G$197,IF('Entradas Rebanho'!$B68="Tratamento aeróbico ",Default!$G$199,IF('Entradas Rebanho'!$B68="Biodigestor (alta tecnologia)",Default!$G$201,IF('Entradas Rebanho'!$B68="Biodigestor (convencional)",Default!$G$202)))))))))))/100)*('Entradas Rebanho'!$C68/100))+(((IF('Entradas Rebanho'!$D68="Lagoa anaeróbica descoberta",Default!$G$179,IF('Entradas Rebanho'!$D68="Sistema de gerenciamento com cama apresentando mistura",Default!$G$185,IF('Entradas Rebanho'!$D68="Armazenamento sólido",Default!$G$187,IF('Entradas Rebanho'!$D68="Lote seco",Default!$G$191,IF('Entradas Rebanho'!$D68="Espalhamento diário",Default!$G$192,IF('Entradas Rebanho'!$D68="Compostagem pilha estática (aeração forçada)",Default!$G$194,IF('Entradas Rebanho'!$D68="Pastagem/área de pastoreio/piquete",Default!$G$197,IF('Entradas Rebanho'!$D68="Tratamento aeróbico ",Default!$G$199,IF('Entradas Rebanho'!$D68="Biodigestor (alta tecnologia)",Default!$G$201,IF('Entradas Rebanho'!$D68="Biodigestor (convencional)",Default!$G$202)))))))))))/100)*('Entradas Rebanho'!$E68/100))+(((IF('Entradas Rebanho'!$F68="Lagoa anaeróbica descoberta",Default!$G$179,IF('Entradas Rebanho'!$F68="Sistema de gerenciamento com cama apresentando mistura",Default!$G$185,IF('Entradas Rebanho'!$F68="Armazenamento sólido",Default!$G$187,IF('Entradas Rebanho'!$F68="Lote seco",Default!$G$191,IF('Entradas Rebanho'!$F68="Espalhamento diário",Default!$G$192,IF('Entradas Rebanho'!$F68="Compostagem pilha estática (aeração forçada)",Default!$G$194,IF('Entradas Rebanho'!$F68="Pastagem/área de pastoreio/piquete",Default!$G$197,IF('Entradas Rebanho'!$F68="Tratamento aeróbico ",Default!$G$199,IF('Entradas Rebanho'!$F68="Biodigestor (alta tecnologia)",Default!$G$201,IF('Entradas Rebanho'!$F68="Biodigestor (convencional)",Default!$G$202)))))))))))/100)*('Entradas Rebanho'!$G68/100))),3)</f>
        <v>0.33400000000000002</v>
      </c>
      <c r="D291" s="96" t="s">
        <v>1144</v>
      </c>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customHeight="1">
      <c r="A292" s="2"/>
      <c r="B292" s="97" t="s">
        <v>190</v>
      </c>
      <c r="C292" s="95">
        <f>ROUND((C272*'Entradas Rebanho'!D10)*((IF(AND('Entradas Rebanho'!B51="Semiconfinado",'Entradas Rebanho'!E51="Sim"),Default!$C$168,(IF(AND('Entradas Rebanho'!B51="Semiconfinado",'Entradas Rebanho'!E51="Não"),Default!$C$169,IF('Entradas Rebanho'!B51="A pasto",Default!$C$169,)))))*0.67)*((((IF('Entradas Rebanho'!$B69="Lagoa anaeróbica descoberta",Default!$G$179,IF('Entradas Rebanho'!$B69="Sistema de gerenciamento com cama apresentando mistura",Default!$G$185,IF('Entradas Rebanho'!$B69="Armazenamento sólido",Default!$G$187,IF('Entradas Rebanho'!$B69="Lote seco",Default!$G$191,IF('Entradas Rebanho'!$B69="Espalhamento diário",Default!$G$192,IF('Entradas Rebanho'!$B69="Compostagem pilha estática (aeração forçada)",Default!$G$194,IF('Entradas Rebanho'!$B69="Pastagem/área de pastoreio/piquete",Default!$G$197,IF('Entradas Rebanho'!$B69="Tratamento aeróbico ",Default!$G$199,IF('Entradas Rebanho'!$B69="Biodigestor (alta tecnologia)",Default!$G$201,IF('Entradas Rebanho'!$B69="Biodigestor (convencional)",Default!$G$202)))))))))))/100)*('Entradas Rebanho'!$C69/100))+(((IF('Entradas Rebanho'!$D69="Lagoa anaeróbica descoberta",Default!$G$179,IF('Entradas Rebanho'!$D69="Sistema de gerenciamento com cama apresentando mistura",Default!$G$185,IF('Entradas Rebanho'!$D69="Armazenamento sólido",Default!$G$187,IF('Entradas Rebanho'!$D69="Lote seco",Default!$G$191,IF('Entradas Rebanho'!$D69="Espalhamento diário",Default!$G$192,IF('Entradas Rebanho'!$D69="Compostagem pilha estática (aeração forçada)",Default!$G$194,IF('Entradas Rebanho'!$D69="Pastagem/área de pastoreio/piquete",Default!$G$197,IF('Entradas Rebanho'!$D69="Tratamento aeróbico ",Default!$G$199,IF('Entradas Rebanho'!$D69="Biodigestor (alta tecnologia)",Default!$G$201,IF('Entradas Rebanho'!$D69="Biodigestor (convencional)",Default!$G$202)))))))))))/100)*('Entradas Rebanho'!$E69/100))+(((IF('Entradas Rebanho'!$F69="Lagoa anaeróbica descoberta",Default!$G$179,IF('Entradas Rebanho'!$F69="Sistema de gerenciamento com cama apresentando mistura",Default!$G$185,IF('Entradas Rebanho'!$F69="Armazenamento sólido",Default!$G$187,IF('Entradas Rebanho'!$F69="Lote seco",Default!$G$191,IF('Entradas Rebanho'!$F69="Espalhamento diário",Default!$G$192,IF('Entradas Rebanho'!$F69="Compostagem pilha estática (aeração forçada)",Default!$G$194,IF('Entradas Rebanho'!$F69="Pastagem/área de pastoreio/piquete",Default!$G$197,IF('Entradas Rebanho'!$F69="Tratamento aeróbico ",Default!$G$199,IF('Entradas Rebanho'!$F69="Biodigestor (alta tecnologia)",Default!$G$201,IF('Entradas Rebanho'!$F69="Biodigestor (convencional)",Default!$G$202)))))))))))/100)*('Entradas Rebanho'!$G69/100))),3)</f>
        <v>1.9E-2</v>
      </c>
      <c r="D292" s="96" t="s">
        <v>1144</v>
      </c>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customHeight="1">
      <c r="A293" s="2"/>
      <c r="B293" s="97" t="s">
        <v>191</v>
      </c>
      <c r="C293" s="95">
        <f>ROUND((C273*'Entradas Rebanho'!D10)*(Default!$C$170*0.67)*((((IF('Entradas Rebanho'!$B70="Lagoa anaeróbica descoberta",Default!$G$179,IF('Entradas Rebanho'!$B70="Sistema de gerenciamento com cama apresentando mistura",Default!$G$185,IF('Entradas Rebanho'!$B70="Armazenamento sólido",Default!$G$187,IF('Entradas Rebanho'!$B70="Lote seco",Default!$G$191,IF('Entradas Rebanho'!$B70="Espalhamento diário",Default!$G$192,IF('Entradas Rebanho'!$B70="Compostagem pilha estática (aeração forçada)",Default!$G$194,IF('Entradas Rebanho'!$B70="Pastagem/área de pastoreio/piquete",Default!$G$197,IF('Entradas Rebanho'!$B70="Tratamento aeróbico ",Default!$G$199,IF('Entradas Rebanho'!$B70="Biodigestor (alta tecnologia)",Default!$G$201,IF('Entradas Rebanho'!$B70="Biodigestor (convencional)",Default!$G$202)))))))))))/100)*('Entradas Rebanho'!$C70/100))+(((IF('Entradas Rebanho'!$D70="Lagoa anaeróbica descoberta",Default!$G$179,IF('Entradas Rebanho'!$D70="Sistema de gerenciamento com cama apresentando mistura",Default!$G$185,IF('Entradas Rebanho'!$D70="Armazenamento sólido",Default!$G$187,IF('Entradas Rebanho'!$D70="Lote seco",Default!$G$191,IF('Entradas Rebanho'!$D70="Espalhamento diário",Default!$G$192,IF('Entradas Rebanho'!$D70="Compostagem pilha estática (aeração forçada)",Default!$G$194,IF('Entradas Rebanho'!$D70="Pastagem/área de pastoreio/piquete",Default!$G$197,IF('Entradas Rebanho'!$D70="Tratamento aeróbico ",Default!$G$199,IF('Entradas Rebanho'!$D70="Biodigestor (alta tecnologia)",Default!$G$201,IF('Entradas Rebanho'!$D70="Biodigestor (convencional)",Default!$G$202)))))))))))/100)*('Entradas Rebanho'!$E70/100))+(((IF('Entradas Rebanho'!$F70="Lagoa anaeróbica descoberta",Default!$G$179,IF('Entradas Rebanho'!$F70="Sistema de gerenciamento com cama apresentando mistura",Default!$G$185,IF('Entradas Rebanho'!$F70="Armazenamento sólido",Default!$G$187,IF('Entradas Rebanho'!$F70="Lote seco",Default!$G$191,IF('Entradas Rebanho'!$F70="Espalhamento diário",Default!$G$192,IF('Entradas Rebanho'!$F70="Compostagem pilha estática (aeração forçada)",Default!$G$194,IF('Entradas Rebanho'!$F70="Pastagem/área de pastoreio/piquete",Default!$G$197,IF('Entradas Rebanho'!$F70="Tratamento aeróbico ",Default!$G$199,IF('Entradas Rebanho'!$F70="Biodigestor (alta tecnologia)",Default!$G$201,IF('Entradas Rebanho'!$F70="Biodigestor (convencional)",Default!$G$202)))))))))))/100)*('Entradas Rebanho'!$G70/100))),3)</f>
        <v>2.7E-2</v>
      </c>
      <c r="D293" s="96" t="s">
        <v>1144</v>
      </c>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customHeight="1" thickBot="1">
      <c r="A294" s="2"/>
      <c r="B294" s="98" t="s">
        <v>192</v>
      </c>
      <c r="C294" s="551">
        <f>ROUND((C274*'Entradas Rebanho'!D10)*((IF(AND('Entradas Rebanho'!B53="Semiconfinado",'Entradas Rebanho'!E53="Sim"),Default!$C$171,(IF(AND('Entradas Rebanho'!B53="Semiconfinado",'Entradas Rebanho'!E53="Não"),Default!$C$172,IF('Entradas Rebanho'!B53="A pasto",Default!$C$172,)))))*0.67)*((((IF('Entradas Rebanho'!$B71="Lagoa anaeróbica descoberta",Default!$G$179,IF('Entradas Rebanho'!$B71="Sistema de gerenciamento com cama apresentando mistura",Default!$G$185,IF('Entradas Rebanho'!$B71="Armazenamento sólido",Default!$G$187,IF('Entradas Rebanho'!$B71="Lote seco",Default!$G$191,IF('Entradas Rebanho'!$B71="Espalhamento diário",Default!$G$192,IF('Entradas Rebanho'!$B71="Compostagem pilha estática (aeração forçada)",Default!$G$194,IF('Entradas Rebanho'!$B71="Pastagem/área de pastoreio/piquete",Default!$G$197,IF('Entradas Rebanho'!$B71="Tratamento aeróbico ",Default!$G$199,IF('Entradas Rebanho'!$B71="Biodigestor (alta tecnologia)",Default!$G$201,IF('Entradas Rebanho'!$B71="Biodigestor (convencional)",Default!$G$202)))))))))))/100)*('Entradas Rebanho'!$C71/100))+(((IF('Entradas Rebanho'!$D71="Lagoa anaeróbica descoberta",Default!$G$179,IF('Entradas Rebanho'!$D71="Sistema de gerenciamento com cama apresentando mistura",Default!$G$185,IF('Entradas Rebanho'!$D71="Armazenamento sólido",Default!$G$187,IF('Entradas Rebanho'!$D71="Lote seco",Default!$G$191,IF('Entradas Rebanho'!$D71="Espalhamento diário",Default!$G$192,IF('Entradas Rebanho'!$D71="Compostagem pilha estática (aeração forçada)",Default!$G$194,IF('Entradas Rebanho'!$D71="Pastagem/área de pastoreio/piquete",Default!$G$197,IF('Entradas Rebanho'!$D71="Tratamento aeróbico ",Default!$G$199,IF('Entradas Rebanho'!$D71="Biodigestor (alta tecnologia)",Default!$G$201,IF('Entradas Rebanho'!$D71="Biodigestor (convencional)",Default!$G$202)))))))))))/100)*('Entradas Rebanho'!$E71/100))+(((IF('Entradas Rebanho'!$F71="Lagoa anaeróbica descoberta",Default!$G$179,IF('Entradas Rebanho'!$F71="Sistema de gerenciamento com cama apresentando mistura",Default!$G$185,IF('Entradas Rebanho'!$F71="Armazenamento sólido",Default!$G$187,IF('Entradas Rebanho'!$F71="Lote seco",Default!$G$191,IF('Entradas Rebanho'!$F71="Espalhamento diário",Default!$G$192,IF('Entradas Rebanho'!$F71="Compostagem pilha estática (aeração forçada)",Default!$G$194,IF('Entradas Rebanho'!$F71="Pastagem/área de pastoreio/piquete",Default!$G$197,IF('Entradas Rebanho'!$F71="Tratamento aeróbico ",Default!$G$199,IF('Entradas Rebanho'!$F71="Biodigestor (alta tecnologia)",Default!$G$201,IF('Entradas Rebanho'!$F71="Biodigestor (convencional)",Default!$G$202)))))))))))/100)*('Entradas Rebanho'!$G71/100))),3)</f>
        <v>2.5000000000000001E-2</v>
      </c>
      <c r="D294" s="100" t="s">
        <v>1144</v>
      </c>
      <c r="E294" s="2"/>
      <c r="F294" s="2"/>
      <c r="G294" s="2"/>
      <c r="H294" s="2"/>
      <c r="I294" s="2"/>
      <c r="J294" s="2"/>
      <c r="K294" s="2"/>
      <c r="L294" s="2">
        <f>(((IF('Entradas Rebanho'!B71="Lagoa anaeróbica descoberta ",Default!$G$179,IF('Entradas Rebanho'!B71="Sistema de gerenciamento com cama apresentando mistura",Default!$G$185,IF('Entradas Rebanho'!B71="Armazenamento sólido",Default!$G$187,IF('Entradas Rebanho'!B71="Lote seco",Default!$G$191,IF('Entradas Rebanho'!B71="Espalhamento diário",Default!$G$192,IF('Entradas Rebanho'!B71="Compostagem pilha estática (aeração forçada)",Default!$G$194,IF('Entradas Rebanho'!B71="Pastagem/área de pastoreio/piquete",Default!$G$197,IF('Entradas Rebanho'!B71="Tratamento aeróbico ",Default!$G$199,IF('Entradas Rebanho'!B71="Queimado com combustível",Default!$G$200,IF('Entradas Rebanho'!B71="Biodigestor (alta tecnologia)",Default!$G$201,IF('Entradas Rebanho'!B71="Biodigestor (convencional)",Default!$G$202)))))))))))/100)*('Entradas Rebanho'!C71/100)))</f>
        <v>4.6999999999999993E-3</v>
      </c>
      <c r="M294" s="2"/>
      <c r="N294" s="2"/>
      <c r="O294" s="2"/>
      <c r="P294" s="2"/>
      <c r="Q294" s="2"/>
      <c r="R294" s="2"/>
      <c r="S294" s="2"/>
      <c r="T294" s="2"/>
      <c r="U294" s="2"/>
      <c r="V294" s="2"/>
      <c r="W294" s="2"/>
      <c r="X294" s="2"/>
      <c r="Y294" s="2"/>
      <c r="Z294" s="2"/>
      <c r="AA294" s="2"/>
    </row>
    <row r="295" spans="1:27" ht="15.75" customHeight="1">
      <c r="A295" s="2"/>
      <c r="B295" s="2"/>
      <c r="C295" s="2"/>
      <c r="D295" s="2"/>
      <c r="E295" s="2"/>
      <c r="F295" s="2"/>
      <c r="G295" s="2"/>
      <c r="H295" s="2"/>
      <c r="I295" s="2"/>
      <c r="J295" s="2"/>
      <c r="K295" s="2"/>
      <c r="L295" s="2">
        <f>((IF('Entradas Rebanho'!E71="Lagoa anaeróbica descoberta",Default!$G$179,IF('Entradas Rebanho'!E71="Sistema de gerenciamento com cama apresentando mistura",Default!$G$185,IF('Entradas Rebanho'!E71="Armazenamento sólido",Default!$G$187,IF('Entradas Rebanho'!E71="Lote seco",Default!$G$191,IF('Entradas Rebanho'!E71="Espalhamento diário",Default!$G$192,IF('Entradas Rebanho'!E71="Compostagem pilha estática (aeração forçada)",Default!$G$194,IF('Entradas Rebanho'!E71="Pastagem/área de pastoreio/piquete",Default!$G$197,IF('Entradas Rebanho'!E71="Tratamento aeróbico ",Default!$G$199,IF('Entradas Rebanho'!E71="Queimado com combustível",Default!$G$200,IF('Entradas Rebanho'!E71="Biodigestor (alta tecnologia)",Default!$G$201,IF('Entradas Rebanho'!E71="Biodigestor (convencional)",Default!$G$202)))))))))))/100)*('Entradas Rebanho'!F71/100))</f>
        <v>0</v>
      </c>
      <c r="M295" s="2"/>
      <c r="N295" s="2"/>
      <c r="O295" s="2"/>
      <c r="P295" s="2"/>
      <c r="Q295" s="2"/>
      <c r="R295" s="2"/>
      <c r="S295" s="2"/>
      <c r="T295" s="2"/>
      <c r="U295" s="2"/>
      <c r="V295" s="2"/>
      <c r="W295" s="2"/>
      <c r="X295" s="2"/>
      <c r="Y295" s="2"/>
      <c r="Z295" s="2"/>
      <c r="AA295" s="2"/>
    </row>
    <row r="296" spans="1:27" ht="15.75" customHeight="1">
      <c r="A296" s="2"/>
      <c r="B296" s="2"/>
      <c r="C296" s="2"/>
      <c r="D296" s="2"/>
      <c r="E296" s="2"/>
      <c r="F296" s="2"/>
      <c r="G296" s="2"/>
      <c r="H296" s="2"/>
      <c r="I296" s="2"/>
      <c r="J296" s="2"/>
      <c r="K296" s="2"/>
      <c r="L296" s="2">
        <f>((IF('Entradas Rebanho'!H71="Lagoa anaeróbica descoberta",Default!$G$179,IF('Entradas Rebanho'!H71="Sistema de gerenciamento com cama apresentando mistura",Default!$G$185,IF('Entradas Rebanho'!H71="Armazenamento sólido",Default!$G$187,IF('Entradas Rebanho'!H71="Lote seco",Default!$G$191,IF('Entradas Rebanho'!H71="Espalhamento diário",Default!$G$192,IF('Entradas Rebanho'!H71="Compostagem pilha estática (aeração forçada)",Default!$G$194,IF('Entradas Rebanho'!H71="Pastagem/área de pastoreio/piquete",Default!$G$197,IF('Entradas Rebanho'!H71="Tratamento aeróbico ",Default!$G$199,IF('Entradas Rebanho'!H71="Queimado com combustível",Default!$G$200,IF('Entradas Rebanho'!H71="Biodigestor (alta tecnologia)",Default!$G$201,IF('Entradas Rebanho'!H71="Biodigestor (convencional)",Default!$G$202)))))))))))/100)*('Entradas Rebanho'!I71/100))</f>
        <v>0</v>
      </c>
      <c r="M296" s="2"/>
      <c r="N296" s="2"/>
      <c r="O296" s="2"/>
      <c r="P296" s="2"/>
      <c r="Q296" s="2"/>
      <c r="R296" s="2"/>
      <c r="S296" s="2"/>
      <c r="T296" s="2"/>
      <c r="U296" s="2"/>
      <c r="V296" s="2"/>
      <c r="W296" s="2"/>
      <c r="X296" s="2"/>
      <c r="Y296" s="2"/>
      <c r="Z296" s="2"/>
      <c r="AA296" s="2"/>
    </row>
    <row r="297" spans="1:27" ht="15.75" customHeight="1">
      <c r="A297" s="2"/>
      <c r="B297" s="920" t="s">
        <v>247</v>
      </c>
      <c r="C297" s="921"/>
      <c r="D297" s="92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customHeight="1">
      <c r="A298" s="2"/>
      <c r="B298" s="923" t="s">
        <v>248</v>
      </c>
      <c r="C298" s="924"/>
      <c r="D298" s="925"/>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customHeight="1">
      <c r="A299" s="2"/>
      <c r="B299" s="91" t="s">
        <v>174</v>
      </c>
      <c r="C299" s="101" t="s">
        <v>175</v>
      </c>
      <c r="D299" s="112" t="s">
        <v>176</v>
      </c>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customHeight="1">
      <c r="A300" s="2"/>
      <c r="B300" s="94" t="s">
        <v>177</v>
      </c>
      <c r="C300" s="95">
        <f>ROUND(('Entradas Rebanho'!B21+'Entradas Rebanho'!C21)*Cálculos!C280,3)</f>
        <v>0.55000000000000004</v>
      </c>
      <c r="D300" s="96" t="s">
        <v>1145</v>
      </c>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customHeight="1">
      <c r="A301" s="2"/>
      <c r="B301" s="94" t="s">
        <v>179</v>
      </c>
      <c r="C301" s="95">
        <f>ROUND(('Entradas Rebanho'!B22+'Entradas Rebanho'!C22)*Cálculos!C281,3)</f>
        <v>0.11</v>
      </c>
      <c r="D301" s="96" t="s">
        <v>1145</v>
      </c>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customHeight="1">
      <c r="A302" s="2"/>
      <c r="B302" s="94" t="s">
        <v>180</v>
      </c>
      <c r="C302" s="95">
        <f>ROUND(('Entradas Rebanho'!B23+'Entradas Rebanho'!C23)*Cálculos!C282,3)</f>
        <v>0.06</v>
      </c>
      <c r="D302" s="96" t="s">
        <v>1145</v>
      </c>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customHeight="1">
      <c r="A303" s="2"/>
      <c r="B303" s="97" t="s">
        <v>181</v>
      </c>
      <c r="C303" s="95">
        <f>ROUND(('Entradas Rebanho'!B24+'Entradas Rebanho'!C24)*Cálculos!C283,3)</f>
        <v>1.2</v>
      </c>
      <c r="D303" s="96" t="s">
        <v>1145</v>
      </c>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customHeight="1">
      <c r="A304" s="2"/>
      <c r="B304" s="97" t="s">
        <v>182</v>
      </c>
      <c r="C304" s="95">
        <f>ROUND(('Entradas Rebanho'!B25+'Entradas Rebanho'!C25)*Cálculos!C284,3)</f>
        <v>0.52</v>
      </c>
      <c r="D304" s="96" t="s">
        <v>1145</v>
      </c>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customHeight="1">
      <c r="A305" s="2"/>
      <c r="B305" s="97" t="s">
        <v>183</v>
      </c>
      <c r="C305" s="95">
        <f>ROUND(('Entradas Rebanho'!B26+'Entradas Rebanho'!C26)*Cálculos!C285,3)</f>
        <v>0.14000000000000001</v>
      </c>
      <c r="D305" s="96" t="s">
        <v>1145</v>
      </c>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customHeight="1">
      <c r="A306" s="2"/>
      <c r="B306" s="97" t="s">
        <v>184</v>
      </c>
      <c r="C306" s="95">
        <f>ROUND(('Entradas Rebanho'!B27+'Entradas Rebanho'!C27)*Cálculos!C286,3)</f>
        <v>3.4</v>
      </c>
      <c r="D306" s="96" t="s">
        <v>1145</v>
      </c>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customHeight="1">
      <c r="A307" s="2"/>
      <c r="B307" s="97" t="s">
        <v>185</v>
      </c>
      <c r="C307" s="95">
        <f>ROUND(('Entradas Rebanho'!B28+'Entradas Rebanho'!C28)*Cálculos!C287,3)</f>
        <v>0.85</v>
      </c>
      <c r="D307" s="96" t="s">
        <v>1145</v>
      </c>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customHeight="1">
      <c r="A308" s="2"/>
      <c r="B308" s="97" t="s">
        <v>186</v>
      </c>
      <c r="C308" s="95">
        <f>ROUND(('Entradas Rebanho'!B29+'Entradas Rebanho'!C29)*Cálculos!C288,3)</f>
        <v>5.3999999999999999E-2</v>
      </c>
      <c r="D308" s="96" t="s">
        <v>1145</v>
      </c>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customHeight="1">
      <c r="A309" s="2"/>
      <c r="B309" s="97" t="s">
        <v>187</v>
      </c>
      <c r="C309" s="95">
        <f>ROUND(('Entradas Rebanho'!B30+'Entradas Rebanho'!C30)*Cálculos!C289,3)</f>
        <v>45.15</v>
      </c>
      <c r="D309" s="96" t="s">
        <v>1145</v>
      </c>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customHeight="1">
      <c r="A310" s="2"/>
      <c r="B310" s="97" t="s">
        <v>188</v>
      </c>
      <c r="C310" s="95">
        <f>ROUND(('Entradas Rebanho'!B31+'Entradas Rebanho'!C31)*Cálculos!C290,3)</f>
        <v>78</v>
      </c>
      <c r="D310" s="96" t="s">
        <v>1145</v>
      </c>
      <c r="E310" s="2"/>
      <c r="F310" s="127"/>
      <c r="G310" s="2"/>
      <c r="H310" s="2"/>
      <c r="I310" s="2"/>
      <c r="J310" s="2"/>
      <c r="K310" s="2"/>
      <c r="L310" s="2"/>
      <c r="M310" s="2"/>
      <c r="N310" s="2"/>
      <c r="O310" s="2"/>
      <c r="P310" s="2"/>
      <c r="Q310" s="2"/>
      <c r="R310" s="2"/>
      <c r="S310" s="2"/>
      <c r="T310" s="2"/>
      <c r="U310" s="2"/>
      <c r="V310" s="2"/>
      <c r="W310" s="2"/>
      <c r="X310" s="2"/>
      <c r="Y310" s="2"/>
      <c r="Z310" s="2"/>
      <c r="AA310" s="2"/>
    </row>
    <row r="311" spans="1:27" ht="15.75" customHeight="1">
      <c r="A311" s="2"/>
      <c r="B311" s="97" t="s">
        <v>189</v>
      </c>
      <c r="C311" s="95">
        <f>ROUND(('Entradas Rebanho'!B32+'Entradas Rebanho'!C32)*Cálculos!C291,3)</f>
        <v>10.02</v>
      </c>
      <c r="D311" s="96" t="s">
        <v>1145</v>
      </c>
      <c r="E311" s="2"/>
      <c r="F311" s="127"/>
      <c r="G311" s="2"/>
      <c r="H311" s="2"/>
      <c r="I311" s="2"/>
      <c r="J311" s="2"/>
      <c r="K311" s="2"/>
      <c r="L311" s="2"/>
      <c r="M311" s="2"/>
      <c r="N311" s="2"/>
      <c r="O311" s="2"/>
      <c r="P311" s="2"/>
      <c r="Q311" s="2"/>
      <c r="R311" s="2"/>
      <c r="S311" s="2"/>
      <c r="T311" s="2"/>
      <c r="U311" s="2"/>
      <c r="V311" s="2"/>
      <c r="W311" s="2"/>
      <c r="X311" s="2"/>
      <c r="Y311" s="2"/>
      <c r="Z311" s="2"/>
      <c r="AA311" s="2"/>
    </row>
    <row r="312" spans="1:27" ht="15.75" customHeight="1">
      <c r="A312" s="2"/>
      <c r="B312" s="97" t="s">
        <v>190</v>
      </c>
      <c r="C312" s="95">
        <f>ROUND(('Entradas Rebanho'!B33+'Entradas Rebanho'!C33)*Cálculos!C292,3)</f>
        <v>0.19</v>
      </c>
      <c r="D312" s="96" t="s">
        <v>1145</v>
      </c>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customHeight="1">
      <c r="A313" s="2"/>
      <c r="B313" s="97" t="s">
        <v>191</v>
      </c>
      <c r="C313" s="95">
        <f>ROUND(('Entradas Rebanho'!B34+'Entradas Rebanho'!C34)*Cálculos!C293,3)</f>
        <v>0.40500000000000003</v>
      </c>
      <c r="D313" s="96" t="s">
        <v>1145</v>
      </c>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customHeight="1" thickBot="1">
      <c r="A314" s="2"/>
      <c r="B314" s="385" t="s">
        <v>192</v>
      </c>
      <c r="C314" s="386">
        <f>ROUND(('Entradas Rebanho'!B35+'Entradas Rebanho'!C35)*Cálculos!C294,3)</f>
        <v>2.5000000000000001E-2</v>
      </c>
      <c r="D314" s="387" t="s">
        <v>1145</v>
      </c>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customHeight="1">
      <c r="A317" s="2"/>
      <c r="B317" s="962" t="s">
        <v>1033</v>
      </c>
      <c r="C317" s="930"/>
      <c r="D317" s="931"/>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customHeight="1" thickBot="1">
      <c r="A318" s="2"/>
      <c r="B318" s="923"/>
      <c r="C318" s="924"/>
      <c r="D318" s="925"/>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customHeight="1" thickBot="1">
      <c r="A319" s="2"/>
      <c r="B319" s="455" t="s">
        <v>234</v>
      </c>
      <c r="C319" s="456" t="s">
        <v>175</v>
      </c>
      <c r="D319" s="457" t="s">
        <v>176</v>
      </c>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customHeight="1" thickBot="1">
      <c r="A320" s="2"/>
      <c r="B320" s="796" t="s">
        <v>235</v>
      </c>
      <c r="C320" s="797">
        <f>ROUND(SUM(C300:C314),3)</f>
        <v>140.67400000000001</v>
      </c>
      <c r="D320" s="798" t="s">
        <v>1145</v>
      </c>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hidden="1" customHeight="1">
      <c r="A321" s="2"/>
      <c r="B321" s="115" t="s">
        <v>235</v>
      </c>
      <c r="C321" s="128">
        <f>C320/1000</f>
        <v>0.14067399999999999</v>
      </c>
      <c r="D321" s="129" t="s">
        <v>1146</v>
      </c>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customHeight="1" thickBot="1">
      <c r="A322" s="2"/>
      <c r="B322" s="442" t="s">
        <v>238</v>
      </c>
      <c r="C322" s="454" t="s">
        <v>249</v>
      </c>
      <c r="D322" s="444" t="s">
        <v>1143</v>
      </c>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customHeight="1">
      <c r="A325" s="107"/>
      <c r="B325" s="963" t="s">
        <v>250</v>
      </c>
      <c r="C325" s="940"/>
      <c r="D325" s="941"/>
      <c r="E325" s="107"/>
      <c r="F325" s="107"/>
      <c r="G325" s="107"/>
      <c r="H325" s="107"/>
      <c r="I325" s="107"/>
      <c r="J325" s="107"/>
      <c r="K325" s="107"/>
      <c r="L325" s="107"/>
      <c r="M325" s="107"/>
      <c r="N325" s="107"/>
      <c r="O325" s="126"/>
      <c r="P325" s="126"/>
      <c r="Q325" s="126"/>
      <c r="R325" s="126"/>
      <c r="S325" s="126"/>
      <c r="T325" s="126"/>
      <c r="U325" s="126"/>
      <c r="V325" s="126"/>
      <c r="W325" s="126"/>
      <c r="X325" s="126"/>
      <c r="Y325" s="126"/>
      <c r="Z325" s="126"/>
      <c r="AA325" s="126"/>
    </row>
    <row r="326" spans="1:27" ht="15.75" customHeight="1">
      <c r="A326" s="107"/>
      <c r="B326" s="964" t="s">
        <v>251</v>
      </c>
      <c r="C326" s="965"/>
      <c r="D326" s="966"/>
      <c r="E326" s="126"/>
      <c r="F326" s="126"/>
      <c r="G326" s="126"/>
      <c r="H326" s="126"/>
      <c r="I326" s="126"/>
      <c r="J326" s="126"/>
      <c r="K326" s="126"/>
      <c r="L326" s="126"/>
      <c r="M326" s="126"/>
      <c r="N326" s="126"/>
      <c r="O326" s="126"/>
      <c r="P326" s="126"/>
      <c r="Q326" s="126"/>
      <c r="R326" s="126"/>
      <c r="S326" s="126"/>
      <c r="T326" s="126"/>
      <c r="U326" s="126"/>
      <c r="V326" s="126"/>
      <c r="W326" s="126"/>
      <c r="X326" s="126"/>
      <c r="Y326" s="126"/>
      <c r="Z326" s="126"/>
      <c r="AA326" s="126"/>
    </row>
    <row r="327" spans="1:27" ht="15.75" customHeight="1">
      <c r="A327" s="107"/>
      <c r="B327" s="964" t="s">
        <v>252</v>
      </c>
      <c r="C327" s="965"/>
      <c r="D327" s="966"/>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c r="AA327" s="130"/>
    </row>
    <row r="328" spans="1:27" ht="15.75" customHeight="1">
      <c r="A328" s="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1:27"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customHeight="1">
      <c r="A330" s="2"/>
      <c r="B330" s="920" t="s">
        <v>253</v>
      </c>
      <c r="C330" s="921"/>
      <c r="D330" s="92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customHeight="1">
      <c r="A331" s="2"/>
      <c r="B331" s="923" t="s">
        <v>254</v>
      </c>
      <c r="C331" s="924"/>
      <c r="D331" s="925"/>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customHeight="1">
      <c r="A332" s="2"/>
      <c r="B332" s="91" t="s">
        <v>174</v>
      </c>
      <c r="C332" s="101" t="s">
        <v>175</v>
      </c>
      <c r="D332" s="112" t="s">
        <v>176</v>
      </c>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customHeight="1">
      <c r="A333" s="2"/>
      <c r="B333" s="94" t="s">
        <v>177</v>
      </c>
      <c r="C333" s="95">
        <f>ROUND((C168/18.45)*(('Entradas Alimentação'!$E$36/100)/6.25),3)</f>
        <v>0.14299999999999999</v>
      </c>
      <c r="D333" s="96" t="s">
        <v>255</v>
      </c>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customHeight="1">
      <c r="A334" s="2"/>
      <c r="B334" s="94" t="s">
        <v>179</v>
      </c>
      <c r="C334" s="95">
        <f>ROUND((C169/18.45)*(('Entradas Alimentação'!$K$36/100)/6.25),3)</f>
        <v>0.14799999999999999</v>
      </c>
      <c r="D334" s="96" t="s">
        <v>255</v>
      </c>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customHeight="1">
      <c r="A335" s="2"/>
      <c r="B335" s="94" t="s">
        <v>180</v>
      </c>
      <c r="C335" s="95">
        <f>ROUND((C170/18.45)*(('Entradas Alimentação'!$Q$36/100)/6.25),3)</f>
        <v>0.157</v>
      </c>
      <c r="D335" s="96" t="s">
        <v>255</v>
      </c>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customHeight="1">
      <c r="A336" s="2"/>
      <c r="B336" s="97" t="s">
        <v>181</v>
      </c>
      <c r="C336" s="95">
        <f>ROUND((C171/18.45)*(('Entradas Alimentação'!$W$36/100)/6.25),3)</f>
        <v>0.16500000000000001</v>
      </c>
      <c r="D336" s="96" t="s">
        <v>255</v>
      </c>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customHeight="1">
      <c r="A337" s="2"/>
      <c r="B337" s="97" t="s">
        <v>182</v>
      </c>
      <c r="C337" s="95">
        <f>ROUND((C172/18.45)*(('Entradas Alimentação'!$AC$36/100)/6.25),3)</f>
        <v>0.17</v>
      </c>
      <c r="D337" s="96" t="s">
        <v>255</v>
      </c>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customHeight="1">
      <c r="A338" s="2"/>
      <c r="B338" s="97" t="s">
        <v>183</v>
      </c>
      <c r="C338" s="95">
        <f>ROUND((C173/18.45)*(('Entradas Alimentação'!$AI$36/100)/6.25),3)</f>
        <v>0.18</v>
      </c>
      <c r="D338" s="96" t="s">
        <v>255</v>
      </c>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customHeight="1">
      <c r="A339" s="2"/>
      <c r="B339" s="97" t="s">
        <v>184</v>
      </c>
      <c r="C339" s="95">
        <f>ROUND((C174/18.45)*(('Entradas Alimentação'!$AO$36/100)/6.25),3)</f>
        <v>0.193</v>
      </c>
      <c r="D339" s="96" t="s">
        <v>255</v>
      </c>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customHeight="1">
      <c r="A340" s="2"/>
      <c r="B340" s="97" t="s">
        <v>185</v>
      </c>
      <c r="C340" s="95">
        <f>ROUND((C175/18.45)*(('Entradas Alimentação'!$AU$36/100)/6.25),3)</f>
        <v>0.19900000000000001</v>
      </c>
      <c r="D340" s="96" t="s">
        <v>255</v>
      </c>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customHeight="1">
      <c r="A341" s="2"/>
      <c r="B341" s="97" t="s">
        <v>186</v>
      </c>
      <c r="C341" s="95">
        <f>ROUND((C176/18.45)*(('Entradas Alimentação'!$BA$36/100)/6.25),3)</f>
        <v>0.21199999999999999</v>
      </c>
      <c r="D341" s="96" t="s">
        <v>255</v>
      </c>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customHeight="1">
      <c r="A342" s="2"/>
      <c r="B342" s="97" t="s">
        <v>187</v>
      </c>
      <c r="C342" s="95">
        <f>ROUND((C177/18.45)*(('Entradas Alimentação'!$BG$36/100)/6.25),3)</f>
        <v>0.20799999999999999</v>
      </c>
      <c r="D342" s="96" t="s">
        <v>255</v>
      </c>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customHeight="1">
      <c r="A343" s="2"/>
      <c r="B343" s="97" t="s">
        <v>188</v>
      </c>
      <c r="C343" s="95">
        <f>ROUND((C178/18.45)*(('Entradas Alimentação'!$BM$36/100)/6.25),3)</f>
        <v>0.215</v>
      </c>
      <c r="D343" s="96" t="s">
        <v>255</v>
      </c>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customHeight="1">
      <c r="A344" s="2"/>
      <c r="B344" s="97" t="s">
        <v>189</v>
      </c>
      <c r="C344" s="95">
        <f>ROUND((C179/18.45)*(('Entradas Alimentação'!$BS$36/100)/6.25),3)</f>
        <v>0.23</v>
      </c>
      <c r="D344" s="96" t="s">
        <v>255</v>
      </c>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customHeight="1">
      <c r="A345" s="2"/>
      <c r="B345" s="97" t="s">
        <v>190</v>
      </c>
      <c r="C345" s="95">
        <f>ROUND((C180/18.45)*(('Entradas Alimentação'!$BY$36/100)/6.25),3)</f>
        <v>0.22800000000000001</v>
      </c>
      <c r="D345" s="96" t="s">
        <v>255</v>
      </c>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customHeight="1">
      <c r="A346" s="2"/>
      <c r="B346" s="97" t="s">
        <v>191</v>
      </c>
      <c r="C346" s="95">
        <f>ROUND((C181/18.45)*(('Entradas Alimentação'!$CE$36/100)/6.25),3)</f>
        <v>0.33600000000000002</v>
      </c>
      <c r="D346" s="96" t="s">
        <v>255</v>
      </c>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customHeight="1">
      <c r="A347" s="2"/>
      <c r="B347" s="98" t="s">
        <v>192</v>
      </c>
      <c r="C347" s="99">
        <f>ROUND((C182/18.45)*(('Entradas Alimentação'!$CK$36/100)/6.25),3)</f>
        <v>0.22700000000000001</v>
      </c>
      <c r="D347" s="100" t="s">
        <v>255</v>
      </c>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customHeight="1">
      <c r="A350" s="2"/>
      <c r="B350" s="920" t="s">
        <v>256</v>
      </c>
      <c r="C350" s="921"/>
      <c r="D350" s="92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customHeight="1">
      <c r="A351" s="2"/>
      <c r="B351" s="923" t="s">
        <v>257</v>
      </c>
      <c r="C351" s="924"/>
      <c r="D351" s="925"/>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customHeight="1" thickBot="1">
      <c r="A352" s="2"/>
      <c r="B352" s="91" t="s">
        <v>174</v>
      </c>
      <c r="C352" s="101" t="s">
        <v>175</v>
      </c>
      <c r="D352" s="112" t="s">
        <v>176</v>
      </c>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customHeight="1">
      <c r="A353" s="2"/>
      <c r="B353" s="94" t="s">
        <v>177</v>
      </c>
      <c r="C353" s="95">
        <f>ROUND(((0*(3.94/100))/6.38)+(('Entradas Rebanho'!E21*((268-((7.03*Cálculos!C48)/('Entradas Rebanho'!E21)))/1000))/6.25),3)</f>
        <v>1.7000000000000001E-2</v>
      </c>
      <c r="D353" s="96" t="s">
        <v>255</v>
      </c>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customHeight="1">
      <c r="A354" s="2"/>
      <c r="B354" s="94" t="s">
        <v>179</v>
      </c>
      <c r="C354" s="95">
        <f>ROUND(((0*(3.94/100))/6.38)+(('Entradas Rebanho'!E22*((268-((7.03*Cálculos!C49)/('Entradas Rebanho'!E22)))/1000))/6.25),3)</f>
        <v>1.6E-2</v>
      </c>
      <c r="D354" s="96" t="s">
        <v>255</v>
      </c>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customHeight="1">
      <c r="A355" s="2"/>
      <c r="B355" s="94" t="s">
        <v>180</v>
      </c>
      <c r="C355" s="95">
        <f>ROUND(((0*(3.94/100))/6.38)+(('Entradas Rebanho'!E23*((268-((7.03*Cálculos!C50)/('Entradas Rebanho'!E23)))/1000))/6.25),3)</f>
        <v>1.4E-2</v>
      </c>
      <c r="D355" s="96" t="s">
        <v>255</v>
      </c>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customHeight="1">
      <c r="A356" s="2"/>
      <c r="B356" s="97" t="s">
        <v>181</v>
      </c>
      <c r="C356" s="95">
        <f>ROUND(((0*(3.94/100))/6.38)+(('Entradas Rebanho'!E24*((268-((7.03*Cálculos!C51)/('Entradas Rebanho'!E24)))/1000))/6.25),3)</f>
        <v>1.6E-2</v>
      </c>
      <c r="D356" s="96" t="s">
        <v>255</v>
      </c>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customHeight="1">
      <c r="A357" s="2"/>
      <c r="B357" s="97" t="s">
        <v>182</v>
      </c>
      <c r="C357" s="95">
        <f>ROUND(((0*(3.94/100))/6.38)+(('Entradas Rebanho'!E25*((268-((7.03*Cálculos!C52)/('Entradas Rebanho'!E25)))/1000))/6.25),3)</f>
        <v>1.4999999999999999E-2</v>
      </c>
      <c r="D357" s="96" t="s">
        <v>255</v>
      </c>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customHeight="1">
      <c r="A358" s="2"/>
      <c r="B358" s="97" t="s">
        <v>183</v>
      </c>
      <c r="C358" s="95">
        <f>ROUND(((0*(3.94/100))/6.38)+(('Entradas Rebanho'!E26*((268-((7.03*Cálculos!C53)/('Entradas Rebanho'!E26)))/1000))/6.25),3)</f>
        <v>1.2999999999999999E-2</v>
      </c>
      <c r="D358" s="96" t="s">
        <v>255</v>
      </c>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customHeight="1">
      <c r="A359" s="2"/>
      <c r="B359" s="97" t="s">
        <v>184</v>
      </c>
      <c r="C359" s="95">
        <f>ROUND(((0*(3.94/100))/6.38)+(('Entradas Rebanho'!E27*((268-((7.03*Cálculos!C54)/('Entradas Rebanho'!E27)))/1000))/6.25),3)</f>
        <v>1.4E-2</v>
      </c>
      <c r="D359" s="96" t="s">
        <v>255</v>
      </c>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customHeight="1">
      <c r="A360" s="2"/>
      <c r="B360" s="97" t="s">
        <v>185</v>
      </c>
      <c r="C360" s="95">
        <f>ROUND(((0*(3.94/100))/6.38)+(('Entradas Rebanho'!E28*((268-((7.03*Cálculos!C55)/('Entradas Rebanho'!E28)))/1000))/6.25),3)</f>
        <v>1.2999999999999999E-2</v>
      </c>
      <c r="D360" s="96" t="s">
        <v>255</v>
      </c>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customHeight="1">
      <c r="A361" s="2"/>
      <c r="B361" s="97" t="s">
        <v>186</v>
      </c>
      <c r="C361" s="95">
        <f>ROUND(((0*(3.94/100))/6.38)+(('Entradas Rebanho'!E29*((268-((7.03*Cálculos!C56)/('Entradas Rebanho'!E29)))/1000))/6.25),3)</f>
        <v>1.0999999999999999E-2</v>
      </c>
      <c r="D361" s="96" t="s">
        <v>255</v>
      </c>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customHeight="1">
      <c r="A362" s="2"/>
      <c r="B362" s="97" t="s">
        <v>187</v>
      </c>
      <c r="C362" s="95">
        <f>ROUND(((0*(3.94/100))/6.38)+(('Entradas Rebanho'!E30*((268-((7.03*Cálculos!C57)/('Entradas Rebanho'!E30)))/1000))/6.25),3)</f>
        <v>1.2999999999999999E-2</v>
      </c>
      <c r="D362" s="96" t="s">
        <v>255</v>
      </c>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customHeight="1">
      <c r="A363" s="2"/>
      <c r="B363" s="97" t="s">
        <v>188</v>
      </c>
      <c r="C363" s="95">
        <f>ROUND(((0*(3.94/100))/6.38)+(('Entradas Rebanho'!E31*((268-((7.03*Cálculos!C58)/('Entradas Rebanho'!E31)))/1000))/6.25),3)</f>
        <v>1.0999999999999999E-2</v>
      </c>
      <c r="D363" s="96" t="s">
        <v>255</v>
      </c>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customHeight="1">
      <c r="A364" s="2"/>
      <c r="B364" s="97" t="s">
        <v>189</v>
      </c>
      <c r="C364" s="95">
        <f>ROUND(((0*(3.94/100))/6.38)+(('Entradas Rebanho'!E32*((268-((7.03*Cálculos!C59)/('Entradas Rebanho'!E32)))/1000))/6.25),3)</f>
        <v>8.9999999999999993E-3</v>
      </c>
      <c r="D364" s="96" t="s">
        <v>255</v>
      </c>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customHeight="1">
      <c r="A365" s="2"/>
      <c r="B365" s="97" t="s">
        <v>190</v>
      </c>
      <c r="C365" s="390">
        <v>0</v>
      </c>
      <c r="D365" s="96" t="s">
        <v>255</v>
      </c>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customHeight="1">
      <c r="A366" s="2"/>
      <c r="B366" s="97" t="s">
        <v>191</v>
      </c>
      <c r="C366" s="95">
        <f>ROUND((('Entradas Rebanho'!$G$34*(3.94/100))/6.38),3)</f>
        <v>2.5000000000000001E-2</v>
      </c>
      <c r="D366" s="96" t="s">
        <v>255</v>
      </c>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customHeight="1">
      <c r="A367" s="2"/>
      <c r="B367" s="98" t="s">
        <v>192</v>
      </c>
      <c r="C367" s="391">
        <v>0</v>
      </c>
      <c r="D367" s="100" t="s">
        <v>255</v>
      </c>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customHeight="1">
      <c r="A370" s="2"/>
      <c r="B370" s="920" t="s">
        <v>258</v>
      </c>
      <c r="C370" s="921"/>
      <c r="D370" s="92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customHeight="1">
      <c r="A371" s="2"/>
      <c r="B371" s="923" t="s">
        <v>259</v>
      </c>
      <c r="C371" s="924"/>
      <c r="D371" s="925"/>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customHeight="1">
      <c r="A372" s="2"/>
      <c r="B372" s="118" t="s">
        <v>174</v>
      </c>
      <c r="C372" s="92" t="s">
        <v>175</v>
      </c>
      <c r="D372" s="93" t="s">
        <v>176</v>
      </c>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customHeight="1">
      <c r="A373" s="2"/>
      <c r="B373" s="94" t="s">
        <v>177</v>
      </c>
      <c r="C373" s="95">
        <f>ROUND((C333-C353)*'Entradas Rebanho'!D10,3)</f>
        <v>3.9060000000000001</v>
      </c>
      <c r="D373" s="96" t="s">
        <v>1147</v>
      </c>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customHeight="1">
      <c r="A374" s="2"/>
      <c r="B374" s="94" t="s">
        <v>179</v>
      </c>
      <c r="C374" s="95">
        <f>ROUND((C334-C354)*'Entradas Rebanho'!D10,3)</f>
        <v>4.0919999999999996</v>
      </c>
      <c r="D374" s="96" t="s">
        <v>1147</v>
      </c>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customHeight="1">
      <c r="A375" s="2"/>
      <c r="B375" s="94" t="s">
        <v>180</v>
      </c>
      <c r="C375" s="95">
        <f>ROUND((C335-C355)*'Entradas Rebanho'!D10,3)</f>
        <v>4.4329999999999998</v>
      </c>
      <c r="D375" s="96" t="s">
        <v>1147</v>
      </c>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customHeight="1">
      <c r="A376" s="2"/>
      <c r="B376" s="97" t="s">
        <v>181</v>
      </c>
      <c r="C376" s="95">
        <f>ROUND((C336-C356)*'Entradas Rebanho'!D10,3)</f>
        <v>4.6189999999999998</v>
      </c>
      <c r="D376" s="96" t="s">
        <v>1147</v>
      </c>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customHeight="1">
      <c r="A377" s="2"/>
      <c r="B377" s="97" t="s">
        <v>182</v>
      </c>
      <c r="C377" s="95">
        <f>ROUND((C337-C357)*'Entradas Rebanho'!D10,3)</f>
        <v>4.8049999999999997</v>
      </c>
      <c r="D377" s="96" t="s">
        <v>1147</v>
      </c>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customHeight="1">
      <c r="A378" s="2"/>
      <c r="B378" s="97" t="s">
        <v>183</v>
      </c>
      <c r="C378" s="95">
        <f>ROUND((C338-C358)*'Entradas Rebanho'!D10,3)</f>
        <v>5.1769999999999996</v>
      </c>
      <c r="D378" s="96" t="s">
        <v>1147</v>
      </c>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customHeight="1">
      <c r="A379" s="2"/>
      <c r="B379" s="97" t="s">
        <v>184</v>
      </c>
      <c r="C379" s="95">
        <f>ROUND((C339-C359)*'Entradas Rebanho'!D10,3)</f>
        <v>5.5490000000000004</v>
      </c>
      <c r="D379" s="96" t="s">
        <v>1147</v>
      </c>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customHeight="1">
      <c r="A380" s="2"/>
      <c r="B380" s="97" t="s">
        <v>185</v>
      </c>
      <c r="C380" s="95">
        <f>ROUND((C340-C360)*'Entradas Rebanho'!D10,3)</f>
        <v>5.766</v>
      </c>
      <c r="D380" s="96" t="s">
        <v>1147</v>
      </c>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customHeight="1">
      <c r="A381" s="2"/>
      <c r="B381" s="97" t="s">
        <v>186</v>
      </c>
      <c r="C381" s="95">
        <f>ROUND((C341-C361)*'Entradas Rebanho'!D10,3)</f>
        <v>6.2309999999999999</v>
      </c>
      <c r="D381" s="96" t="s">
        <v>1147</v>
      </c>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customHeight="1">
      <c r="A382" s="2"/>
      <c r="B382" s="97" t="s">
        <v>187</v>
      </c>
      <c r="C382" s="95">
        <f>ROUND((C342-C362)*'Entradas Rebanho'!D10,3)</f>
        <v>6.0449999999999999</v>
      </c>
      <c r="D382" s="96" t="s">
        <v>1147</v>
      </c>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customHeight="1">
      <c r="A383" s="2"/>
      <c r="B383" s="97" t="s">
        <v>188</v>
      </c>
      <c r="C383" s="95">
        <f>ROUND((C343-C363)*'Entradas Rebanho'!D10,3)</f>
        <v>6.3239999999999998</v>
      </c>
      <c r="D383" s="96" t="s">
        <v>1147</v>
      </c>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customHeight="1">
      <c r="A384" s="2"/>
      <c r="B384" s="97" t="s">
        <v>189</v>
      </c>
      <c r="C384" s="95">
        <f>ROUND((C344-C364)*'Entradas Rebanho'!D10,3)</f>
        <v>6.851</v>
      </c>
      <c r="D384" s="96" t="s">
        <v>1147</v>
      </c>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customHeight="1">
      <c r="A385" s="2"/>
      <c r="B385" s="97" t="s">
        <v>190</v>
      </c>
      <c r="C385" s="95">
        <f>ROUND((C345-C365)*'Entradas Rebanho'!D10,3)</f>
        <v>7.0679999999999996</v>
      </c>
      <c r="D385" s="96" t="s">
        <v>1147</v>
      </c>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customHeight="1">
      <c r="A386" s="2"/>
      <c r="B386" s="97" t="s">
        <v>191</v>
      </c>
      <c r="C386" s="95">
        <f>ROUND((C346-C366)*'Entradas Rebanho'!D10,3)</f>
        <v>9.641</v>
      </c>
      <c r="D386" s="96" t="s">
        <v>1147</v>
      </c>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customHeight="1">
      <c r="A387" s="2"/>
      <c r="B387" s="98" t="s">
        <v>192</v>
      </c>
      <c r="C387" s="99">
        <f>ROUND((C347-C367)*'Entradas Rebanho'!D10,3)</f>
        <v>7.0369999999999999</v>
      </c>
      <c r="D387" s="100" t="s">
        <v>1147</v>
      </c>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customHeight="1">
      <c r="A390" s="2"/>
      <c r="B390" s="926" t="s">
        <v>260</v>
      </c>
      <c r="C390" s="927"/>
      <c r="D390" s="928"/>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customHeight="1">
      <c r="A393" s="2"/>
      <c r="B393" s="920" t="s">
        <v>261</v>
      </c>
      <c r="C393" s="921"/>
      <c r="D393" s="92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customHeight="1">
      <c r="A394" s="2"/>
      <c r="B394" s="923" t="s">
        <v>262</v>
      </c>
      <c r="C394" s="924"/>
      <c r="D394" s="925"/>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customHeight="1" thickBot="1">
      <c r="A395" s="2"/>
      <c r="B395" s="118" t="s">
        <v>174</v>
      </c>
      <c r="C395" s="92" t="s">
        <v>175</v>
      </c>
      <c r="D395" s="93" t="s">
        <v>176</v>
      </c>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customHeight="1">
      <c r="A396" s="2"/>
      <c r="B396" s="94" t="s">
        <v>177</v>
      </c>
      <c r="C396" s="131">
        <f>ROUND((('Entradas Rebanho'!B21+'Entradas Rebanho'!C21)*Cálculos!C373)*((('Entradas Rebanho'!$C57/100)*(IF('Entradas Rebanho'!$B57="Lagoa anaeróbica descoberta",Default!$E$225,IF('Entradas Rebanho'!$B57="Sistema de gerenciamento com cama apresentando mistura",Default!$E$231,IF('Entradas Rebanho'!$B57="Armazenamento sólido",Default!$E$217,IF('Entradas Rebanho'!$B57="Lote seco",Default!$E$221,IF('Entradas Rebanho'!$B57="Espalhamento diário",Default!$E$216,IF('Entradas Rebanho'!$B57="Compostagem pilha estática (aeração forçada)",Default!$E$233,IF('Entradas Rebanho'!$B57="Tratamento aeróbico ",Default!$E$238,IF('Entradas Rebanho'!$B57="Biodigestor (alta tecnologia)",Default!$E$227,IF('Entradas Rebanho'!$B57="Biodigestor (convencional)",Default!$E$227)))))))))))+(('Entradas Rebanho'!$E57/100)*(IF('Entradas Rebanho'!$D57="Lagoa anaeróbica descoberta",Default!$E$225,IF('Entradas Rebanho'!$D57="Sistema de gerenciamento com cama apresentando mistura",Default!$E$231,IF('Entradas Rebanho'!$D57="Armazenamento sólido",Default!$E$217,IF('Entradas Rebanho'!$D57="Lote seco",Default!$E$221,IF('Entradas Rebanho'!$D57="Espalhamento diário",Default!$E$216,IF('Entradas Rebanho'!$D57="Compostagem pilha estática (aeração forçada)",Default!$E$233,IF('Entradas Rebanho'!$D57="Tratamento aeróbico ",Default!$E$238,IF('Entradas Rebanho'!$D57="Biodigestor (alta tecnologia)",Default!$E$227,IF('Entradas Rebanho'!$D57="Biodigestor (convencional)",Default!$E$227)))))))))))+(('Entradas Rebanho'!$G57/100)*(IF('Entradas Rebanho'!$F57="Lagoa anaeróbica descoberta",Default!$E$225,IF('Entradas Rebanho'!$F57="Sistema de gerenciamento com cama apresentando mistura",Default!$E$231,IF('Entradas Rebanho'!$F57="Armazenamento sólido",Default!$E$217,IF('Entradas Rebanho'!$F57="Lote seco",Default!$E$221,IF('Entradas Rebanho'!$F57="Espalhamento diário",Default!$E$216,IF('Entradas Rebanho'!$F57="Compostagem pilha estática (aeração forçada)",Default!$E$233,IF('Entradas Rebanho'!$F57="Tratamento aeróbico ",Default!$E$238,IF('Entradas Rebanho'!$F57="Biodigestor (alta tecnologia)",Default!$E$227,IF('Entradas Rebanho'!$F57="Biodigestor (convencional)",Default!$E$227))))))))))))*(44/28),3)</f>
        <v>0</v>
      </c>
      <c r="D396" s="96" t="s">
        <v>1148</v>
      </c>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customHeight="1">
      <c r="A397" s="2"/>
      <c r="B397" s="94" t="s">
        <v>179</v>
      </c>
      <c r="C397" s="131">
        <f>ROUND((('Entradas Rebanho'!B22+'Entradas Rebanho'!C22)*Cálculos!C374)*((('Entradas Rebanho'!$C58/100)*(IF('Entradas Rebanho'!$B58="Lagoa anaeróbica descoberta",Default!$E$225,IF('Entradas Rebanho'!$B58="Sistema de gerenciamento com cama apresentando mistura",Default!$E$231,IF('Entradas Rebanho'!$B58="Armazenamento sólido",Default!$E$217,IF('Entradas Rebanho'!$B58="Lote seco",Default!$E$221,IF('Entradas Rebanho'!$B58="Espalhamento diário",Default!$E$216,IF('Entradas Rebanho'!$B58="Compostagem pilha estática (aeração forçada)",Default!$E$233,IF('Entradas Rebanho'!$B58="Tratamento aeróbico ",Default!$E$238,IF('Entradas Rebanho'!$B58="Biodigestor (alta tecnologia)",Default!$E$227,IF('Entradas Rebanho'!$B58="Biodigestor (convencional)",Default!$E$227)))))))))))+(('Entradas Rebanho'!$E58/100)*(IF('Entradas Rebanho'!$D58="Lagoa anaeróbica descoberta",Default!$E$225,IF('Entradas Rebanho'!$D58="Sistema de gerenciamento com cama apresentando mistura",Default!$E$231,IF('Entradas Rebanho'!$D58="Armazenamento sólido",Default!$E$217,IF('Entradas Rebanho'!$D58="Lote seco",Default!$E$221,IF('Entradas Rebanho'!$D58="Espalhamento diário",Default!$E$216,IF('Entradas Rebanho'!$D58="Compostagem pilha estática (aeração forçada)",Default!$E$233,IF('Entradas Rebanho'!$D58="Tratamento aeróbico ",Default!$E$238,IF('Entradas Rebanho'!$D58="Biodigestor (alta tecnologia)",Default!$E$227,IF('Entradas Rebanho'!$D58="Biodigestor (convencional)",Default!$E$227)))))))))))+(('Entradas Rebanho'!$G58/100)*(IF('Entradas Rebanho'!$F58="Lagoa anaeróbica descoberta",Default!$E$225,IF('Entradas Rebanho'!$F58="Sistema de gerenciamento com cama apresentando mistura",Default!$E$231,IF('Entradas Rebanho'!$F58="Armazenamento sólido",Default!$E$217,IF('Entradas Rebanho'!$F58="Lote seco",Default!$E$221,IF('Entradas Rebanho'!$F58="Espalhamento diário",Default!$E$216,IF('Entradas Rebanho'!$F58="Compostagem pilha estática (aeração forçada)",Default!$E$233,IF('Entradas Rebanho'!$F58="Tratamento aeróbico ",Default!$E$238,IF('Entradas Rebanho'!$F58="Biodigestor (alta tecnologia)",Default!$E$227,IF('Entradas Rebanho'!$F58="Biodigestor (convencional)",Default!$E$227))))))))))))*(44/28),3)</f>
        <v>0</v>
      </c>
      <c r="D397" s="96" t="s">
        <v>1148</v>
      </c>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customHeight="1">
      <c r="A398" s="2"/>
      <c r="B398" s="94" t="s">
        <v>180</v>
      </c>
      <c r="C398" s="131">
        <f>ROUND((('Entradas Rebanho'!B23+'Entradas Rebanho'!C23)*Cálculos!C375)*((('Entradas Rebanho'!$C59/100)*(IF('Entradas Rebanho'!$B59="Lagoa anaeróbica descoberta",Default!$E$225,IF('Entradas Rebanho'!$B59="Sistema de gerenciamento com cama apresentando mistura",Default!$E$231,IF('Entradas Rebanho'!$B59="Armazenamento sólido",Default!$E$217,IF('Entradas Rebanho'!$B59="Lote seco",Default!$E$221,IF('Entradas Rebanho'!$B59="Espalhamento diário",Default!$E$216,IF('Entradas Rebanho'!$B59="Compostagem pilha estática (aeração forçada)",Default!$E$233,IF('Entradas Rebanho'!$B59="Tratamento aeróbico ",Default!$E$238,IF('Entradas Rebanho'!$B59="Biodigestor (alta tecnologia)",Default!$E$227,IF('Entradas Rebanho'!$B59="Biodigestor (convencional)",Default!$E$227)))))))))))+(('Entradas Rebanho'!$E59/100)*(IF('Entradas Rebanho'!$D59="Lagoa anaeróbica descoberta",Default!$E$225,IF('Entradas Rebanho'!$D59="Sistema de gerenciamento com cama apresentando mistura",Default!$E$231,IF('Entradas Rebanho'!$D59="Armazenamento sólido",Default!$E$217,IF('Entradas Rebanho'!$D59="Lote seco",Default!$E$221,IF('Entradas Rebanho'!$D59="Espalhamento diário",Default!$E$216,IF('Entradas Rebanho'!$D59="Compostagem pilha estática (aeração forçada)",Default!$E$233,IF('Entradas Rebanho'!$D59="Tratamento aeróbico ",Default!$E$238,IF('Entradas Rebanho'!$D59="Biodigestor (alta tecnologia)",Default!$E$227,IF('Entradas Rebanho'!$D59="Biodigestor (convencional)",Default!$E$227)))))))))))+(('Entradas Rebanho'!$G59/100)*(IF('Entradas Rebanho'!$F59="Lagoa anaeróbica descoberta",Default!$E$225,IF('Entradas Rebanho'!$F59="Sistema de gerenciamento com cama apresentando mistura",Default!$E$231,IF('Entradas Rebanho'!$F59="Armazenamento sólido",Default!$E$217,IF('Entradas Rebanho'!$F59="Lote seco",Default!$E$221,IF('Entradas Rebanho'!$F59="Espalhamento diário",Default!$E$216,IF('Entradas Rebanho'!$F59="Compostagem pilha estática (aeração forçada)",Default!$E$233,IF('Entradas Rebanho'!$F59="Tratamento aeróbico ",Default!$E$238,IF('Entradas Rebanho'!$F59="Biodigestor (alta tecnologia)",Default!$E$227,IF('Entradas Rebanho'!$F59="Biodigestor (convencional)",Default!$E$227))))))))))))*(44/28),3)</f>
        <v>0</v>
      </c>
      <c r="D398" s="96" t="s">
        <v>1148</v>
      </c>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customHeight="1">
      <c r="A399" s="2"/>
      <c r="B399" s="97" t="s">
        <v>181</v>
      </c>
      <c r="C399" s="131">
        <f>ROUND((('Entradas Rebanho'!B24+'Entradas Rebanho'!C24)*Cálculos!C376)*((('Entradas Rebanho'!$C60/100)*(IF('Entradas Rebanho'!$B60="Lagoa anaeróbica descoberta",Default!$E$225,IF('Entradas Rebanho'!$B60="Sistema de gerenciamento com cama apresentando mistura",Default!$E$231,IF('Entradas Rebanho'!$B60="Armazenamento sólido",Default!$E$217,IF('Entradas Rebanho'!$B60="Lote seco",Default!$E$221,IF('Entradas Rebanho'!$B60="Espalhamento diário",Default!$E$216,IF('Entradas Rebanho'!$B60="Compostagem pilha estática (aeração forçada)",Default!$E$233,IF('Entradas Rebanho'!$B60="Tratamento aeróbico ",Default!$E$238,IF('Entradas Rebanho'!$B60="Biodigestor (alta tecnologia)",Default!$E$227,IF('Entradas Rebanho'!$B60="Biodigestor (convencional)",Default!$E$227)))))))))))+(('Entradas Rebanho'!$E60/100)*(IF('Entradas Rebanho'!$D60="Lagoa anaeróbica descoberta",Default!$E$225,IF('Entradas Rebanho'!$D60="Sistema de gerenciamento com cama apresentando mistura",Default!$E$231,IF('Entradas Rebanho'!$D60="Armazenamento sólido",Default!$E$217,IF('Entradas Rebanho'!$D60="Lote seco",Default!$E$221,IF('Entradas Rebanho'!$D60="Espalhamento diário",Default!$E$216,IF('Entradas Rebanho'!$D60="Compostagem pilha estática (aeração forçada)",Default!$E$233,IF('Entradas Rebanho'!$D60="Tratamento aeróbico ",Default!$E$238,IF('Entradas Rebanho'!$D60="Biodigestor (alta tecnologia)",Default!$E$227,IF('Entradas Rebanho'!$D60="Biodigestor (convencional)",Default!$E$227)))))))))))+(('Entradas Rebanho'!$G60/100)*(IF('Entradas Rebanho'!$F60="Lagoa anaeróbica descoberta",Default!$E$225,IF('Entradas Rebanho'!$F60="Sistema de gerenciamento com cama apresentando mistura",Default!$E$231,IF('Entradas Rebanho'!$F60="Armazenamento sólido",Default!$E$217,IF('Entradas Rebanho'!$F60="Lote seco",Default!$E$221,IF('Entradas Rebanho'!$F60="Espalhamento diário",Default!$E$216,IF('Entradas Rebanho'!$F60="Compostagem pilha estática (aeração forçada)",Default!$E$233,IF('Entradas Rebanho'!$F60="Tratamento aeróbico ",Default!$E$238,IF('Entradas Rebanho'!$F60="Biodigestor (alta tecnologia)",Default!$E$227,IF('Entradas Rebanho'!$F60="Biodigestor (convencional)",Default!$E$227))))))))))))*(44/28),3)</f>
        <v>0</v>
      </c>
      <c r="D399" s="96" t="s">
        <v>1148</v>
      </c>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customHeight="1">
      <c r="A400" s="2"/>
      <c r="B400" s="97" t="s">
        <v>182</v>
      </c>
      <c r="C400" s="131">
        <f>ROUND((('Entradas Rebanho'!B25+'Entradas Rebanho'!C25)*Cálculos!C377)*((('Entradas Rebanho'!$C61/100)*(IF('Entradas Rebanho'!$B61="Lagoa anaeróbica descoberta",Default!$E$225,IF('Entradas Rebanho'!$B61="Sistema de gerenciamento com cama apresentando mistura",Default!$E$231,IF('Entradas Rebanho'!$B61="Armazenamento sólido",Default!$E$217,IF('Entradas Rebanho'!$B61="Lote seco",Default!$E$221,IF('Entradas Rebanho'!$B61="Espalhamento diário",Default!$E$216,IF('Entradas Rebanho'!$B61="Compostagem pilha estática (aeração forçada)",Default!$E$233,IF('Entradas Rebanho'!$B61="Tratamento aeróbico ",Default!$E$238,IF('Entradas Rebanho'!$B61="Biodigestor (alta tecnologia)",Default!$E$227,IF('Entradas Rebanho'!$B61="Biodigestor (convencional)",Default!$E$227)))))))))))+(('Entradas Rebanho'!$E61/100)*(IF('Entradas Rebanho'!$D61="Lagoa anaeróbica descoberta",Default!$E$225,IF('Entradas Rebanho'!$D61="Sistema de gerenciamento com cama apresentando mistura",Default!$E$231,IF('Entradas Rebanho'!$D61="Armazenamento sólido",Default!$E$217,IF('Entradas Rebanho'!$D61="Lote seco",Default!$E$221,IF('Entradas Rebanho'!$D61="Espalhamento diário",Default!$E$216,IF('Entradas Rebanho'!$D61="Compostagem pilha estática (aeração forçada)",Default!$E$233,IF('Entradas Rebanho'!$D61="Tratamento aeróbico ",Default!$E$238,IF('Entradas Rebanho'!$D61="Biodigestor (alta tecnologia)",Default!$E$227,IF('Entradas Rebanho'!$D61="Biodigestor (convencional)",Default!$E$227)))))))))))+(('Entradas Rebanho'!$G61/100)*(IF('Entradas Rebanho'!$F61="Lagoa anaeróbica descoberta",Default!$E$225,IF('Entradas Rebanho'!$F61="Sistema de gerenciamento com cama apresentando mistura",Default!$E$231,IF('Entradas Rebanho'!$F61="Armazenamento sólido",Default!$E$217,IF('Entradas Rebanho'!$F61="Lote seco",Default!$E$221,IF('Entradas Rebanho'!$F61="Espalhamento diário",Default!$E$216,IF('Entradas Rebanho'!$F61="Compostagem pilha estática (aeração forçada)",Default!$E$233,IF('Entradas Rebanho'!$F61="Tratamento aeróbico ",Default!$E$238,IF('Entradas Rebanho'!$F61="Biodigestor (alta tecnologia)",Default!$E$227,IF('Entradas Rebanho'!$F61="Biodigestor (convencional)",Default!$E$227))))))))))))*(44/28),3)</f>
        <v>0</v>
      </c>
      <c r="D400" s="96" t="s">
        <v>1148</v>
      </c>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customHeight="1">
      <c r="A401" s="2"/>
      <c r="B401" s="97" t="s">
        <v>183</v>
      </c>
      <c r="C401" s="131">
        <f>ROUND((('Entradas Rebanho'!B26+'Entradas Rebanho'!C26)*Cálculos!C378)*((('Entradas Rebanho'!$C62/100)*(IF('Entradas Rebanho'!$B62="Lagoa anaeróbica descoberta",Default!$E$225,IF('Entradas Rebanho'!$B62="Sistema de gerenciamento com cama apresentando mistura",Default!$E$231,IF('Entradas Rebanho'!$B62="Armazenamento sólido",Default!$E$217,IF('Entradas Rebanho'!$B62="Lote seco",Default!$E$221,IF('Entradas Rebanho'!$B62="Espalhamento diário",Default!$E$216,IF('Entradas Rebanho'!$B62="Compostagem pilha estática (aeração forçada)",Default!$E$233,IF('Entradas Rebanho'!$B62="Tratamento aeróbico ",Default!$E$238,IF('Entradas Rebanho'!$B62="Biodigestor (alta tecnologia)",Default!$E$227,IF('Entradas Rebanho'!$B62="Biodigestor (convencional)",Default!$E$227)))))))))))+(('Entradas Rebanho'!$E62/100)*(IF('Entradas Rebanho'!$D62="Lagoa anaeróbica descoberta",Default!$E$225,IF('Entradas Rebanho'!$D62="Sistema de gerenciamento com cama apresentando mistura",Default!$E$231,IF('Entradas Rebanho'!$D62="Armazenamento sólido",Default!$E$217,IF('Entradas Rebanho'!$D62="Lote seco",Default!$E$221,IF('Entradas Rebanho'!$D62="Espalhamento diário",Default!$E$216,IF('Entradas Rebanho'!$D62="Compostagem pilha estática (aeração forçada)",Default!$E$233,IF('Entradas Rebanho'!$D62="Tratamento aeróbico ",Default!$E$238,IF('Entradas Rebanho'!$D62="Biodigestor (alta tecnologia)",Default!$E$227,IF('Entradas Rebanho'!$D62="Biodigestor (convencional)",Default!$E$227)))))))))))+(('Entradas Rebanho'!$G62/100)*(IF('Entradas Rebanho'!$F62="Lagoa anaeróbica descoberta",Default!$E$225,IF('Entradas Rebanho'!$F62="Sistema de gerenciamento com cama apresentando mistura",Default!$E$231,IF('Entradas Rebanho'!$F62="Armazenamento sólido",Default!$E$217,IF('Entradas Rebanho'!$F62="Lote seco",Default!$E$221,IF('Entradas Rebanho'!$F62="Espalhamento diário",Default!$E$216,IF('Entradas Rebanho'!$F62="Compostagem pilha estática (aeração forçada)",Default!$E$233,IF('Entradas Rebanho'!$F62="Tratamento aeróbico ",Default!$E$238,IF('Entradas Rebanho'!$F62="Biodigestor (alta tecnologia)",Default!$E$227,IF('Entradas Rebanho'!$F62="Biodigestor (convencional)",Default!$E$227))))))))))))*(44/28),3)</f>
        <v>0</v>
      </c>
      <c r="D401" s="96" t="s">
        <v>1148</v>
      </c>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customHeight="1">
      <c r="A402" s="2"/>
      <c r="B402" s="97" t="s">
        <v>184</v>
      </c>
      <c r="C402" s="131">
        <f>ROUND((('Entradas Rebanho'!B27+'Entradas Rebanho'!C27)*Cálculos!C379)*((('Entradas Rebanho'!$C63/100)*(IF('Entradas Rebanho'!$B63="Lagoa anaeróbica descoberta",Default!$E$225,IF('Entradas Rebanho'!$B63="Sistema de gerenciamento com cama apresentando mistura",Default!$E$231,IF('Entradas Rebanho'!$B63="Armazenamento sólido",Default!$E$217,IF('Entradas Rebanho'!$B63="Lote seco",Default!$E$221,IF('Entradas Rebanho'!$B63="Espalhamento diário",Default!$E$216,IF('Entradas Rebanho'!$B63="Compostagem pilha estática (aeração forçada)",Default!$E$233,IF('Entradas Rebanho'!$B63="Tratamento aeróbico ",Default!$E$238,IF('Entradas Rebanho'!$B63="Biodigestor (alta tecnologia)",Default!$E$227,IF('Entradas Rebanho'!$B63="Biodigestor (convencional)",Default!$E$227)))))))))))+(('Entradas Rebanho'!$E63/100)*(IF('Entradas Rebanho'!$D63="Lagoa anaeróbica descoberta",Default!$E$225,IF('Entradas Rebanho'!$D63="Sistema de gerenciamento com cama apresentando mistura",Default!$E$231,IF('Entradas Rebanho'!$D63="Armazenamento sólido",Default!$E$217,IF('Entradas Rebanho'!$D63="Lote seco",Default!$E$221,IF('Entradas Rebanho'!$D63="Espalhamento diário",Default!$E$216,IF('Entradas Rebanho'!$D63="Compostagem pilha estática (aeração forçada)",Default!$E$233,IF('Entradas Rebanho'!$D63="Tratamento aeróbico ",Default!$E$238,IF('Entradas Rebanho'!$D63="Biodigestor (alta tecnologia)",Default!$E$227,IF('Entradas Rebanho'!$D63="Biodigestor (convencional)",Default!$E$227)))))))))))+(('Entradas Rebanho'!$G63/100)*(IF('Entradas Rebanho'!$F63="Lagoa anaeróbica descoberta",Default!$E$225,IF('Entradas Rebanho'!$F63="Sistema de gerenciamento com cama apresentando mistura",Default!$E$231,IF('Entradas Rebanho'!$F63="Armazenamento sólido",Default!$E$217,IF('Entradas Rebanho'!$F63="Lote seco",Default!$E$221,IF('Entradas Rebanho'!$F63="Espalhamento diário",Default!$E$216,IF('Entradas Rebanho'!$F63="Compostagem pilha estática (aeração forçada)",Default!$E$233,IF('Entradas Rebanho'!$F63="Tratamento aeróbico ",Default!$E$238,IF('Entradas Rebanho'!$F63="Biodigestor (alta tecnologia)",Default!$E$227,IF('Entradas Rebanho'!$F63="Biodigestor (convencional)",Default!$E$227))))))))))))*(44/28),3)</f>
        <v>0</v>
      </c>
      <c r="D402" s="96" t="s">
        <v>1148</v>
      </c>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customHeight="1">
      <c r="A403" s="2"/>
      <c r="B403" s="97" t="s">
        <v>185</v>
      </c>
      <c r="C403" s="131">
        <f>ROUND((('Entradas Rebanho'!B28+'Entradas Rebanho'!C28)*Cálculos!C380)*((('Entradas Rebanho'!$C64/100)*(IF('Entradas Rebanho'!$B64="Lagoa anaeróbica descoberta",Default!$E$225,IF('Entradas Rebanho'!$B64="Sistema de gerenciamento com cama apresentando mistura",Default!$E$231,IF('Entradas Rebanho'!$B64="Armazenamento sólido",Default!$E$217,IF('Entradas Rebanho'!$B64="Lote seco",Default!$E$221,IF('Entradas Rebanho'!$B64="Espalhamento diário",Default!$E$216,IF('Entradas Rebanho'!$B64="Compostagem pilha estática (aeração forçada)",Default!$E$233,IF('Entradas Rebanho'!$B64="Tratamento aeróbico ",Default!$E$238,IF('Entradas Rebanho'!$B64="Biodigestor (alta tecnologia)",Default!$E$227,IF('Entradas Rebanho'!$B64="Biodigestor (convencional)",Default!$E$227)))))))))))+(('Entradas Rebanho'!$E64/100)*(IF('Entradas Rebanho'!$D64="Lagoa anaeróbica descoberta",Default!$E$225,IF('Entradas Rebanho'!$D64="Sistema de gerenciamento com cama apresentando mistura",Default!$E$231,IF('Entradas Rebanho'!$D64="Armazenamento sólido",Default!$E$217,IF('Entradas Rebanho'!$D64="Lote seco",Default!$E$221,IF('Entradas Rebanho'!$D64="Espalhamento diário",Default!$E$216,IF('Entradas Rebanho'!$D64="Compostagem pilha estática (aeração forçada)",Default!$E$233,IF('Entradas Rebanho'!$D64="Tratamento aeróbico ",Default!$E$238,IF('Entradas Rebanho'!$D64="Biodigestor (alta tecnologia)",Default!$E$227,IF('Entradas Rebanho'!$D64="Biodigestor (convencional)",Default!$E$227)))))))))))+(('Entradas Rebanho'!$G64/100)*(IF('Entradas Rebanho'!$F64="Lagoa anaeróbica descoberta",Default!$E$225,IF('Entradas Rebanho'!$F64="Sistema de gerenciamento com cama apresentando mistura",Default!$E$231,IF('Entradas Rebanho'!$F64="Armazenamento sólido",Default!$E$217,IF('Entradas Rebanho'!$F64="Lote seco",Default!$E$221,IF('Entradas Rebanho'!$F64="Espalhamento diário",Default!$E$216,IF('Entradas Rebanho'!$F64="Compostagem pilha estática (aeração forçada)",Default!$E$233,IF('Entradas Rebanho'!$F64="Tratamento aeróbico ",Default!$E$238,IF('Entradas Rebanho'!$F64="Biodigestor (alta tecnologia)",Default!$E$227,IF('Entradas Rebanho'!$F64="Biodigestor (convencional)",Default!$E$227))))))))))))*(44/28),3)</f>
        <v>0</v>
      </c>
      <c r="D403" s="96" t="s">
        <v>1148</v>
      </c>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customHeight="1">
      <c r="A404" s="2"/>
      <c r="B404" s="97" t="s">
        <v>186</v>
      </c>
      <c r="C404" s="131">
        <f>ROUND((('Entradas Rebanho'!B29+'Entradas Rebanho'!C29)*Cálculos!C381)*((('Entradas Rebanho'!$C65/100)*(IF('Entradas Rebanho'!$B65="Lagoa anaeróbica descoberta",Default!$E$225,IF('Entradas Rebanho'!$B65="Sistema de gerenciamento com cama apresentando mistura",Default!$E$231,IF('Entradas Rebanho'!$B65="Armazenamento sólido",Default!$E$217,IF('Entradas Rebanho'!$B65="Lote seco",Default!$E$221,IF('Entradas Rebanho'!$B65="Espalhamento diário",Default!$E$216,IF('Entradas Rebanho'!$B65="Compostagem pilha estática (aeração forçada)",Default!$E$233,IF('Entradas Rebanho'!$B65="Tratamento aeróbico ",Default!$E$238,IF('Entradas Rebanho'!$B65="Biodigestor (alta tecnologia)",Default!$E$227,IF('Entradas Rebanho'!$B65="Biodigestor (convencional)",Default!$E$227)))))))))))+(('Entradas Rebanho'!$E65/100)*(IF('Entradas Rebanho'!$D65="Lagoa anaeróbica descoberta",Default!$E$225,IF('Entradas Rebanho'!$D65="Sistema de gerenciamento com cama apresentando mistura",Default!$E$231,IF('Entradas Rebanho'!$D65="Armazenamento sólido",Default!$E$217,IF('Entradas Rebanho'!$D65="Lote seco",Default!$E$221,IF('Entradas Rebanho'!$D65="Espalhamento diário",Default!$E$216,IF('Entradas Rebanho'!$D65="Compostagem pilha estática (aeração forçada)",Default!$E$233,IF('Entradas Rebanho'!$D65="Tratamento aeróbico ",Default!$E$238,IF('Entradas Rebanho'!$D65="Biodigestor (alta tecnologia)",Default!$E$227,IF('Entradas Rebanho'!$D65="Biodigestor (convencional)",Default!$E$227)))))))))))+(('Entradas Rebanho'!$G65/100)*(IF('Entradas Rebanho'!$F65="Lagoa anaeróbica descoberta",Default!$E$225,IF('Entradas Rebanho'!$F65="Sistema de gerenciamento com cama apresentando mistura",Default!$E$231,IF('Entradas Rebanho'!$F65="Armazenamento sólido",Default!$E$217,IF('Entradas Rebanho'!$F65="Lote seco",Default!$E$221,IF('Entradas Rebanho'!$F65="Espalhamento diário",Default!$E$216,IF('Entradas Rebanho'!$F65="Compostagem pilha estática (aeração forçada)",Default!$E$233,IF('Entradas Rebanho'!$F65="Tratamento aeróbico ",Default!$E$238,IF('Entradas Rebanho'!$F65="Biodigestor (alta tecnologia)",Default!$E$227,IF('Entradas Rebanho'!$F65="Biodigestor (convencional)",Default!$E$227))))))))))))*(44/28),3)</f>
        <v>0</v>
      </c>
      <c r="D404" s="96" t="s">
        <v>1148</v>
      </c>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customHeight="1">
      <c r="A405" s="2"/>
      <c r="B405" s="97" t="s">
        <v>187</v>
      </c>
      <c r="C405" s="131">
        <f>ROUND((('Entradas Rebanho'!B30+'Entradas Rebanho'!C30)*Cálculos!C382)*((('Entradas Rebanho'!$C66/100)*(IF('Entradas Rebanho'!$B66="Lagoa anaeróbica descoberta",Default!$E$225,IF('Entradas Rebanho'!$B66="Sistema de gerenciamento com cama apresentando mistura",Default!$E$231,IF('Entradas Rebanho'!$B66="Armazenamento sólido",Default!$E$217,IF('Entradas Rebanho'!$B66="Lote seco",Default!$E$221,IF('Entradas Rebanho'!$B66="Espalhamento diário",Default!$E$216,IF('Entradas Rebanho'!$B66="Compostagem pilha estática (aeração forçada)",Default!$E$233,IF('Entradas Rebanho'!$B66="Tratamento aeróbico ",Default!$E$238,IF('Entradas Rebanho'!$B66="Biodigestor (alta tecnologia)",Default!$E$227,IF('Entradas Rebanho'!$B66="Biodigestor (convencional)",Default!$E$227)))))))))))+(('Entradas Rebanho'!$E66/100)*(IF('Entradas Rebanho'!$D66="Lagoa anaeróbica descoberta",Default!$E$225,IF('Entradas Rebanho'!$D66="Sistema de gerenciamento com cama apresentando mistura",Default!$E$231,IF('Entradas Rebanho'!$D66="Armazenamento sólido",Default!$E$217,IF('Entradas Rebanho'!$D66="Lote seco",Default!$E$221,IF('Entradas Rebanho'!$D66="Espalhamento diário",Default!$E$216,IF('Entradas Rebanho'!$D66="Compostagem pilha estática (aeração forçada)",Default!$E$233,IF('Entradas Rebanho'!$D66="Tratamento aeróbico ",Default!$E$238,IF('Entradas Rebanho'!$D66="Biodigestor (alta tecnologia)",Default!$E$227,IF('Entradas Rebanho'!$D66="Biodigestor (convencional)",Default!$E$227)))))))))))+(('Entradas Rebanho'!$G66/100)*(IF('Entradas Rebanho'!$F66="Lagoa anaeróbica descoberta",Default!$E$225,IF('Entradas Rebanho'!$F66="Sistema de gerenciamento com cama apresentando mistura",Default!$E$231,IF('Entradas Rebanho'!$F66="Armazenamento sólido",Default!$E$217,IF('Entradas Rebanho'!$F66="Lote seco",Default!$E$221,IF('Entradas Rebanho'!$F66="Espalhamento diário",Default!$E$216,IF('Entradas Rebanho'!$F66="Compostagem pilha estática (aeração forçada)",Default!$E$233,IF('Entradas Rebanho'!$F66="Tratamento aeróbico ",Default!$E$238,IF('Entradas Rebanho'!$F66="Biodigestor (alta tecnologia)",Default!$E$227,IF('Entradas Rebanho'!$F66="Biodigestor (convencional)",Default!$E$227))))))))))))*(44/28),3)</f>
        <v>14.249000000000001</v>
      </c>
      <c r="D405" s="96" t="s">
        <v>1148</v>
      </c>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customHeight="1">
      <c r="A406" s="2"/>
      <c r="B406" s="97" t="s">
        <v>188</v>
      </c>
      <c r="C406" s="131">
        <f>ROUND((('Entradas Rebanho'!B31+'Entradas Rebanho'!C31)*Cálculos!C383)*((('Entradas Rebanho'!$C67/100)*(IF('Entradas Rebanho'!$B67="Lagoa anaeróbica descoberta",Default!$E$225,IF('Entradas Rebanho'!$B67="Sistema de gerenciamento com cama apresentando mistura",Default!$E$231,IF('Entradas Rebanho'!$B67="Armazenamento sólido",Default!$E$217,IF('Entradas Rebanho'!$B67="Lote seco",Default!$E$221,IF('Entradas Rebanho'!$B67="Espalhamento diário",Default!$E$216,IF('Entradas Rebanho'!$B67="Compostagem pilha estática (aeração forçada)",Default!$E$233,IF('Entradas Rebanho'!$B67="Tratamento aeróbico ",Default!$E$238,IF('Entradas Rebanho'!$B67="Biodigestor (alta tecnologia)",Default!$E$227,IF('Entradas Rebanho'!$B67="Biodigestor (convencional)",Default!$E$227)))))))))))+(('Entradas Rebanho'!$E67/100)*(IF('Entradas Rebanho'!$D67="Lagoa anaeróbica descoberta",Default!$E$225,IF('Entradas Rebanho'!$D67="Sistema de gerenciamento com cama apresentando mistura",Default!$E$231,IF('Entradas Rebanho'!$D67="Armazenamento sólido",Default!$E$217,IF('Entradas Rebanho'!$D67="Lote seco",Default!$E$221,IF('Entradas Rebanho'!$D67="Espalhamento diário",Default!$E$216,IF('Entradas Rebanho'!$D67="Compostagem pilha estática (aeração forçada)",Default!$E$233,IF('Entradas Rebanho'!$D67="Tratamento aeróbico ",Default!$E$238,IF('Entradas Rebanho'!$D67="Biodigestor (alta tecnologia)",Default!$E$227,IF('Entradas Rebanho'!$D67="Biodigestor (convencional)",Default!$E$227)))))))))))+(('Entradas Rebanho'!$G67/100)*(IF('Entradas Rebanho'!$F67="Lagoa anaeróbica descoberta",Default!$E$225,IF('Entradas Rebanho'!$F67="Sistema de gerenciamento com cama apresentando mistura",Default!$E$231,IF('Entradas Rebanho'!$F67="Armazenamento sólido",Default!$E$217,IF('Entradas Rebanho'!$F67="Lote seco",Default!$E$221,IF('Entradas Rebanho'!$F67="Espalhamento diário",Default!$E$216,IF('Entradas Rebanho'!$F67="Compostagem pilha estática (aeração forçada)",Default!$E$233,IF('Entradas Rebanho'!$F67="Tratamento aeróbico ",Default!$E$238,IF('Entradas Rebanho'!$F67="Biodigestor (alta tecnologia)",Default!$E$227,IF('Entradas Rebanho'!$F67="Biodigestor (convencional)",Default!$E$227))))))))))))*(44/28),3)</f>
        <v>24.844000000000001</v>
      </c>
      <c r="D406" s="96" t="s">
        <v>1148</v>
      </c>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customHeight="1">
      <c r="A407" s="2"/>
      <c r="B407" s="97" t="s">
        <v>189</v>
      </c>
      <c r="C407" s="131">
        <f>ROUND((('Entradas Rebanho'!B32+'Entradas Rebanho'!C32)*Cálculos!C384)*((('Entradas Rebanho'!$C68/100)*(IF('Entradas Rebanho'!$B68="Lagoa anaeróbica descoberta",Default!$E$225,IF('Entradas Rebanho'!$B68="Sistema de gerenciamento com cama apresentando mistura",Default!$E$231,IF('Entradas Rebanho'!$B68="Armazenamento sólido",Default!$E$217,IF('Entradas Rebanho'!$B68="Lote seco",Default!$E$221,IF('Entradas Rebanho'!$B68="Espalhamento diário",Default!$E$216,IF('Entradas Rebanho'!$B68="Compostagem pilha estática (aeração forçada)",Default!$E$233,IF('Entradas Rebanho'!$B68="Tratamento aeróbico ",Default!$E$238,IF('Entradas Rebanho'!$B68="Biodigestor (alta tecnologia)",Default!$E$227,IF('Entradas Rebanho'!$B68="Biodigestor (convencional)",Default!$E$227)))))))))))+(('Entradas Rebanho'!$E68/100)*(IF('Entradas Rebanho'!$D68="Lagoa anaeróbica descoberta",Default!$E$225,IF('Entradas Rebanho'!$D68="Sistema de gerenciamento com cama apresentando mistura",Default!$E$231,IF('Entradas Rebanho'!$D68="Armazenamento sólido",Default!$E$217,IF('Entradas Rebanho'!$D68="Lote seco",Default!$E$221,IF('Entradas Rebanho'!$D68="Espalhamento diário",Default!$E$216,IF('Entradas Rebanho'!$D68="Compostagem pilha estática (aeração forçada)",Default!$E$233,IF('Entradas Rebanho'!$D68="Tratamento aeróbico ",Default!$E$238,IF('Entradas Rebanho'!$D68="Biodigestor (alta tecnologia)",Default!$E$227,IF('Entradas Rebanho'!$D68="Biodigestor (convencional)",Default!$E$227)))))))))))+(('Entradas Rebanho'!$G68/100)*(IF('Entradas Rebanho'!$F68="Lagoa anaeróbica descoberta",Default!$E$225,IF('Entradas Rebanho'!$F68="Sistema de gerenciamento com cama apresentando mistura",Default!$E$231,IF('Entradas Rebanho'!$F68="Armazenamento sólido",Default!$E$217,IF('Entradas Rebanho'!$F68="Lote seco",Default!$E$221,IF('Entradas Rebanho'!$F68="Espalhamento diário",Default!$E$216,IF('Entradas Rebanho'!$F68="Compostagem pilha estática (aeração forçada)",Default!$E$233,IF('Entradas Rebanho'!$F68="Tratamento aeróbico ",Default!$E$238,IF('Entradas Rebanho'!$F68="Biodigestor (alta tecnologia)",Default!$E$227,IF('Entradas Rebanho'!$F68="Biodigestor (convencional)",Default!$E$227))))))))))))*(44/28),3)</f>
        <v>3.23</v>
      </c>
      <c r="D407" s="96" t="s">
        <v>1148</v>
      </c>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customHeight="1">
      <c r="A408" s="2"/>
      <c r="B408" s="97" t="s">
        <v>190</v>
      </c>
      <c r="C408" s="131">
        <f>ROUND((('Entradas Rebanho'!B33+'Entradas Rebanho'!C33)*Cálculos!C385)*((('Entradas Rebanho'!$C69/100)*(IF('Entradas Rebanho'!$B69="Lagoa anaeróbica descoberta",Default!$E$225,IF('Entradas Rebanho'!$B69="Sistema de gerenciamento com cama apresentando mistura",Default!$E$231,IF('Entradas Rebanho'!$B69="Armazenamento sólido",Default!$E$217,IF('Entradas Rebanho'!$B69="Lote seco",Default!$E$221,IF('Entradas Rebanho'!$B69="Espalhamento diário",Default!$E$216,IF('Entradas Rebanho'!$B69="Compostagem pilha estática (aeração forçada)",Default!$E$233,IF('Entradas Rebanho'!$B69="Tratamento aeróbico ",Default!$E$238,IF('Entradas Rebanho'!$B69="Biodigestor (alta tecnologia)",Default!$E$227,IF('Entradas Rebanho'!$B69="Biodigestor (convencional)",Default!$E$227)))))))))))+(('Entradas Rebanho'!$E69/100)*(IF('Entradas Rebanho'!$D69="Lagoa anaeróbica descoberta",Default!$E$225,IF('Entradas Rebanho'!$D69="Sistema de gerenciamento com cama apresentando mistura",Default!$E$231,IF('Entradas Rebanho'!$D69="Armazenamento sólido",Default!$E$217,IF('Entradas Rebanho'!$D69="Lote seco",Default!$E$221,IF('Entradas Rebanho'!$D69="Espalhamento diário",Default!$E$216,IF('Entradas Rebanho'!$D69="Compostagem pilha estática (aeração forçada)",Default!$E$233,IF('Entradas Rebanho'!$D69="Tratamento aeróbico ",Default!$E$238,IF('Entradas Rebanho'!$D69="Biodigestor (alta tecnologia)",Default!$E$227,IF('Entradas Rebanho'!$D69="Biodigestor (convencional)",Default!$E$227)))))))))))+(('Entradas Rebanho'!$G69/100)*(IF('Entradas Rebanho'!$F69="Lagoa anaeróbica descoberta",Default!$E$225,IF('Entradas Rebanho'!$F69="Sistema de gerenciamento com cama apresentando mistura",Default!$E$231,IF('Entradas Rebanho'!$F69="Armazenamento sólido",Default!$E$217,IF('Entradas Rebanho'!$F69="Lote seco",Default!$E$221,IF('Entradas Rebanho'!$F69="Espalhamento diário",Default!$E$216,IF('Entradas Rebanho'!$F69="Compostagem pilha estática (aeração forçada)",Default!$E$233,IF('Entradas Rebanho'!$F69="Tratamento aeróbico ",Default!$E$238,IF('Entradas Rebanho'!$F69="Biodigestor (alta tecnologia)",Default!$E$227,IF('Entradas Rebanho'!$F69="Biodigestor (convencional)",Default!$E$227))))))))))))*(44/28),3)</f>
        <v>0</v>
      </c>
      <c r="D408" s="96" t="s">
        <v>1148</v>
      </c>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customHeight="1">
      <c r="A409" s="2"/>
      <c r="B409" s="97" t="s">
        <v>191</v>
      </c>
      <c r="C409" s="131">
        <f>ROUND((('Entradas Rebanho'!B34+'Entradas Rebanho'!C34)*Cálculos!C386)*((('Entradas Rebanho'!$C70/100)*(IF('Entradas Rebanho'!$B70="Lagoa anaeróbica descoberta",Default!$E$225,IF('Entradas Rebanho'!$B70="Sistema de gerenciamento com cama apresentando mistura",Default!$E$231,IF('Entradas Rebanho'!$B70="Armazenamento sólido",Default!$E$217,IF('Entradas Rebanho'!$B70="Lote seco",Default!$E$221,IF('Entradas Rebanho'!$B70="Espalhamento diário",Default!$E$216,IF('Entradas Rebanho'!$B70="Compostagem pilha estática (aeração forçada)",Default!$E$233,IF('Entradas Rebanho'!$B70="Tratamento aeróbico ",Default!$E$238,IF('Entradas Rebanho'!$B70="Biodigestor (alta tecnologia)",Default!$E$227,IF('Entradas Rebanho'!$B70="Biodigestor (convencional)",Default!$E$227)))))))))))+(('Entradas Rebanho'!$E70/100)*(IF('Entradas Rebanho'!$D70="Lagoa anaeróbica descoberta",Default!$E$225,IF('Entradas Rebanho'!$D70="Sistema de gerenciamento com cama apresentando mistura",Default!$E$231,IF('Entradas Rebanho'!$D70="Armazenamento sólido",Default!$E$217,IF('Entradas Rebanho'!$D70="Lote seco",Default!$E$221,IF('Entradas Rebanho'!$D70="Espalhamento diário",Default!$E$216,IF('Entradas Rebanho'!$D70="Compostagem pilha estática (aeração forçada)",Default!$E$233,IF('Entradas Rebanho'!$D70="Tratamento aeróbico ",Default!$E$238,IF('Entradas Rebanho'!$D70="Biodigestor (alta tecnologia)",Default!$E$227,IF('Entradas Rebanho'!$D70="Biodigestor (convencional)",Default!$E$227)))))))))))+(('Entradas Rebanho'!$G70/100)*(IF('Entradas Rebanho'!$F70="Lagoa anaeróbica descoberta",Default!$E$225,IF('Entradas Rebanho'!$F70="Sistema de gerenciamento com cama apresentando mistura",Default!$E$231,IF('Entradas Rebanho'!$F70="Armazenamento sólido",Default!$E$217,IF('Entradas Rebanho'!$F70="Lote seco",Default!$E$221,IF('Entradas Rebanho'!$F70="Espalhamento diário",Default!$E$216,IF('Entradas Rebanho'!$F70="Compostagem pilha estática (aeração forçada)",Default!$E$233,IF('Entradas Rebanho'!$F70="Tratamento aeróbico ",Default!$E$238,IF('Entradas Rebanho'!$F70="Biodigestor (alta tecnologia)",Default!$E$227,IF('Entradas Rebanho'!$F70="Biodigestor (convencional)",Default!$E$227))))))))))))*(44/28),3)</f>
        <v>0</v>
      </c>
      <c r="D409" s="96" t="s">
        <v>1148</v>
      </c>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customHeight="1" thickBot="1">
      <c r="A410" s="2"/>
      <c r="B410" s="385" t="s">
        <v>192</v>
      </c>
      <c r="C410" s="759">
        <f>ROUND((('Entradas Rebanho'!B35+'Entradas Rebanho'!C35)*Cálculos!C387)*((('Entradas Rebanho'!$C71/100)*(IF('Entradas Rebanho'!$B71="Lagoa anaeróbica descoberta",Default!$E$225,IF('Entradas Rebanho'!$B71="Sistema de gerenciamento com cama apresentando mistura",Default!$E$231,IF('Entradas Rebanho'!$B71="Armazenamento sólido",Default!$E$217,IF('Entradas Rebanho'!$B71="Lote seco",Default!$E$221,IF('Entradas Rebanho'!$B71="Espalhamento diário",Default!$E$216,IF('Entradas Rebanho'!$B71="Compostagem pilha estática (aeração forçada)",Default!$E$233,IF('Entradas Rebanho'!$B71="Tratamento aeróbico ",Default!$E$238,IF('Entradas Rebanho'!$B71="Biodigestor (alta tecnologia)",Default!$E$227,IF('Entradas Rebanho'!$B71="Biodigestor (convencional)",Default!$E$227)))))))))))+(('Entradas Rebanho'!$E71/100)*(IF('Entradas Rebanho'!$D71="Lagoa anaeróbica descoberta",Default!$E$225,IF('Entradas Rebanho'!$D71="Sistema de gerenciamento com cama apresentando mistura",Default!$E$231,IF('Entradas Rebanho'!$D71="Armazenamento sólido",Default!$E$217,IF('Entradas Rebanho'!$D71="Lote seco",Default!$E$221,IF('Entradas Rebanho'!$D71="Espalhamento diário",Default!$E$216,IF('Entradas Rebanho'!$D71="Compostagem pilha estática (aeração forçada)",Default!$E$233,IF('Entradas Rebanho'!$D71="Tratamento aeróbico ",Default!$E$238,IF('Entradas Rebanho'!$D71="Biodigestor (alta tecnologia)",Default!$E$227,IF('Entradas Rebanho'!$D71="Biodigestor (convencional)",Default!$E$227)))))))))))+(('Entradas Rebanho'!$G71/100)*(IF('Entradas Rebanho'!$F71="Lagoa anaeróbica descoberta",Default!$E$225,IF('Entradas Rebanho'!$F71="Sistema de gerenciamento com cama apresentando mistura",Default!$E$231,IF('Entradas Rebanho'!$F71="Armazenamento sólido",Default!$E$217,IF('Entradas Rebanho'!$F71="Lote seco",Default!$E$221,IF('Entradas Rebanho'!$F71="Espalhamento diário",Default!$E$216,IF('Entradas Rebanho'!$F71="Compostagem pilha estática (aeração forçada)",Default!$E$233,IF('Entradas Rebanho'!$F71="Tratamento aeróbico ",Default!$E$238,IF('Entradas Rebanho'!$F71="Biodigestor (alta tecnologia)",Default!$E$227,IF('Entradas Rebanho'!$F71="Biodigestor (convencional)",Default!$E$227))))))))))))*(44/28),3)</f>
        <v>0</v>
      </c>
      <c r="D410" s="387" t="s">
        <v>1148</v>
      </c>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customHeight="1">
      <c r="A413" s="2"/>
      <c r="B413" s="914" t="s">
        <v>263</v>
      </c>
      <c r="C413" s="915"/>
      <c r="D413" s="916"/>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customHeight="1">
      <c r="A414" s="2"/>
      <c r="B414" s="917" t="s">
        <v>264</v>
      </c>
      <c r="C414" s="918"/>
      <c r="D414" s="919"/>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customHeight="1">
      <c r="A415" s="2"/>
      <c r="B415" s="441" t="s">
        <v>174</v>
      </c>
      <c r="C415" s="431" t="s">
        <v>175</v>
      </c>
      <c r="D415" s="433" t="s">
        <v>176</v>
      </c>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customHeight="1">
      <c r="A416" s="2"/>
      <c r="B416" s="436" t="s">
        <v>177</v>
      </c>
      <c r="C416" s="389">
        <f>ROUND((('Entradas Rebanho'!B21+'Entradas Rebanho'!C21)*Cálculos!C373)*(((('Entradas Rebanho'!$C57)/100)*(IF('Entradas Rebanho'!$B57="Lagoa anaeróbica descoberta",Default!$C$252,IF('Entradas Rebanho'!$B57="Sistema de gerenciamento com cama apresentando mistura",Default!$C$264,IF('Entradas Rebanho'!$B57="Armazenamento sólido",Default!$C$261,IF('Entradas Rebanho'!$B57="Lote seco",Default!$C$262,IF('Entradas Rebanho'!$B57="Espalhamento diário",Default!$C$257,IF('Entradas Rebanho'!$B57="Compostagem pilha estática (aeração forçada)",Default!$C$266,IF('Entradas Rebanho'!$B57="Tratamento aeróbico ",Default!$C$270,IF('Entradas Rebanho'!$B57="Biodigestor (alta tecnologia)",Default!$C$263,IF('Entradas Rebanho'!$B57="Biodigestor (convencional)",Default!$C$263)))))))))))+((('Entradas Rebanho'!$E57)/100)*(IF('Entradas Rebanho'!$D57="Lagoa anaeróbica descoberta",Default!$C$252,IF('Entradas Rebanho'!$D57="Sistema de gerenciamento com cama apresentando mistura",Default!$C$264,IF('Entradas Rebanho'!$D57="Armazenamento sólido",Default!$C$261,IF('Entradas Rebanho'!$D57="Lote seco",Default!$C$262,IF('Entradas Rebanho'!$D57="Espalhamento diário",Default!$C$257,IF('Entradas Rebanho'!$D57="Compostagem pilha estática (aeração forçada)",Default!$C$266,IF('Entradas Rebanho'!$D57="Tratamento aeróbico ",Default!$C$270,IF('Entradas Rebanho'!$D57="Biodigestor (alta tecnologia)",Default!$C$263,IF('Entradas Rebanho'!$D57="Biodigestor (convencional)",Default!$C$263)))))))))))+((('Entradas Rebanho'!$G57)/100)*(IF('Entradas Rebanho'!$F57="Lagoa anaeróbica descoberta",Default!$C$252,IF('Entradas Rebanho'!$F57="Sistema de gerenciamento com cama apresentando mistura",Default!$C$264,IF('Entradas Rebanho'!$F57="Armazenamento sólido",Default!$C$261,IF('Entradas Rebanho'!$F57="Lote seco",Default!$C$262,IF('Entradas Rebanho'!$F57="Espalhamento diário",Default!$C$257,IF('Entradas Rebanho'!$F57="Compostagem pilha estática (aeração forçada)",Default!$C$266,IF('Entradas Rebanho'!$F57="Tratamento aeróbico ",Default!$C$270,IF('Entradas Rebanho'!$F57="Biodigestor (alta tecnologia)",Default!$C$263,IF('Entradas Rebanho'!$F57="Biodigestor (convencional)",Default!$C$263)))))))))))),3)</f>
        <v>0</v>
      </c>
      <c r="D416" s="437" t="s">
        <v>1149</v>
      </c>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customHeight="1">
      <c r="A417" s="2"/>
      <c r="B417" s="436" t="s">
        <v>179</v>
      </c>
      <c r="C417" s="389">
        <f>ROUND((('Entradas Rebanho'!B22+'Entradas Rebanho'!C22)*Cálculos!C374)*(((('Entradas Rebanho'!$C58)/100)*(IF('Entradas Rebanho'!$B58="Lagoa anaeróbica descoberta",Default!$C$252,IF('Entradas Rebanho'!$B58="Sistema de gerenciamento com cama apresentando mistura",Default!$C$264,IF('Entradas Rebanho'!$B58="Armazenamento sólido",Default!$C$261,IF('Entradas Rebanho'!$B58="Lote seco",Default!$C$262,IF('Entradas Rebanho'!$B58="Espalhamento diário",Default!$C$257,IF('Entradas Rebanho'!$B58="Compostagem pilha estática (aeração forçada)",Default!$C$266,IF('Entradas Rebanho'!$B58="Tratamento aeróbico ",Default!$C$270,IF('Entradas Rebanho'!$B58="Biodigestor (alta tecnologia)",Default!$C$263,IF('Entradas Rebanho'!$B58="Biodigestor (convencional)",Default!$C$263)))))))))))+((('Entradas Rebanho'!$E58)/100)*(IF('Entradas Rebanho'!$D58="Lagoa anaeróbica descoberta",Default!$C$252,IF('Entradas Rebanho'!$D58="Sistema de gerenciamento com cama apresentando mistura",Default!$C$264,IF('Entradas Rebanho'!$D58="Armazenamento sólido",Default!$C$261,IF('Entradas Rebanho'!$D58="Lote seco",Default!$C$262,IF('Entradas Rebanho'!$D58="Espalhamento diário",Default!$C$257,IF('Entradas Rebanho'!$D58="Compostagem pilha estática (aeração forçada)",Default!$C$266,IF('Entradas Rebanho'!$D58="Tratamento aeróbico ",Default!$C$270,IF('Entradas Rebanho'!$D58="Biodigestor (alta tecnologia)",Default!$C$263,IF('Entradas Rebanho'!$D58="Biodigestor (convencional)",Default!$C$263)))))))))))+((('Entradas Rebanho'!$G58)/100)*(IF('Entradas Rebanho'!$F58="Lagoa anaeróbica descoberta",Default!$C$252,IF('Entradas Rebanho'!$F58="Sistema de gerenciamento com cama apresentando mistura",Default!$C$264,IF('Entradas Rebanho'!$F58="Armazenamento sólido",Default!$C$261,IF('Entradas Rebanho'!$F58="Lote seco",Default!$C$262,IF('Entradas Rebanho'!$F58="Espalhamento diário",Default!$C$257,IF('Entradas Rebanho'!$F58="Compostagem pilha estática (aeração forçada)",Default!$C$266,IF('Entradas Rebanho'!$F58="Tratamento aeróbico ",Default!$C$270,IF('Entradas Rebanho'!$F58="Biodigestor (alta tecnologia)",Default!$C$263,IF('Entradas Rebanho'!$F58="Biodigestor (convencional)",Default!$C$263)))))))))))),3)</f>
        <v>0</v>
      </c>
      <c r="D417" s="437" t="s">
        <v>1149</v>
      </c>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customHeight="1">
      <c r="A418" s="2"/>
      <c r="B418" s="436" t="s">
        <v>180</v>
      </c>
      <c r="C418" s="389">
        <f>ROUND((('Entradas Rebanho'!B23+'Entradas Rebanho'!C23)*Cálculos!C375)*(((('Entradas Rebanho'!$C59)/100)*(IF('Entradas Rebanho'!$B59="Lagoa anaeróbica descoberta",Default!$C$252,IF('Entradas Rebanho'!$B59="Sistema de gerenciamento com cama apresentando mistura",Default!$C$264,IF('Entradas Rebanho'!$B59="Armazenamento sólido",Default!$C$261,IF('Entradas Rebanho'!$B59="Lote seco",Default!$C$262,IF('Entradas Rebanho'!$B59="Espalhamento diário",Default!$C$257,IF('Entradas Rebanho'!$B59="Compostagem pilha estática (aeração forçada)",Default!$C$266,IF('Entradas Rebanho'!$B59="Tratamento aeróbico ",Default!$C$270,IF('Entradas Rebanho'!$B59="Biodigestor (alta tecnologia)",Default!$C$263,IF('Entradas Rebanho'!$B59="Biodigestor (convencional)",Default!$C$263)))))))))))+((('Entradas Rebanho'!$E59)/100)*(IF('Entradas Rebanho'!$D59="Lagoa anaeróbica descoberta",Default!$C$252,IF('Entradas Rebanho'!$D59="Sistema de gerenciamento com cama apresentando mistura",Default!$C$264,IF('Entradas Rebanho'!$D59="Armazenamento sólido",Default!$C$261,IF('Entradas Rebanho'!$D59="Lote seco",Default!$C$262,IF('Entradas Rebanho'!$D59="Espalhamento diário",Default!$C$257,IF('Entradas Rebanho'!$D59="Compostagem pilha estática (aeração forçada)",Default!$C$266,IF('Entradas Rebanho'!$D59="Tratamento aeróbico ",Default!$C$270,IF('Entradas Rebanho'!$D59="Biodigestor (alta tecnologia)",Default!$C$263,IF('Entradas Rebanho'!$D59="Biodigestor (convencional)",Default!$C$263)))))))))))+((('Entradas Rebanho'!$G59)/100)*(IF('Entradas Rebanho'!$F59="Lagoa anaeróbica descoberta",Default!$C$252,IF('Entradas Rebanho'!$F59="Sistema de gerenciamento com cama apresentando mistura",Default!$C$264,IF('Entradas Rebanho'!$F59="Armazenamento sólido",Default!$C$261,IF('Entradas Rebanho'!$F59="Lote seco",Default!$C$262,IF('Entradas Rebanho'!$F59="Espalhamento diário",Default!$C$257,IF('Entradas Rebanho'!$F59="Compostagem pilha estática (aeração forçada)",Default!$C$266,IF('Entradas Rebanho'!$F59="Tratamento aeróbico ",Default!$C$270,IF('Entradas Rebanho'!$F59="Biodigestor (alta tecnologia)",Default!$C$263,IF('Entradas Rebanho'!$F59="Biodigestor (convencional)",Default!$C$263)))))))))))),3)</f>
        <v>0</v>
      </c>
      <c r="D418" s="437" t="s">
        <v>1149</v>
      </c>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customHeight="1">
      <c r="A419" s="2"/>
      <c r="B419" s="438" t="s">
        <v>181</v>
      </c>
      <c r="C419" s="389">
        <f>ROUND((('Entradas Rebanho'!B24+'Entradas Rebanho'!C24)*Cálculos!C376)*(((('Entradas Rebanho'!$C60)/100)*(IF('Entradas Rebanho'!$B60="Lagoa anaeróbica descoberta",Default!$C$252,IF('Entradas Rebanho'!$B60="Sistema de gerenciamento com cama apresentando mistura",Default!$C$264,IF('Entradas Rebanho'!$B60="Armazenamento sólido",Default!$C$261,IF('Entradas Rebanho'!$B60="Lote seco",Default!$C$262,IF('Entradas Rebanho'!$B60="Espalhamento diário",Default!$C$257,IF('Entradas Rebanho'!$B60="Compostagem pilha estática (aeração forçada)",Default!$C$266,IF('Entradas Rebanho'!$B60="Tratamento aeróbico ",Default!$C$270,IF('Entradas Rebanho'!$B60="Biodigestor (alta tecnologia)",Default!$C$263,IF('Entradas Rebanho'!$B60="Biodigestor (convencional)",Default!$C$263)))))))))))+((('Entradas Rebanho'!$E60)/100)*(IF('Entradas Rebanho'!$D60="Lagoa anaeróbica descoberta",Default!$C$252,IF('Entradas Rebanho'!$D60="Sistema de gerenciamento com cama apresentando mistura",Default!$C$264,IF('Entradas Rebanho'!$D60="Armazenamento sólido",Default!$C$261,IF('Entradas Rebanho'!$D60="Lote seco",Default!$C$262,IF('Entradas Rebanho'!$D60="Espalhamento diário",Default!$C$257,IF('Entradas Rebanho'!$D60="Compostagem pilha estática (aeração forçada)",Default!$C$266,IF('Entradas Rebanho'!$D60="Tratamento aeróbico ",Default!$C$270,IF('Entradas Rebanho'!$D60="Biodigestor (alta tecnologia)",Default!$C$263,IF('Entradas Rebanho'!$D60="Biodigestor (convencional)",Default!$C$263)))))))))))+((('Entradas Rebanho'!$G60)/100)*(IF('Entradas Rebanho'!$F60="Lagoa anaeróbica descoberta",Default!$C$252,IF('Entradas Rebanho'!$F60="Sistema de gerenciamento com cama apresentando mistura",Default!$C$264,IF('Entradas Rebanho'!$F60="Armazenamento sólido",Default!$C$261,IF('Entradas Rebanho'!$F60="Lote seco",Default!$C$262,IF('Entradas Rebanho'!$F60="Espalhamento diário",Default!$C$257,IF('Entradas Rebanho'!$F60="Compostagem pilha estática (aeração forçada)",Default!$C$266,IF('Entradas Rebanho'!$F60="Tratamento aeróbico ",Default!$C$270,IF('Entradas Rebanho'!$F60="Biodigestor (alta tecnologia)",Default!$C$263,IF('Entradas Rebanho'!$F60="Biodigestor (convencional)",Default!$C$263)))))))))))),3)</f>
        <v>0</v>
      </c>
      <c r="D419" s="437" t="s">
        <v>1149</v>
      </c>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customHeight="1">
      <c r="A420" s="2"/>
      <c r="B420" s="438" t="s">
        <v>182</v>
      </c>
      <c r="C420" s="389">
        <f>ROUND((('Entradas Rebanho'!B25+'Entradas Rebanho'!C25)*Cálculos!C377)*(((('Entradas Rebanho'!$C61)/100)*(IF('Entradas Rebanho'!$B61="Lagoa anaeróbica descoberta",Default!$C$252,IF('Entradas Rebanho'!$B61="Sistema de gerenciamento com cama apresentando mistura",Default!$C$264,IF('Entradas Rebanho'!$B61="Armazenamento sólido",Default!$C$261,IF('Entradas Rebanho'!$B61="Lote seco",Default!$C$262,IF('Entradas Rebanho'!$B61="Espalhamento diário",Default!$C$257,IF('Entradas Rebanho'!$B61="Compostagem pilha estática (aeração forçada)",Default!$C$266,IF('Entradas Rebanho'!$B61="Tratamento aeróbico ",Default!$C$270,IF('Entradas Rebanho'!$B61="Biodigestor (alta tecnologia)",Default!$C$263,IF('Entradas Rebanho'!$B61="Biodigestor (convencional)",Default!$C$263)))))))))))+((('Entradas Rebanho'!$E61)/100)*(IF('Entradas Rebanho'!$D61="Lagoa anaeróbica descoberta",Default!$C$252,IF('Entradas Rebanho'!$D61="Sistema de gerenciamento com cama apresentando mistura",Default!$C$264,IF('Entradas Rebanho'!$D61="Armazenamento sólido",Default!$C$261,IF('Entradas Rebanho'!$D61="Lote seco",Default!$C$262,IF('Entradas Rebanho'!$D61="Espalhamento diário",Default!$C$257,IF('Entradas Rebanho'!$D61="Compostagem pilha estática (aeração forçada)",Default!$C$266,IF('Entradas Rebanho'!$D61="Tratamento aeróbico ",Default!$C$270,IF('Entradas Rebanho'!$D61="Biodigestor (alta tecnologia)",Default!$C$263,IF('Entradas Rebanho'!$D61="Biodigestor (convencional)",Default!$C$263)))))))))))+((('Entradas Rebanho'!$G61)/100)*(IF('Entradas Rebanho'!$F61="Lagoa anaeróbica descoberta",Default!$C$252,IF('Entradas Rebanho'!$F61="Sistema de gerenciamento com cama apresentando mistura",Default!$C$264,IF('Entradas Rebanho'!$F61="Armazenamento sólido",Default!$C$261,IF('Entradas Rebanho'!$F61="Lote seco",Default!$C$262,IF('Entradas Rebanho'!$F61="Espalhamento diário",Default!$C$257,IF('Entradas Rebanho'!$F61="Compostagem pilha estática (aeração forçada)",Default!$C$266,IF('Entradas Rebanho'!$F61="Tratamento aeróbico ",Default!$C$270,IF('Entradas Rebanho'!$F61="Biodigestor (alta tecnologia)",Default!$C$263,IF('Entradas Rebanho'!$F61="Biodigestor (convencional)",Default!$C$263)))))))))))),3)</f>
        <v>0</v>
      </c>
      <c r="D420" s="437" t="s">
        <v>1149</v>
      </c>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customHeight="1">
      <c r="A421" s="2"/>
      <c r="B421" s="438" t="s">
        <v>183</v>
      </c>
      <c r="C421" s="389">
        <f>ROUND((('Entradas Rebanho'!B26+'Entradas Rebanho'!C26)*Cálculos!C378)*(((('Entradas Rebanho'!$C62)/100)*(IF('Entradas Rebanho'!$B62="Lagoa anaeróbica descoberta",Default!$C$252,IF('Entradas Rebanho'!$B62="Sistema de gerenciamento com cama apresentando mistura",Default!$C$264,IF('Entradas Rebanho'!$B62="Armazenamento sólido",Default!$C$261,IF('Entradas Rebanho'!$B62="Lote seco",Default!$C$262,IF('Entradas Rebanho'!$B62="Espalhamento diário",Default!$C$257,IF('Entradas Rebanho'!$B62="Compostagem pilha estática (aeração forçada)",Default!$C$266,IF('Entradas Rebanho'!$B62="Tratamento aeróbico ",Default!$C$270,IF('Entradas Rebanho'!$B62="Biodigestor (alta tecnologia)",Default!$C$263,IF('Entradas Rebanho'!$B62="Biodigestor (convencional)",Default!$C$263)))))))))))+((('Entradas Rebanho'!$E62)/100)*(IF('Entradas Rebanho'!$D62="Lagoa anaeróbica descoberta",Default!$C$252,IF('Entradas Rebanho'!$D62="Sistema de gerenciamento com cama apresentando mistura",Default!$C$264,IF('Entradas Rebanho'!$D62="Armazenamento sólido",Default!$C$261,IF('Entradas Rebanho'!$D62="Lote seco",Default!$C$262,IF('Entradas Rebanho'!$D62="Espalhamento diário",Default!$C$257,IF('Entradas Rebanho'!$D62="Compostagem pilha estática (aeração forçada)",Default!$C$266,IF('Entradas Rebanho'!$D62="Tratamento aeróbico ",Default!$C$270,IF('Entradas Rebanho'!$D62="Biodigestor (alta tecnologia)",Default!$C$263,IF('Entradas Rebanho'!$D62="Biodigestor (convencional)",Default!$C$263)))))))))))+((('Entradas Rebanho'!$G62)/100)*(IF('Entradas Rebanho'!$F62="Lagoa anaeróbica descoberta",Default!$C$252,IF('Entradas Rebanho'!$F62="Sistema de gerenciamento com cama apresentando mistura",Default!$C$264,IF('Entradas Rebanho'!$F62="Armazenamento sólido",Default!$C$261,IF('Entradas Rebanho'!$F62="Lote seco",Default!$C$262,IF('Entradas Rebanho'!$F62="Espalhamento diário",Default!$C$257,IF('Entradas Rebanho'!$F62="Compostagem pilha estática (aeração forçada)",Default!$C$266,IF('Entradas Rebanho'!$F62="Tratamento aeróbico ",Default!$C$270,IF('Entradas Rebanho'!$F62="Biodigestor (alta tecnologia)",Default!$C$263,IF('Entradas Rebanho'!$F62="Biodigestor (convencional)",Default!$C$263)))))))))))),3)</f>
        <v>0</v>
      </c>
      <c r="D421" s="437" t="s">
        <v>1149</v>
      </c>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customHeight="1">
      <c r="A422" s="2"/>
      <c r="B422" s="438" t="s">
        <v>184</v>
      </c>
      <c r="C422" s="389">
        <f>ROUND((('Entradas Rebanho'!B27+'Entradas Rebanho'!C27)*Cálculos!C379)*(((('Entradas Rebanho'!$C63)/100)*(IF('Entradas Rebanho'!$B63="Lagoa anaeróbica descoberta",Default!$C$252,IF('Entradas Rebanho'!$B63="Sistema de gerenciamento com cama apresentando mistura",Default!$C$264,IF('Entradas Rebanho'!$B63="Armazenamento sólido",Default!$C$261,IF('Entradas Rebanho'!$B63="Lote seco",Default!$C$262,IF('Entradas Rebanho'!$B63="Espalhamento diário",Default!$C$257,IF('Entradas Rebanho'!$B63="Compostagem pilha estática (aeração forçada)",Default!$C$266,IF('Entradas Rebanho'!$B63="Tratamento aeróbico ",Default!$C$270,IF('Entradas Rebanho'!$B63="Biodigestor (alta tecnologia)",Default!$C$263,IF('Entradas Rebanho'!$B63="Biodigestor (convencional)",Default!$C$263)))))))))))+((('Entradas Rebanho'!$E63)/100)*(IF('Entradas Rebanho'!$D63="Lagoa anaeróbica descoberta",Default!$C$252,IF('Entradas Rebanho'!$D63="Sistema de gerenciamento com cama apresentando mistura",Default!$C$264,IF('Entradas Rebanho'!$D63="Armazenamento sólido",Default!$C$261,IF('Entradas Rebanho'!$D63="Lote seco",Default!$C$262,IF('Entradas Rebanho'!$D63="Espalhamento diário",Default!$C$257,IF('Entradas Rebanho'!$D63="Compostagem pilha estática (aeração forçada)",Default!$C$266,IF('Entradas Rebanho'!$D63="Tratamento aeróbico ",Default!$C$270,IF('Entradas Rebanho'!$D63="Biodigestor (alta tecnologia)",Default!$C$263,IF('Entradas Rebanho'!$D63="Biodigestor (convencional)",Default!$C$263)))))))))))+((('Entradas Rebanho'!$G63)/100)*(IF('Entradas Rebanho'!$F63="Lagoa anaeróbica descoberta",Default!$C$252,IF('Entradas Rebanho'!$F63="Sistema de gerenciamento com cama apresentando mistura",Default!$C$264,IF('Entradas Rebanho'!$F63="Armazenamento sólido",Default!$C$261,IF('Entradas Rebanho'!$F63="Lote seco",Default!$C$262,IF('Entradas Rebanho'!$F63="Espalhamento diário",Default!$C$257,IF('Entradas Rebanho'!$F63="Compostagem pilha estática (aeração forçada)",Default!$C$266,IF('Entradas Rebanho'!$F63="Tratamento aeróbico ",Default!$C$270,IF('Entradas Rebanho'!$F63="Biodigestor (alta tecnologia)",Default!$C$263,IF('Entradas Rebanho'!$F63="Biodigestor (convencional)",Default!$C$263)))))))))))),3)</f>
        <v>0</v>
      </c>
      <c r="D422" s="437" t="s">
        <v>1149</v>
      </c>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customHeight="1">
      <c r="A423" s="2"/>
      <c r="B423" s="438" t="s">
        <v>185</v>
      </c>
      <c r="C423" s="389">
        <f>ROUND((('Entradas Rebanho'!B28+'Entradas Rebanho'!C28)*Cálculos!C380)*(((('Entradas Rebanho'!$C64)/100)*(IF('Entradas Rebanho'!$B64="Lagoa anaeróbica descoberta",Default!$C$252,IF('Entradas Rebanho'!$B64="Sistema de gerenciamento com cama apresentando mistura",Default!$C$264,IF('Entradas Rebanho'!$B64="Armazenamento sólido",Default!$C$261,IF('Entradas Rebanho'!$B64="Lote seco",Default!$C$262,IF('Entradas Rebanho'!$B64="Espalhamento diário",Default!$C$257,IF('Entradas Rebanho'!$B64="Compostagem pilha estática (aeração forçada)",Default!$C$266,IF('Entradas Rebanho'!$B64="Tratamento aeróbico ",Default!$C$270,IF('Entradas Rebanho'!$B64="Biodigestor (alta tecnologia)",Default!$C$263,IF('Entradas Rebanho'!$B64="Biodigestor (convencional)",Default!$C$263)))))))))))+((('Entradas Rebanho'!$E64)/100)*(IF('Entradas Rebanho'!$D64="Lagoa anaeróbica descoberta",Default!$C$252,IF('Entradas Rebanho'!$D64="Sistema de gerenciamento com cama apresentando mistura",Default!$C$264,IF('Entradas Rebanho'!$D64="Armazenamento sólido",Default!$C$261,IF('Entradas Rebanho'!$D64="Lote seco",Default!$C$262,IF('Entradas Rebanho'!$D64="Espalhamento diário",Default!$C$257,IF('Entradas Rebanho'!$D64="Compostagem pilha estática (aeração forçada)",Default!$C$266,IF('Entradas Rebanho'!$D64="Tratamento aeróbico ",Default!$C$270,IF('Entradas Rebanho'!$D64="Biodigestor (alta tecnologia)",Default!$C$263,IF('Entradas Rebanho'!$D64="Biodigestor (convencional)",Default!$C$263)))))))))))+((('Entradas Rebanho'!$G64)/100)*(IF('Entradas Rebanho'!$F64="Lagoa anaeróbica descoberta",Default!$C$252,IF('Entradas Rebanho'!$F64="Sistema de gerenciamento com cama apresentando mistura",Default!$C$264,IF('Entradas Rebanho'!$F64="Armazenamento sólido",Default!$C$261,IF('Entradas Rebanho'!$F64="Lote seco",Default!$C$262,IF('Entradas Rebanho'!$F64="Espalhamento diário",Default!$C$257,IF('Entradas Rebanho'!$F64="Compostagem pilha estática (aeração forçada)",Default!$C$266,IF('Entradas Rebanho'!$F64="Tratamento aeróbico ",Default!$C$270,IF('Entradas Rebanho'!$F64="Biodigestor (alta tecnologia)",Default!$C$263,IF('Entradas Rebanho'!$F64="Biodigestor (convencional)",Default!$C$263)))))))))))),3)</f>
        <v>0</v>
      </c>
      <c r="D423" s="437" t="s">
        <v>1149</v>
      </c>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customHeight="1">
      <c r="A424" s="2"/>
      <c r="B424" s="438" t="s">
        <v>186</v>
      </c>
      <c r="C424" s="389">
        <f>ROUND((('Entradas Rebanho'!B29+'Entradas Rebanho'!C29)*Cálculos!C381)*(((('Entradas Rebanho'!$C65)/100)*(IF('Entradas Rebanho'!$B65="Lagoa anaeróbica descoberta",Default!$C$252,IF('Entradas Rebanho'!$B65="Sistema de gerenciamento com cama apresentando mistura",Default!$C$264,IF('Entradas Rebanho'!$B65="Armazenamento sólido",Default!$C$261,IF('Entradas Rebanho'!$B65="Lote seco",Default!$C$262,IF('Entradas Rebanho'!$B65="Espalhamento diário",Default!$C$257,IF('Entradas Rebanho'!$B65="Compostagem pilha estática (aeração forçada)",Default!$C$266,IF('Entradas Rebanho'!$B65="Tratamento aeróbico ",Default!$C$270,IF('Entradas Rebanho'!$B65="Biodigestor (alta tecnologia)",Default!$C$263,IF('Entradas Rebanho'!$B65="Biodigestor (convencional)",Default!$C$263)))))))))))+((('Entradas Rebanho'!$E65)/100)*(IF('Entradas Rebanho'!$D65="Lagoa anaeróbica descoberta",Default!$C$252,IF('Entradas Rebanho'!$D65="Sistema de gerenciamento com cama apresentando mistura",Default!$C$264,IF('Entradas Rebanho'!$D65="Armazenamento sólido",Default!$C$261,IF('Entradas Rebanho'!$D65="Lote seco",Default!$C$262,IF('Entradas Rebanho'!$D65="Espalhamento diário",Default!$C$257,IF('Entradas Rebanho'!$D65="Compostagem pilha estática (aeração forçada)",Default!$C$266,IF('Entradas Rebanho'!$D65="Tratamento aeróbico ",Default!$C$270,IF('Entradas Rebanho'!$D65="Biodigestor (alta tecnologia)",Default!$C$263,IF('Entradas Rebanho'!$D65="Biodigestor (convencional)",Default!$C$263)))))))))))+((('Entradas Rebanho'!$G65)/100)*(IF('Entradas Rebanho'!$F65="Lagoa anaeróbica descoberta",Default!$C$252,IF('Entradas Rebanho'!$F65="Sistema de gerenciamento com cama apresentando mistura",Default!$C$264,IF('Entradas Rebanho'!$F65="Armazenamento sólido",Default!$C$261,IF('Entradas Rebanho'!$F65="Lote seco",Default!$C$262,IF('Entradas Rebanho'!$F65="Espalhamento diário",Default!$C$257,IF('Entradas Rebanho'!$F65="Compostagem pilha estática (aeração forçada)",Default!$C$266,IF('Entradas Rebanho'!$F65="Tratamento aeróbico ",Default!$C$270,IF('Entradas Rebanho'!$F65="Biodigestor (alta tecnologia)",Default!$C$263,IF('Entradas Rebanho'!$F65="Biodigestor (convencional)",Default!$C$263)))))))))))),3)</f>
        <v>0</v>
      </c>
      <c r="D424" s="437" t="s">
        <v>1149</v>
      </c>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customHeight="1">
      <c r="A425" s="2"/>
      <c r="B425" s="438" t="s">
        <v>187</v>
      </c>
      <c r="C425" s="389">
        <f>ROUND((('Entradas Rebanho'!B30+'Entradas Rebanho'!C30)*Cálculos!C382)*(((('Entradas Rebanho'!$C66)/100)*(IF('Entradas Rebanho'!$B66="Lagoa anaeróbica descoberta",Default!$C$252,IF('Entradas Rebanho'!$B66="Sistema de gerenciamento com cama apresentando mistura",Default!$C$264,IF('Entradas Rebanho'!$B66="Armazenamento sólido",Default!$C$261,IF('Entradas Rebanho'!$B66="Lote seco",Default!$C$262,IF('Entradas Rebanho'!$B66="Espalhamento diário",Default!$C$257,IF('Entradas Rebanho'!$B66="Compostagem pilha estática (aeração forçada)",Default!$C$266,IF('Entradas Rebanho'!$B66="Tratamento aeróbico ",Default!$C$270,IF('Entradas Rebanho'!$B66="Biodigestor (alta tecnologia)",Default!$C$263,IF('Entradas Rebanho'!$B66="Biodigestor (convencional)",Default!$C$263)))))))))))+((('Entradas Rebanho'!$E66)/100)*(IF('Entradas Rebanho'!$D66="Lagoa anaeróbica descoberta",Default!$C$252,IF('Entradas Rebanho'!$D66="Sistema de gerenciamento com cama apresentando mistura",Default!$C$264,IF('Entradas Rebanho'!$D66="Armazenamento sólido",Default!$C$261,IF('Entradas Rebanho'!$D66="Lote seco",Default!$C$262,IF('Entradas Rebanho'!$D66="Espalhamento diário",Default!$C$257,IF('Entradas Rebanho'!$D66="Compostagem pilha estática (aeração forçada)",Default!$C$266,IF('Entradas Rebanho'!$D66="Tratamento aeróbico ",Default!$C$270,IF('Entradas Rebanho'!$D66="Biodigestor (alta tecnologia)",Default!$C$263,IF('Entradas Rebanho'!$D66="Biodigestor (convencional)",Default!$C$263)))))))))))+((('Entradas Rebanho'!$G66)/100)*(IF('Entradas Rebanho'!$F66="Lagoa anaeróbica descoberta",Default!$C$252,IF('Entradas Rebanho'!$F66="Sistema de gerenciamento com cama apresentando mistura",Default!$C$264,IF('Entradas Rebanho'!$F66="Armazenamento sólido",Default!$C$261,IF('Entradas Rebanho'!$F66="Lote seco",Default!$C$262,IF('Entradas Rebanho'!$F66="Espalhamento diário",Default!$C$257,IF('Entradas Rebanho'!$F66="Compostagem pilha estática (aeração forçada)",Default!$C$266,IF('Entradas Rebanho'!$F66="Tratamento aeróbico ",Default!$C$270,IF('Entradas Rebanho'!$F66="Biodigestor (alta tecnologia)",Default!$C$263,IF('Entradas Rebanho'!$F66="Biodigestor (convencional)",Default!$C$263)))))))))))),3)</f>
        <v>408.03800000000001</v>
      </c>
      <c r="D425" s="437" t="s">
        <v>1149</v>
      </c>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customHeight="1">
      <c r="A426" s="2"/>
      <c r="B426" s="438" t="s">
        <v>188</v>
      </c>
      <c r="C426" s="389">
        <f>ROUND((('Entradas Rebanho'!B31+'Entradas Rebanho'!C31)*Cálculos!C383)*(((('Entradas Rebanho'!$C67)/100)*(IF('Entradas Rebanho'!$B67="Lagoa anaeróbica descoberta",Default!$C$252,IF('Entradas Rebanho'!$B67="Sistema de gerenciamento com cama apresentando mistura",Default!$C$264,IF('Entradas Rebanho'!$B67="Armazenamento sólido",Default!$C$261,IF('Entradas Rebanho'!$B67="Lote seco",Default!$C$262,IF('Entradas Rebanho'!$B67="Espalhamento diário",Default!$C$257,IF('Entradas Rebanho'!$B67="Compostagem pilha estática (aeração forçada)",Default!$C$266,IF('Entradas Rebanho'!$B67="Tratamento aeróbico ",Default!$C$270,IF('Entradas Rebanho'!$B67="Biodigestor (alta tecnologia)",Default!$C$263,IF('Entradas Rebanho'!$B67="Biodigestor (convencional)",Default!$C$263)))))))))))+((('Entradas Rebanho'!$E67)/100)*(IF('Entradas Rebanho'!$D67="Lagoa anaeróbica descoberta",Default!$C$252,IF('Entradas Rebanho'!$D67="Sistema de gerenciamento com cama apresentando mistura",Default!$C$264,IF('Entradas Rebanho'!$D67="Armazenamento sólido",Default!$C$261,IF('Entradas Rebanho'!$D67="Lote seco",Default!$C$262,IF('Entradas Rebanho'!$D67="Espalhamento diário",Default!$C$257,IF('Entradas Rebanho'!$D67="Compostagem pilha estática (aeração forçada)",Default!$C$266,IF('Entradas Rebanho'!$D67="Tratamento aeróbico ",Default!$C$270,IF('Entradas Rebanho'!$D67="Biodigestor (alta tecnologia)",Default!$C$263,IF('Entradas Rebanho'!$D67="Biodigestor (convencional)",Default!$C$263)))))))))))+((('Entradas Rebanho'!$G67)/100)*(IF('Entradas Rebanho'!$F67="Lagoa anaeróbica descoberta",Default!$C$252,IF('Entradas Rebanho'!$F67="Sistema de gerenciamento com cama apresentando mistura",Default!$C$264,IF('Entradas Rebanho'!$F67="Armazenamento sólido",Default!$C$261,IF('Entradas Rebanho'!$F67="Lote seco",Default!$C$262,IF('Entradas Rebanho'!$F67="Espalhamento diário",Default!$C$257,IF('Entradas Rebanho'!$F67="Compostagem pilha estática (aeração forçada)",Default!$C$266,IF('Entradas Rebanho'!$F67="Tratamento aeróbico ",Default!$C$270,IF('Entradas Rebanho'!$F67="Biodigestor (alta tecnologia)",Default!$C$263,IF('Entradas Rebanho'!$F67="Biodigestor (convencional)",Default!$C$263)))))))))))),3)</f>
        <v>711.45</v>
      </c>
      <c r="D426" s="437" t="s">
        <v>1149</v>
      </c>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customHeight="1">
      <c r="A427" s="2"/>
      <c r="B427" s="438" t="s">
        <v>189</v>
      </c>
      <c r="C427" s="389">
        <f>ROUND((('Entradas Rebanho'!B32+'Entradas Rebanho'!C32)*Cálculos!C384)*(((('Entradas Rebanho'!$C68)/100)*(IF('Entradas Rebanho'!$B68="Lagoa anaeróbica descoberta",Default!$C$252,IF('Entradas Rebanho'!$B68="Sistema de gerenciamento com cama apresentando mistura",Default!$C$264,IF('Entradas Rebanho'!$B68="Armazenamento sólido",Default!$C$261,IF('Entradas Rebanho'!$B68="Lote seco",Default!$C$262,IF('Entradas Rebanho'!$B68="Espalhamento diário",Default!$C$257,IF('Entradas Rebanho'!$B68="Compostagem pilha estática (aeração forçada)",Default!$C$266,IF('Entradas Rebanho'!$B68="Tratamento aeróbico ",Default!$C$270,IF('Entradas Rebanho'!$B68="Biodigestor (alta tecnologia)",Default!$C$263,IF('Entradas Rebanho'!$B68="Biodigestor (convencional)",Default!$C$263)))))))))))+((('Entradas Rebanho'!$E68)/100)*(IF('Entradas Rebanho'!$D68="Lagoa anaeróbica descoberta",Default!$C$252,IF('Entradas Rebanho'!$D68="Sistema de gerenciamento com cama apresentando mistura",Default!$C$264,IF('Entradas Rebanho'!$D68="Armazenamento sólido",Default!$C$261,IF('Entradas Rebanho'!$D68="Lote seco",Default!$C$262,IF('Entradas Rebanho'!$D68="Espalhamento diário",Default!$C$257,IF('Entradas Rebanho'!$D68="Compostagem pilha estática (aeração forçada)",Default!$C$266,IF('Entradas Rebanho'!$D68="Tratamento aeróbico ",Default!$C$270,IF('Entradas Rebanho'!$D68="Biodigestor (alta tecnologia)",Default!$C$263,IF('Entradas Rebanho'!$D68="Biodigestor (convencional)",Default!$C$263)))))))))))+((('Entradas Rebanho'!$G68)/100)*(IF('Entradas Rebanho'!$F68="Lagoa anaeróbica descoberta",Default!$C$252,IF('Entradas Rebanho'!$F68="Sistema de gerenciamento com cama apresentando mistura",Default!$C$264,IF('Entradas Rebanho'!$F68="Armazenamento sólido",Default!$C$261,IF('Entradas Rebanho'!$F68="Lote seco",Default!$C$262,IF('Entradas Rebanho'!$F68="Espalhamento diário",Default!$C$257,IF('Entradas Rebanho'!$F68="Compostagem pilha estática (aeração forçada)",Default!$C$266,IF('Entradas Rebanho'!$F68="Tratamento aeróbico ",Default!$C$270,IF('Entradas Rebanho'!$F68="Biodigestor (alta tecnologia)",Default!$C$263,IF('Entradas Rebanho'!$F68="Biodigestor (convencional)",Default!$C$263)))))))))))),3)</f>
        <v>92.489000000000004</v>
      </c>
      <c r="D427" s="437" t="s">
        <v>1149</v>
      </c>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customHeight="1">
      <c r="A428" s="2"/>
      <c r="B428" s="438" t="s">
        <v>190</v>
      </c>
      <c r="C428" s="389">
        <f>ROUND((('Entradas Rebanho'!B33+'Entradas Rebanho'!C33)*Cálculos!C385)*(((('Entradas Rebanho'!$C69)/100)*(IF('Entradas Rebanho'!$B69="Lagoa anaeróbica descoberta",Default!$C$252,IF('Entradas Rebanho'!$B69="Sistema de gerenciamento com cama apresentando mistura",Default!$C$264,IF('Entradas Rebanho'!$B69="Armazenamento sólido",Default!$C$261,IF('Entradas Rebanho'!$B69="Lote seco",Default!$C$262,IF('Entradas Rebanho'!$B69="Espalhamento diário",Default!$C$257,IF('Entradas Rebanho'!$B69="Compostagem pilha estática (aeração forçada)",Default!$C$266,IF('Entradas Rebanho'!$B69="Tratamento aeróbico ",Default!$C$270,IF('Entradas Rebanho'!$B69="Biodigestor (alta tecnologia)",Default!$C$263,IF('Entradas Rebanho'!$B69="Biodigestor (convencional)",Default!$C$263)))))))))))+((('Entradas Rebanho'!$E69)/100)*(IF('Entradas Rebanho'!$D69="Lagoa anaeróbica descoberta",Default!$C$252,IF('Entradas Rebanho'!$D69="Sistema de gerenciamento com cama apresentando mistura",Default!$C$264,IF('Entradas Rebanho'!$D69="Armazenamento sólido",Default!$C$261,IF('Entradas Rebanho'!$D69="Lote seco",Default!$C$262,IF('Entradas Rebanho'!$D69="Espalhamento diário",Default!$C$257,IF('Entradas Rebanho'!$D69="Compostagem pilha estática (aeração forçada)",Default!$C$266,IF('Entradas Rebanho'!$D69="Tratamento aeróbico ",Default!$C$270,IF('Entradas Rebanho'!$D69="Biodigestor (alta tecnologia)",Default!$C$263,IF('Entradas Rebanho'!$D69="Biodigestor (convencional)",Default!$C$263)))))))))))+((('Entradas Rebanho'!$G69)/100)*(IF('Entradas Rebanho'!$F69="Lagoa anaeróbica descoberta",Default!$C$252,IF('Entradas Rebanho'!$F69="Sistema de gerenciamento com cama apresentando mistura",Default!$C$264,IF('Entradas Rebanho'!$F69="Armazenamento sólido",Default!$C$261,IF('Entradas Rebanho'!$F69="Lote seco",Default!$C$262,IF('Entradas Rebanho'!$F69="Espalhamento diário",Default!$C$257,IF('Entradas Rebanho'!$F69="Compostagem pilha estática (aeração forçada)",Default!$C$266,IF('Entradas Rebanho'!$F69="Tratamento aeróbico ",Default!$C$270,IF('Entradas Rebanho'!$F69="Biodigestor (alta tecnologia)",Default!$C$263,IF('Entradas Rebanho'!$F69="Biodigestor (convencional)",Default!$C$263)))))))))))),3)</f>
        <v>0</v>
      </c>
      <c r="D428" s="437" t="s">
        <v>1149</v>
      </c>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customHeight="1">
      <c r="A429" s="2"/>
      <c r="B429" s="438" t="s">
        <v>191</v>
      </c>
      <c r="C429" s="389">
        <f>ROUND((('Entradas Rebanho'!B34+'Entradas Rebanho'!C34)*Cálculos!C386)*(((('Entradas Rebanho'!$C70)/100)*(IF('Entradas Rebanho'!$B70="Lagoa anaeróbica descoberta",Default!$C$252,IF('Entradas Rebanho'!$B70="Sistema de gerenciamento com cama apresentando mistura",Default!$C$264,IF('Entradas Rebanho'!$B70="Armazenamento sólido",Default!$C$261,IF('Entradas Rebanho'!$B70="Lote seco",Default!$C$262,IF('Entradas Rebanho'!$B70="Espalhamento diário",Default!$C$257,IF('Entradas Rebanho'!$B70="Compostagem pilha estática (aeração forçada)",Default!$C$266,IF('Entradas Rebanho'!$B70="Tratamento aeróbico ",Default!$C$270,IF('Entradas Rebanho'!$B70="Biodigestor (alta tecnologia)",Default!$C$263,IF('Entradas Rebanho'!$B70="Biodigestor (convencional)",Default!$C$263)))))))))))+((('Entradas Rebanho'!$E70)/100)*(IF('Entradas Rebanho'!$D70="Lagoa anaeróbica descoberta",Default!$C$252,IF('Entradas Rebanho'!$D70="Sistema de gerenciamento com cama apresentando mistura",Default!$C$264,IF('Entradas Rebanho'!$D70="Armazenamento sólido",Default!$C$261,IF('Entradas Rebanho'!$D70="Lote seco",Default!$C$262,IF('Entradas Rebanho'!$D70="Espalhamento diário",Default!$C$257,IF('Entradas Rebanho'!$D70="Compostagem pilha estática (aeração forçada)",Default!$C$266,IF('Entradas Rebanho'!$D70="Tratamento aeróbico ",Default!$C$270,IF('Entradas Rebanho'!$D70="Biodigestor (alta tecnologia)",Default!$C$263,IF('Entradas Rebanho'!$D70="Biodigestor (convencional)",Default!$C$263)))))))))))+((('Entradas Rebanho'!$G70)/100)*(IF('Entradas Rebanho'!$F70="Lagoa anaeróbica descoberta",Default!$C$252,IF('Entradas Rebanho'!$F70="Sistema de gerenciamento com cama apresentando mistura",Default!$C$264,IF('Entradas Rebanho'!$F70="Armazenamento sólido",Default!$C$261,IF('Entradas Rebanho'!$F70="Lote seco",Default!$C$262,IF('Entradas Rebanho'!$F70="Espalhamento diário",Default!$C$257,IF('Entradas Rebanho'!$F70="Compostagem pilha estática (aeração forçada)",Default!$C$266,IF('Entradas Rebanho'!$F70="Tratamento aeróbico ",Default!$C$270,IF('Entradas Rebanho'!$F70="Biodigestor (alta tecnologia)",Default!$C$263,IF('Entradas Rebanho'!$F70="Biodigestor (convencional)",Default!$C$263)))))))))))),3)</f>
        <v>0</v>
      </c>
      <c r="D429" s="437" t="s">
        <v>1149</v>
      </c>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customHeight="1" thickBot="1">
      <c r="A430" s="2"/>
      <c r="B430" s="439" t="s">
        <v>192</v>
      </c>
      <c r="C430" s="386">
        <f>ROUND((('Entradas Rebanho'!B35+'Entradas Rebanho'!C35)*Cálculos!C387)*(((('Entradas Rebanho'!$C71)/100)*(IF('Entradas Rebanho'!$B71="Lagoa anaeróbica descoberta",Default!$C$252,IF('Entradas Rebanho'!$B71="Sistema de gerenciamento com cama apresentando mistura",Default!$C$264,IF('Entradas Rebanho'!$B71="Armazenamento sólido",Default!$C$261,IF('Entradas Rebanho'!$B71="Lote seco",Default!$C$262,IF('Entradas Rebanho'!$B71="Espalhamento diário",Default!$C$257,IF('Entradas Rebanho'!$B71="Compostagem pilha estática (aeração forçada)",Default!$C$266,IF('Entradas Rebanho'!$B71="Tratamento aeróbico ",Default!$C$270,IF('Entradas Rebanho'!$B71="Biodigestor (alta tecnologia)",Default!$C$263,IF('Entradas Rebanho'!$B71="Biodigestor (convencional)",Default!$C$263)))))))))))+((('Entradas Rebanho'!$E71)/100)*(IF('Entradas Rebanho'!$D71="Lagoa anaeróbica descoberta",Default!$C$252,IF('Entradas Rebanho'!$D71="Sistema de gerenciamento com cama apresentando mistura",Default!$C$264,IF('Entradas Rebanho'!$D71="Armazenamento sólido",Default!$C$261,IF('Entradas Rebanho'!$D71="Lote seco",Default!$C$262,IF('Entradas Rebanho'!$D71="Espalhamento diário",Default!$C$257,IF('Entradas Rebanho'!$D71="Compostagem pilha estática (aeração forçada)",Default!$C$266,IF('Entradas Rebanho'!$D71="Tratamento aeróbico ",Default!$C$270,IF('Entradas Rebanho'!$D71="Biodigestor (alta tecnologia)",Default!$C$263,IF('Entradas Rebanho'!$D71="Biodigestor (convencional)",Default!$C$263)))))))))))+((('Entradas Rebanho'!$G71)/100)*(IF('Entradas Rebanho'!$F71="Lagoa anaeróbica descoberta",Default!$C$252,IF('Entradas Rebanho'!$F71="Sistema de gerenciamento com cama apresentando mistura",Default!$C$264,IF('Entradas Rebanho'!$F71="Armazenamento sólido",Default!$C$261,IF('Entradas Rebanho'!$F71="Lote seco",Default!$C$262,IF('Entradas Rebanho'!$F71="Espalhamento diário",Default!$C$257,IF('Entradas Rebanho'!$F71="Compostagem pilha estática (aeração forçada)",Default!$C$266,IF('Entradas Rebanho'!$F71="Tratamento aeróbico ",Default!$C$270,IF('Entradas Rebanho'!$F71="Biodigestor (alta tecnologia)",Default!$C$263,IF('Entradas Rebanho'!$F71="Biodigestor (convencional)",Default!$C$263)))))))))))),3)</f>
        <v>0</v>
      </c>
      <c r="D430" s="440" t="s">
        <v>1149</v>
      </c>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customHeight="1">
      <c r="A433" s="2"/>
      <c r="B433" s="920" t="s">
        <v>265</v>
      </c>
      <c r="C433" s="921"/>
      <c r="D433" s="92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customHeight="1">
      <c r="A434" s="2"/>
      <c r="B434" s="923" t="s">
        <v>266</v>
      </c>
      <c r="C434" s="924"/>
      <c r="D434" s="925"/>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customHeight="1">
      <c r="A435" s="2"/>
      <c r="B435" s="118" t="s">
        <v>174</v>
      </c>
      <c r="C435" s="92" t="s">
        <v>175</v>
      </c>
      <c r="D435" s="93" t="s">
        <v>176</v>
      </c>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customHeight="1">
      <c r="A436" s="2"/>
      <c r="B436" s="94" t="s">
        <v>177</v>
      </c>
      <c r="C436" s="95">
        <f>ROUND((C416*Default!$B$276)*(44/28),3)</f>
        <v>0</v>
      </c>
      <c r="D436" s="96" t="s">
        <v>1148</v>
      </c>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customHeight="1">
      <c r="A437" s="2"/>
      <c r="B437" s="94" t="s">
        <v>179</v>
      </c>
      <c r="C437" s="95">
        <f>ROUND((C417*Default!$B$276)*(44/28),3)</f>
        <v>0</v>
      </c>
      <c r="D437" s="96" t="s">
        <v>1148</v>
      </c>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customHeight="1">
      <c r="A438" s="2"/>
      <c r="B438" s="94" t="s">
        <v>180</v>
      </c>
      <c r="C438" s="95">
        <f>ROUND((C418*Default!$B$276)*(44/28),3)</f>
        <v>0</v>
      </c>
      <c r="D438" s="96" t="s">
        <v>1148</v>
      </c>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customHeight="1">
      <c r="A439" s="2"/>
      <c r="B439" s="97" t="s">
        <v>181</v>
      </c>
      <c r="C439" s="95">
        <f>ROUND((C419*Default!$B$276)*(44/28),3)</f>
        <v>0</v>
      </c>
      <c r="D439" s="96" t="s">
        <v>1148</v>
      </c>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customHeight="1">
      <c r="A440" s="2"/>
      <c r="B440" s="97" t="s">
        <v>182</v>
      </c>
      <c r="C440" s="95">
        <f>ROUND((C420*Default!$B$276)*(44/28),3)</f>
        <v>0</v>
      </c>
      <c r="D440" s="96" t="s">
        <v>1148</v>
      </c>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customHeight="1">
      <c r="A441" s="2"/>
      <c r="B441" s="97" t="s">
        <v>183</v>
      </c>
      <c r="C441" s="95">
        <f>ROUND((C421*Default!$B$276)*(44/28),3)</f>
        <v>0</v>
      </c>
      <c r="D441" s="96" t="s">
        <v>1148</v>
      </c>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customHeight="1">
      <c r="A442" s="2"/>
      <c r="B442" s="97" t="s">
        <v>184</v>
      </c>
      <c r="C442" s="95">
        <f>ROUND((C422*Default!$B$276)*(44/28),3)</f>
        <v>0</v>
      </c>
      <c r="D442" s="96" t="s">
        <v>1148</v>
      </c>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customHeight="1">
      <c r="A443" s="2"/>
      <c r="B443" s="97" t="s">
        <v>185</v>
      </c>
      <c r="C443" s="95">
        <f>ROUND((C423*Default!$B$276)*(44/28),3)</f>
        <v>0</v>
      </c>
      <c r="D443" s="96" t="s">
        <v>1148</v>
      </c>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customHeight="1">
      <c r="A444" s="2"/>
      <c r="B444" s="97" t="s">
        <v>186</v>
      </c>
      <c r="C444" s="95">
        <f>ROUND((C424*Default!$B$276)*(44/28),3)</f>
        <v>0</v>
      </c>
      <c r="D444" s="96" t="s">
        <v>1148</v>
      </c>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customHeight="1">
      <c r="A445" s="2"/>
      <c r="B445" s="97" t="s">
        <v>187</v>
      </c>
      <c r="C445" s="95">
        <f>ROUND((C425*Default!$B$276)*(44/28),3)</f>
        <v>6.4119999999999999</v>
      </c>
      <c r="D445" s="96" t="s">
        <v>1148</v>
      </c>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customHeight="1">
      <c r="A446" s="2"/>
      <c r="B446" s="97" t="s">
        <v>188</v>
      </c>
      <c r="C446" s="95">
        <f>ROUND((C426*Default!$B$276)*(44/28),3)</f>
        <v>11.18</v>
      </c>
      <c r="D446" s="96" t="s">
        <v>1148</v>
      </c>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customHeight="1">
      <c r="A447" s="2"/>
      <c r="B447" s="97" t="s">
        <v>189</v>
      </c>
      <c r="C447" s="95">
        <f>ROUND((C427*Default!$B$276)*(44/28),3)</f>
        <v>1.4530000000000001</v>
      </c>
      <c r="D447" s="96" t="s">
        <v>1148</v>
      </c>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customHeight="1">
      <c r="A448" s="2"/>
      <c r="B448" s="97" t="s">
        <v>190</v>
      </c>
      <c r="C448" s="95">
        <f>ROUND((C428*Default!$B$276)*(44/28),3)</f>
        <v>0</v>
      </c>
      <c r="D448" s="96" t="s">
        <v>1148</v>
      </c>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customHeight="1">
      <c r="A449" s="2"/>
      <c r="B449" s="97" t="s">
        <v>191</v>
      </c>
      <c r="C449" s="95">
        <f>ROUND((C429*Default!$B$276)*(44/28),3)</f>
        <v>0</v>
      </c>
      <c r="D449" s="96" t="s">
        <v>1148</v>
      </c>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customHeight="1" thickBot="1">
      <c r="A450" s="2"/>
      <c r="B450" s="385" t="s">
        <v>192</v>
      </c>
      <c r="C450" s="386">
        <f>ROUND((C430*Default!$B$276)*(44/28),3)</f>
        <v>0</v>
      </c>
      <c r="D450" s="387" t="s">
        <v>1148</v>
      </c>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customHeight="1">
      <c r="A453" s="2"/>
      <c r="B453" s="920" t="s">
        <v>267</v>
      </c>
      <c r="C453" s="921"/>
      <c r="D453" s="92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customHeight="1">
      <c r="A454" s="2"/>
      <c r="B454" s="923" t="s">
        <v>268</v>
      </c>
      <c r="C454" s="924"/>
      <c r="D454" s="925"/>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customHeight="1">
      <c r="A455" s="2"/>
      <c r="B455" s="118" t="s">
        <v>174</v>
      </c>
      <c r="C455" s="92" t="s">
        <v>175</v>
      </c>
      <c r="D455" s="93" t="s">
        <v>176</v>
      </c>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customHeight="1">
      <c r="A456" s="2"/>
      <c r="B456" s="94" t="s">
        <v>177</v>
      </c>
      <c r="C456" s="95">
        <f>ROUND((('Entradas Rebanho'!B21+'Entradas Rebanho'!C21)*Cálculos!C373)*(((('Entradas Rebanho'!$C57)/100)*(IF('Entradas Rebanho'!$B57="Lagoa anaeróbica descoberta",Default!$D$252,IF('Entradas Rebanho'!$B57="Sistema de gerenciamento com cama apresentando mistura",Default!$D$264,IF('Entradas Rebanho'!$B57="Armazenamento sólido",Default!$D$261,IF('Entradas Rebanho'!$B57="Lote seco",Default!$D$262,IF('Entradas Rebanho'!$B57="Espalhamento diário",Default!$D$256,IF('Entradas Rebanho'!$B57="Compostagem pilha estática (aeração forçada)",Default!$D$266,IF('Entradas Rebanho'!$B57="Tratamento aeróbico ",Default!$D$270,IF('Entradas Rebanho'!$B57="Biodigestor (alta tecnologia)",Default!$D$263,IF('Entradas Rebanho'!$B57="Biodigestor (convencional)",Default!$D$263)))))))))))+((('Entradas Rebanho'!$E57)/100)*(IF('Entradas Rebanho'!$D57="Lagoa anaeróbica descoberta",Default!$D$252,IF('Entradas Rebanho'!$D57="Sistema de gerenciamento com cama apresentando mistura",Default!$D$264,IF('Entradas Rebanho'!$D57="Armazenamento sólido",Default!$D$261,IF('Entradas Rebanho'!$D57="Lote seco",Default!$D$262,IF('Entradas Rebanho'!$D57="Espalhamento diário",Default!$D$256,IF('Entradas Rebanho'!$D57="Compostagem pilha estática (aeração forçada)",Default!$D$266,IF('Entradas Rebanho'!$D57="Tratamento aeróbico ",Default!$D$270,IF('Entradas Rebanho'!$D57="Biodigestor (alta tecnologia)",Default!$D$263,IF('Entradas Rebanho'!$D57="Biodigestor (convencional)",Default!$D$263)))))))))))+((('Entradas Rebanho'!$G57)/100)*(IF('Entradas Rebanho'!$F57="Lagoa anaeróbica descoberta",Default!$D$252,IF('Entradas Rebanho'!$F57="Sistema de gerenciamento com cama apresentando mistura",Default!$D$264,IF('Entradas Rebanho'!$F57="Armazenamento sólido",Default!$D$261,IF('Entradas Rebanho'!$F57="Lote seco",Default!$D$262,IF('Entradas Rebanho'!$F57="Espalhamento diário",Default!$D$256,IF('Entradas Rebanho'!$F57="Compostagem pilha estática (aeração forçada)",Default!$D$266,IF('Entradas Rebanho'!$F57="Tratamento aeróbico ",Default!$D$270,IF('Entradas Rebanho'!$F57="Biodigestor (alta tecnologia)",Default!$D$263,IF('Entradas Rebanho'!$F57="Biodigestor (convencional)",Default!$D$263)))))))))))),3)</f>
        <v>0</v>
      </c>
      <c r="D456" s="96" t="s">
        <v>1149</v>
      </c>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customHeight="1">
      <c r="A457" s="2"/>
      <c r="B457" s="94" t="s">
        <v>179</v>
      </c>
      <c r="C457" s="95">
        <f>ROUND((('Entradas Rebanho'!B22+'Entradas Rebanho'!C22)*Cálculos!C374)*(((('Entradas Rebanho'!$C58)/100)*(IF('Entradas Rebanho'!$B58="Lagoa anaeróbica descoberta",Default!$D$252,IF('Entradas Rebanho'!$B58="Sistema de gerenciamento com cama apresentando mistura",Default!$D$264,IF('Entradas Rebanho'!$B58="Armazenamento sólido",Default!$D$261,IF('Entradas Rebanho'!$B58="Lote seco",Default!$D$262,IF('Entradas Rebanho'!$B58="Espalhamento diário",Default!$D$256,IF('Entradas Rebanho'!$B58="Compostagem pilha estática (aeração forçada)",Default!$D$266,IF('Entradas Rebanho'!$B58="Tratamento aeróbico ",Default!$D$270,IF('Entradas Rebanho'!$B58="Biodigestor (alta tecnologia)",Default!$D$263,IF('Entradas Rebanho'!$B58="Biodigestor (convencional)",Default!$D$263)))))))))))+((('Entradas Rebanho'!$E58)/100)*(IF('Entradas Rebanho'!$D58="Lagoa anaeróbica descoberta",Default!$D$252,IF('Entradas Rebanho'!$D58="Sistema de gerenciamento com cama apresentando mistura",Default!$D$264,IF('Entradas Rebanho'!$D58="Armazenamento sólido",Default!$D$261,IF('Entradas Rebanho'!$D58="Lote seco",Default!$D$262,IF('Entradas Rebanho'!$D58="Espalhamento diário",Default!$D$256,IF('Entradas Rebanho'!$D58="Compostagem pilha estática (aeração forçada)",Default!$D$266,IF('Entradas Rebanho'!$D58="Tratamento aeróbico ",Default!$D$270,IF('Entradas Rebanho'!$D58="Biodigestor (alta tecnologia)",Default!$D$263,IF('Entradas Rebanho'!$D58="Biodigestor (convencional)",Default!$D$263)))))))))))+((('Entradas Rebanho'!$G58)/100)*(IF('Entradas Rebanho'!$F58="Lagoa anaeróbica descoberta",Default!$D$252,IF('Entradas Rebanho'!$F58="Sistema de gerenciamento com cama apresentando mistura",Default!$D$264,IF('Entradas Rebanho'!$F58="Armazenamento sólido",Default!$D$261,IF('Entradas Rebanho'!$F58="Lote seco",Default!$D$262,IF('Entradas Rebanho'!$F58="Espalhamento diário",Default!$D$256,IF('Entradas Rebanho'!$F58="Compostagem pilha estática (aeração forçada)",Default!$D$266,IF('Entradas Rebanho'!$F58="Tratamento aeróbico ",Default!$D$270,IF('Entradas Rebanho'!$F58="Biodigestor (alta tecnologia)",Default!$D$263,IF('Entradas Rebanho'!$F58="Biodigestor (convencional)",Default!$D$263)))))))))))),3)</f>
        <v>0</v>
      </c>
      <c r="D457" s="96" t="s">
        <v>1149</v>
      </c>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customHeight="1">
      <c r="A458" s="2"/>
      <c r="B458" s="94" t="s">
        <v>180</v>
      </c>
      <c r="C458" s="95">
        <f>ROUND((('Entradas Rebanho'!B23+'Entradas Rebanho'!C23)*Cálculos!C375)*(((('Entradas Rebanho'!$C59)/100)*(IF('Entradas Rebanho'!$B59="Lagoa anaeróbica descoberta",Default!$D$252,IF('Entradas Rebanho'!$B59="Sistema de gerenciamento com cama apresentando mistura",Default!$D$264,IF('Entradas Rebanho'!$B59="Armazenamento sólido",Default!$D$261,IF('Entradas Rebanho'!$B59="Lote seco",Default!$D$262,IF('Entradas Rebanho'!$B59="Espalhamento diário",Default!$D$256,IF('Entradas Rebanho'!$B59="Compostagem pilha estática (aeração forçada)",Default!$D$266,IF('Entradas Rebanho'!$B59="Tratamento aeróbico ",Default!$D$270,IF('Entradas Rebanho'!$B59="Biodigestor (alta tecnologia)",Default!$D$263,IF('Entradas Rebanho'!$B59="Biodigestor (convencional)",Default!$D$263)))))))))))+((('Entradas Rebanho'!$E59)/100)*(IF('Entradas Rebanho'!$D59="Lagoa anaeróbica descoberta",Default!$D$252,IF('Entradas Rebanho'!$D59="Sistema de gerenciamento com cama apresentando mistura",Default!$D$264,IF('Entradas Rebanho'!$D59="Armazenamento sólido",Default!$D$261,IF('Entradas Rebanho'!$D59="Lote seco",Default!$D$262,IF('Entradas Rebanho'!$D59="Espalhamento diário",Default!$D$256,IF('Entradas Rebanho'!$D59="Compostagem pilha estática (aeração forçada)",Default!$D$266,IF('Entradas Rebanho'!$D59="Tratamento aeróbico ",Default!$D$270,IF('Entradas Rebanho'!$D59="Biodigestor (alta tecnologia)",Default!$D$263,IF('Entradas Rebanho'!$D59="Biodigestor (convencional)",Default!$D$263)))))))))))+((('Entradas Rebanho'!$G59)/100)*(IF('Entradas Rebanho'!$F59="Lagoa anaeróbica descoberta",Default!$D$252,IF('Entradas Rebanho'!$F59="Sistema de gerenciamento com cama apresentando mistura",Default!$D$264,IF('Entradas Rebanho'!$F59="Armazenamento sólido",Default!$D$261,IF('Entradas Rebanho'!$F59="Lote seco",Default!$D$262,IF('Entradas Rebanho'!$F59="Espalhamento diário",Default!$D$256,IF('Entradas Rebanho'!$F59="Compostagem pilha estática (aeração forçada)",Default!$D$266,IF('Entradas Rebanho'!$F59="Tratamento aeróbico ",Default!$D$270,IF('Entradas Rebanho'!$F59="Biodigestor (alta tecnologia)",Default!$D$263,IF('Entradas Rebanho'!$F59="Biodigestor (convencional)",Default!$D$263)))))))))))),3)</f>
        <v>0</v>
      </c>
      <c r="D458" s="96" t="s">
        <v>1149</v>
      </c>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customHeight="1">
      <c r="A459" s="2"/>
      <c r="B459" s="97" t="s">
        <v>181</v>
      </c>
      <c r="C459" s="95">
        <f>ROUND((('Entradas Rebanho'!B24+'Entradas Rebanho'!C24)*Cálculos!C376)*(((('Entradas Rebanho'!$C60)/100)*(IF('Entradas Rebanho'!$B60="Lagoa anaeróbica descoberta",Default!$D$252,IF('Entradas Rebanho'!$B60="Sistema de gerenciamento com cama apresentando mistura",Default!$D$264,IF('Entradas Rebanho'!$B60="Armazenamento sólido",Default!$D$261,IF('Entradas Rebanho'!$B60="Lote seco",Default!$D$262,IF('Entradas Rebanho'!$B60="Espalhamento diário",Default!$D$256,IF('Entradas Rebanho'!$B60="Compostagem pilha estática (aeração forçada)",Default!$D$266,IF('Entradas Rebanho'!$B60="Tratamento aeróbico ",Default!$D$270,IF('Entradas Rebanho'!$B60="Biodigestor (alta tecnologia)",Default!$D$263,IF('Entradas Rebanho'!$B60="Biodigestor (convencional)",Default!$D$263)))))))))))+((('Entradas Rebanho'!$E60)/100)*(IF('Entradas Rebanho'!$D60="Lagoa anaeróbica descoberta",Default!$D$252,IF('Entradas Rebanho'!$D60="Sistema de gerenciamento com cama apresentando mistura",Default!$D$264,IF('Entradas Rebanho'!$D60="Armazenamento sólido",Default!$D$261,IF('Entradas Rebanho'!$D60="Lote seco",Default!$D$262,IF('Entradas Rebanho'!$D60="Espalhamento diário",Default!$D$256,IF('Entradas Rebanho'!$D60="Compostagem pilha estática (aeração forçada)",Default!$D$266,IF('Entradas Rebanho'!$D60="Tratamento aeróbico ",Default!$D$270,IF('Entradas Rebanho'!$D60="Biodigestor (alta tecnologia)",Default!$D$263,IF('Entradas Rebanho'!$D60="Biodigestor (convencional)",Default!$D$263)))))))))))+((('Entradas Rebanho'!$G60)/100)*(IF('Entradas Rebanho'!$F60="Lagoa anaeróbica descoberta",Default!$D$252,IF('Entradas Rebanho'!$F60="Sistema de gerenciamento com cama apresentando mistura",Default!$D$264,IF('Entradas Rebanho'!$F60="Armazenamento sólido",Default!$D$261,IF('Entradas Rebanho'!$F60="Lote seco",Default!$D$262,IF('Entradas Rebanho'!$F60="Espalhamento diário",Default!$D$256,IF('Entradas Rebanho'!$F60="Compostagem pilha estática (aeração forçada)",Default!$D$266,IF('Entradas Rebanho'!$F60="Tratamento aeróbico ",Default!$D$270,IF('Entradas Rebanho'!$F60="Biodigestor (alta tecnologia)",Default!$D$263,IF('Entradas Rebanho'!$F60="Biodigestor (convencional)",Default!$D$263)))))))))))),3)</f>
        <v>0</v>
      </c>
      <c r="D459" s="96" t="s">
        <v>1149</v>
      </c>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customHeight="1">
      <c r="A460" s="2"/>
      <c r="B460" s="97" t="s">
        <v>182</v>
      </c>
      <c r="C460" s="95">
        <f>ROUND((('Entradas Rebanho'!B25+'Entradas Rebanho'!C25)*Cálculos!C377)*(((('Entradas Rebanho'!$C61)/100)*(IF('Entradas Rebanho'!$B61="Lagoa anaeróbica descoberta",Default!$D$252,IF('Entradas Rebanho'!$B61="Sistema de gerenciamento com cama apresentando mistura",Default!$D$264,IF('Entradas Rebanho'!$B61="Armazenamento sólido",Default!$D$261,IF('Entradas Rebanho'!$B61="Lote seco",Default!$D$262,IF('Entradas Rebanho'!$B61="Espalhamento diário",Default!$D$256,IF('Entradas Rebanho'!$B61="Compostagem pilha estática (aeração forçada)",Default!$D$266,IF('Entradas Rebanho'!$B61="Tratamento aeróbico ",Default!$D$270,IF('Entradas Rebanho'!$B61="Biodigestor (alta tecnologia)",Default!$D$263,IF('Entradas Rebanho'!$B61="Biodigestor (convencional)",Default!$D$263)))))))))))+((('Entradas Rebanho'!$E61)/100)*(IF('Entradas Rebanho'!$D61="Lagoa anaeróbica descoberta",Default!$D$252,IF('Entradas Rebanho'!$D61="Sistema de gerenciamento com cama apresentando mistura",Default!$D$264,IF('Entradas Rebanho'!$D61="Armazenamento sólido",Default!$D$261,IF('Entradas Rebanho'!$D61="Lote seco",Default!$D$262,IF('Entradas Rebanho'!$D61="Espalhamento diário",Default!$D$256,IF('Entradas Rebanho'!$D61="Compostagem pilha estática (aeração forçada)",Default!$D$266,IF('Entradas Rebanho'!$D61="Tratamento aeróbico ",Default!$D$270,IF('Entradas Rebanho'!$D61="Biodigestor (alta tecnologia)",Default!$D$263,IF('Entradas Rebanho'!$D61="Biodigestor (convencional)",Default!$D$263)))))))))))+((('Entradas Rebanho'!$G61)/100)*(IF('Entradas Rebanho'!$F61="Lagoa anaeróbica descoberta",Default!$D$252,IF('Entradas Rebanho'!$F61="Sistema de gerenciamento com cama apresentando mistura",Default!$D$264,IF('Entradas Rebanho'!$F61="Armazenamento sólido",Default!$D$261,IF('Entradas Rebanho'!$F61="Lote seco",Default!$D$262,IF('Entradas Rebanho'!$F61="Espalhamento diário",Default!$D$256,IF('Entradas Rebanho'!$F61="Compostagem pilha estática (aeração forçada)",Default!$D$266,IF('Entradas Rebanho'!$F61="Tratamento aeróbico ",Default!$D$270,IF('Entradas Rebanho'!$F61="Biodigestor (alta tecnologia)",Default!$D$263,IF('Entradas Rebanho'!$F61="Biodigestor (convencional)",Default!$D$263)))))))))))),3)</f>
        <v>0</v>
      </c>
      <c r="D460" s="96" t="s">
        <v>1149</v>
      </c>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customHeight="1">
      <c r="A461" s="2"/>
      <c r="B461" s="97" t="s">
        <v>183</v>
      </c>
      <c r="C461" s="95">
        <f>ROUND((('Entradas Rebanho'!B26+'Entradas Rebanho'!C26)*Cálculos!C378)*(((('Entradas Rebanho'!$C62)/100)*(IF('Entradas Rebanho'!$B62="Lagoa anaeróbica descoberta",Default!$D$252,IF('Entradas Rebanho'!$B62="Sistema de gerenciamento com cama apresentando mistura",Default!$D$264,IF('Entradas Rebanho'!$B62="Armazenamento sólido",Default!$D$261,IF('Entradas Rebanho'!$B62="Lote seco",Default!$D$262,IF('Entradas Rebanho'!$B62="Espalhamento diário",Default!$D$256,IF('Entradas Rebanho'!$B62="Compostagem pilha estática (aeração forçada)",Default!$D$266,IF('Entradas Rebanho'!$B62="Tratamento aeróbico ",Default!$D$270,IF('Entradas Rebanho'!$B62="Biodigestor (alta tecnologia)",Default!$D$263,IF('Entradas Rebanho'!$B62="Biodigestor (convencional)",Default!$D$263)))))))))))+((('Entradas Rebanho'!$E62)/100)*(IF('Entradas Rebanho'!$D62="Lagoa anaeróbica descoberta",Default!$D$252,IF('Entradas Rebanho'!$D62="Sistema de gerenciamento com cama apresentando mistura",Default!$D$264,IF('Entradas Rebanho'!$D62="Armazenamento sólido",Default!$D$261,IF('Entradas Rebanho'!$D62="Lote seco",Default!$D$262,IF('Entradas Rebanho'!$D62="Espalhamento diário",Default!$D$256,IF('Entradas Rebanho'!$D62="Compostagem pilha estática (aeração forçada)",Default!$D$266,IF('Entradas Rebanho'!$D62="Tratamento aeróbico ",Default!$D$270,IF('Entradas Rebanho'!$D62="Biodigestor (alta tecnologia)",Default!$D$263,IF('Entradas Rebanho'!$D62="Biodigestor (convencional)",Default!$D$263)))))))))))+((('Entradas Rebanho'!$G62)/100)*(IF('Entradas Rebanho'!$F62="Lagoa anaeróbica descoberta",Default!$D$252,IF('Entradas Rebanho'!$F62="Sistema de gerenciamento com cama apresentando mistura",Default!$D$264,IF('Entradas Rebanho'!$F62="Armazenamento sólido",Default!$D$261,IF('Entradas Rebanho'!$F62="Lote seco",Default!$D$262,IF('Entradas Rebanho'!$F62="Espalhamento diário",Default!$D$256,IF('Entradas Rebanho'!$F62="Compostagem pilha estática (aeração forçada)",Default!$D$266,IF('Entradas Rebanho'!$F62="Tratamento aeróbico ",Default!$D$270,IF('Entradas Rebanho'!$F62="Biodigestor (alta tecnologia)",Default!$D$263,IF('Entradas Rebanho'!$F62="Biodigestor (convencional)",Default!$D$263)))))))))))),3)</f>
        <v>0</v>
      </c>
      <c r="D461" s="96" t="s">
        <v>1149</v>
      </c>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customHeight="1">
      <c r="A462" s="2"/>
      <c r="B462" s="97" t="s">
        <v>184</v>
      </c>
      <c r="C462" s="95">
        <f>ROUND((('Entradas Rebanho'!B27+'Entradas Rebanho'!C27)*Cálculos!C379)*(((('Entradas Rebanho'!$C63)/100)*(IF('Entradas Rebanho'!$B63="Lagoa anaeróbica descoberta",Default!$D$252,IF('Entradas Rebanho'!$B63="Sistema de gerenciamento com cama apresentando mistura",Default!$D$264,IF('Entradas Rebanho'!$B63="Armazenamento sólido",Default!$D$261,IF('Entradas Rebanho'!$B63="Lote seco",Default!$D$262,IF('Entradas Rebanho'!$B63="Espalhamento diário",Default!$D$256,IF('Entradas Rebanho'!$B63="Compostagem pilha estática (aeração forçada)",Default!$D$266,IF('Entradas Rebanho'!$B63="Tratamento aeróbico ",Default!$D$270,IF('Entradas Rebanho'!$B63="Biodigestor (alta tecnologia)",Default!$D$263,IF('Entradas Rebanho'!$B63="Biodigestor (convencional)",Default!$D$263)))))))))))+((('Entradas Rebanho'!$E63)/100)*(IF('Entradas Rebanho'!$D63="Lagoa anaeróbica descoberta",Default!$D$252,IF('Entradas Rebanho'!$D63="Sistema de gerenciamento com cama apresentando mistura",Default!$D$264,IF('Entradas Rebanho'!$D63="Armazenamento sólido",Default!$D$261,IF('Entradas Rebanho'!$D63="Lote seco",Default!$D$262,IF('Entradas Rebanho'!$D63="Espalhamento diário",Default!$D$256,IF('Entradas Rebanho'!$D63="Compostagem pilha estática (aeração forçada)",Default!$D$266,IF('Entradas Rebanho'!$D63="Tratamento aeróbico ",Default!$D$270,IF('Entradas Rebanho'!$D63="Biodigestor (alta tecnologia)",Default!$D$263,IF('Entradas Rebanho'!$D63="Biodigestor (convencional)",Default!$D$263)))))))))))+((('Entradas Rebanho'!$G63)/100)*(IF('Entradas Rebanho'!$F63="Lagoa anaeróbica descoberta",Default!$D$252,IF('Entradas Rebanho'!$F63="Sistema de gerenciamento com cama apresentando mistura",Default!$D$264,IF('Entradas Rebanho'!$F63="Armazenamento sólido",Default!$D$261,IF('Entradas Rebanho'!$F63="Lote seco",Default!$D$262,IF('Entradas Rebanho'!$F63="Espalhamento diário",Default!$D$256,IF('Entradas Rebanho'!$F63="Compostagem pilha estática (aeração forçada)",Default!$D$266,IF('Entradas Rebanho'!$F63="Tratamento aeróbico ",Default!$D$270,IF('Entradas Rebanho'!$F63="Biodigestor (alta tecnologia)",Default!$D$263,IF('Entradas Rebanho'!$F63="Biodigestor (convencional)",Default!$D$263)))))))))))),3)</f>
        <v>0</v>
      </c>
      <c r="D462" s="96" t="s">
        <v>1149</v>
      </c>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customHeight="1">
      <c r="A463" s="2"/>
      <c r="B463" s="97" t="s">
        <v>185</v>
      </c>
      <c r="C463" s="95">
        <f>ROUND((('Entradas Rebanho'!B28+'Entradas Rebanho'!C28)*Cálculos!C380)*(((('Entradas Rebanho'!$C64)/100)*(IF('Entradas Rebanho'!$B64="Lagoa anaeróbica descoberta",Default!$D$252,IF('Entradas Rebanho'!$B64="Sistema de gerenciamento com cama apresentando mistura",Default!$D$264,IF('Entradas Rebanho'!$B64="Armazenamento sólido",Default!$D$261,IF('Entradas Rebanho'!$B64="Lote seco",Default!$D$262,IF('Entradas Rebanho'!$B64="Espalhamento diário",Default!$D$256,IF('Entradas Rebanho'!$B64="Compostagem pilha estática (aeração forçada)",Default!$D$266,IF('Entradas Rebanho'!$B64="Tratamento aeróbico ",Default!$D$270,IF('Entradas Rebanho'!$B64="Biodigestor (alta tecnologia)",Default!$D$263,IF('Entradas Rebanho'!$B64="Biodigestor (convencional)",Default!$D$263)))))))))))+((('Entradas Rebanho'!$E64)/100)*(IF('Entradas Rebanho'!$D64="Lagoa anaeróbica descoberta",Default!$D$252,IF('Entradas Rebanho'!$D64="Sistema de gerenciamento com cama apresentando mistura",Default!$D$264,IF('Entradas Rebanho'!$D64="Armazenamento sólido",Default!$D$261,IF('Entradas Rebanho'!$D64="Lote seco",Default!$D$262,IF('Entradas Rebanho'!$D64="Espalhamento diário",Default!$D$256,IF('Entradas Rebanho'!$D64="Compostagem pilha estática (aeração forçada)",Default!$D$266,IF('Entradas Rebanho'!$D64="Tratamento aeróbico ",Default!$D$270,IF('Entradas Rebanho'!$D64="Biodigestor (alta tecnologia)",Default!$D$263,IF('Entradas Rebanho'!$D64="Biodigestor (convencional)",Default!$D$263)))))))))))+((('Entradas Rebanho'!$G64)/100)*(IF('Entradas Rebanho'!$F64="Lagoa anaeróbica descoberta",Default!$D$252,IF('Entradas Rebanho'!$F64="Sistema de gerenciamento com cama apresentando mistura",Default!$D$264,IF('Entradas Rebanho'!$F64="Armazenamento sólido",Default!$D$261,IF('Entradas Rebanho'!$F64="Lote seco",Default!$D$262,IF('Entradas Rebanho'!$F64="Espalhamento diário",Default!$D$256,IF('Entradas Rebanho'!$F64="Compostagem pilha estática (aeração forçada)",Default!$D$266,IF('Entradas Rebanho'!$F64="Tratamento aeróbico ",Default!$D$270,IF('Entradas Rebanho'!$F64="Biodigestor (alta tecnologia)",Default!$D$263,IF('Entradas Rebanho'!$F64="Biodigestor (convencional)",Default!$D$263)))))))))))),3)</f>
        <v>0</v>
      </c>
      <c r="D463" s="96" t="s">
        <v>1149</v>
      </c>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customHeight="1">
      <c r="A464" s="2"/>
      <c r="B464" s="97" t="s">
        <v>186</v>
      </c>
      <c r="C464" s="95">
        <f>ROUND((('Entradas Rebanho'!B29+'Entradas Rebanho'!C29)*Cálculos!C381)*(((('Entradas Rebanho'!$C65)/100)*(IF('Entradas Rebanho'!$B65="Lagoa anaeróbica descoberta",Default!$D$252,IF('Entradas Rebanho'!$B65="Sistema de gerenciamento com cama apresentando mistura",Default!$D$264,IF('Entradas Rebanho'!$B65="Armazenamento sólido",Default!$D$261,IF('Entradas Rebanho'!$B65="Lote seco",Default!$D$262,IF('Entradas Rebanho'!$B65="Espalhamento diário",Default!$D$256,IF('Entradas Rebanho'!$B65="Compostagem pilha estática (aeração forçada)",Default!$D$266,IF('Entradas Rebanho'!$B65="Tratamento aeróbico ",Default!$D$270,IF('Entradas Rebanho'!$B65="Biodigestor (alta tecnologia)",Default!$D$263,IF('Entradas Rebanho'!$B65="Biodigestor (convencional)",Default!$D$263)))))))))))+((('Entradas Rebanho'!$E65)/100)*(IF('Entradas Rebanho'!$D65="Lagoa anaeróbica descoberta",Default!$D$252,IF('Entradas Rebanho'!$D65="Sistema de gerenciamento com cama apresentando mistura",Default!$D$264,IF('Entradas Rebanho'!$D65="Armazenamento sólido",Default!$D$261,IF('Entradas Rebanho'!$D65="Lote seco",Default!$D$262,IF('Entradas Rebanho'!$D65="Espalhamento diário",Default!$D$256,IF('Entradas Rebanho'!$D65="Compostagem pilha estática (aeração forçada)",Default!$D$266,IF('Entradas Rebanho'!$D65="Tratamento aeróbico ",Default!$D$270,IF('Entradas Rebanho'!$D65="Biodigestor (alta tecnologia)",Default!$D$263,IF('Entradas Rebanho'!$D65="Biodigestor (convencional)",Default!$D$263)))))))))))+((('Entradas Rebanho'!$G65)/100)*(IF('Entradas Rebanho'!$F65="Lagoa anaeróbica descoberta",Default!$D$252,IF('Entradas Rebanho'!$F65="Sistema de gerenciamento com cama apresentando mistura",Default!$D$264,IF('Entradas Rebanho'!$F65="Armazenamento sólido",Default!$D$261,IF('Entradas Rebanho'!$F65="Lote seco",Default!$D$262,IF('Entradas Rebanho'!$F65="Espalhamento diário",Default!$D$256,IF('Entradas Rebanho'!$F65="Compostagem pilha estática (aeração forçada)",Default!$D$266,IF('Entradas Rebanho'!$F65="Tratamento aeróbico ",Default!$D$270,IF('Entradas Rebanho'!$F65="Biodigestor (alta tecnologia)",Default!$D$263,IF('Entradas Rebanho'!$F65="Biodigestor (convencional)",Default!$D$263)))))))))))),3)</f>
        <v>0</v>
      </c>
      <c r="D464" s="96" t="s">
        <v>1149</v>
      </c>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customHeight="1">
      <c r="A465" s="2"/>
      <c r="B465" s="97" t="s">
        <v>187</v>
      </c>
      <c r="C465" s="95">
        <f>ROUND((('Entradas Rebanho'!B30+'Entradas Rebanho'!C30)*Cálculos!C382)*(((('Entradas Rebanho'!$C66)/100)*(IF('Entradas Rebanho'!$B66="Lagoa anaeróbica descoberta",Default!$D$252,IF('Entradas Rebanho'!$B66="Sistema de gerenciamento com cama apresentando mistura",Default!$D$264,IF('Entradas Rebanho'!$B66="Armazenamento sólido",Default!$D$261,IF('Entradas Rebanho'!$B66="Lote seco",Default!$D$262,IF('Entradas Rebanho'!$B66="Espalhamento diário",Default!$D$256,IF('Entradas Rebanho'!$B66="Compostagem pilha estática (aeração forçada)",Default!$D$266,IF('Entradas Rebanho'!$B66="Tratamento aeróbico ",Default!$D$270,IF('Entradas Rebanho'!$B66="Biodigestor (alta tecnologia)",Default!$D$263,IF('Entradas Rebanho'!$B66="Biodigestor (convencional)",Default!$D$263)))))))))))+((('Entradas Rebanho'!$E66)/100)*(IF('Entradas Rebanho'!$D66="Lagoa anaeróbica descoberta",Default!$D$252,IF('Entradas Rebanho'!$D66="Sistema de gerenciamento com cama apresentando mistura",Default!$D$264,IF('Entradas Rebanho'!$D66="Armazenamento sólido",Default!$D$261,IF('Entradas Rebanho'!$D66="Lote seco",Default!$D$262,IF('Entradas Rebanho'!$D66="Espalhamento diário",Default!$D$256,IF('Entradas Rebanho'!$D66="Compostagem pilha estática (aeração forçada)",Default!$D$266,IF('Entradas Rebanho'!$D66="Tratamento aeróbico ",Default!$D$270,IF('Entradas Rebanho'!$D66="Biodigestor (alta tecnologia)",Default!$D$263,IF('Entradas Rebanho'!$D66="Biodigestor (convencional)",Default!$D$263)))))))))))+((('Entradas Rebanho'!$G66)/100)*(IF('Entradas Rebanho'!$F66="Lagoa anaeróbica descoberta",Default!$D$252,IF('Entradas Rebanho'!$F66="Sistema de gerenciamento com cama apresentando mistura",Default!$D$264,IF('Entradas Rebanho'!$F66="Armazenamento sólido",Default!$D$261,IF('Entradas Rebanho'!$F66="Lote seco",Default!$D$262,IF('Entradas Rebanho'!$F66="Espalhamento diário",Default!$D$256,IF('Entradas Rebanho'!$F66="Compostagem pilha estática (aeração forçada)",Default!$D$266,IF('Entradas Rebanho'!$F66="Tratamento aeróbico ",Default!$D$270,IF('Entradas Rebanho'!$F66="Biodigestor (alta tecnologia)",Default!$D$263,IF('Entradas Rebanho'!$F66="Biodigestor (convencional)",Default!$D$263)))))))))))),3)</f>
        <v>18.135000000000002</v>
      </c>
      <c r="D465" s="96" t="s">
        <v>1149</v>
      </c>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customHeight="1">
      <c r="A466" s="2"/>
      <c r="B466" s="97" t="s">
        <v>188</v>
      </c>
      <c r="C466" s="95">
        <f>ROUND((('Entradas Rebanho'!B31+'Entradas Rebanho'!C31)*Cálculos!C383)*(((('Entradas Rebanho'!$C67)/100)*(IF('Entradas Rebanho'!$B67="Lagoa anaeróbica descoberta",Default!$D$252,IF('Entradas Rebanho'!$B67="Sistema de gerenciamento com cama apresentando mistura",Default!$D$264,IF('Entradas Rebanho'!$B67="Armazenamento sólido",Default!$D$261,IF('Entradas Rebanho'!$B67="Lote seco",Default!$D$262,IF('Entradas Rebanho'!$B67="Espalhamento diário",Default!$D$256,IF('Entradas Rebanho'!$B67="Compostagem pilha estática (aeração forçada)",Default!$D$266,IF('Entradas Rebanho'!$B67="Tratamento aeróbico ",Default!$D$270,IF('Entradas Rebanho'!$B67="Biodigestor (alta tecnologia)",Default!$D$263,IF('Entradas Rebanho'!$B67="Biodigestor (convencional)",Default!$D$263)))))))))))+((('Entradas Rebanho'!$E67)/100)*(IF('Entradas Rebanho'!$D67="Lagoa anaeróbica descoberta",Default!$D$252,IF('Entradas Rebanho'!$D67="Sistema de gerenciamento com cama apresentando mistura",Default!$D$264,IF('Entradas Rebanho'!$D67="Armazenamento sólido",Default!$D$261,IF('Entradas Rebanho'!$D67="Lote seco",Default!$D$262,IF('Entradas Rebanho'!$D67="Espalhamento diário",Default!$D$256,IF('Entradas Rebanho'!$D67="Compostagem pilha estática (aeração forçada)",Default!$D$266,IF('Entradas Rebanho'!$D67="Tratamento aeróbico ",Default!$D$270,IF('Entradas Rebanho'!$D67="Biodigestor (alta tecnologia)",Default!$D$263,IF('Entradas Rebanho'!$D67="Biodigestor (convencional)",Default!$D$263)))))))))))+((('Entradas Rebanho'!$G67)/100)*(IF('Entradas Rebanho'!$F67="Lagoa anaeróbica descoberta",Default!$D$252,IF('Entradas Rebanho'!$F67="Sistema de gerenciamento com cama apresentando mistura",Default!$D$264,IF('Entradas Rebanho'!$F67="Armazenamento sólido",Default!$D$261,IF('Entradas Rebanho'!$F67="Lote seco",Default!$D$262,IF('Entradas Rebanho'!$F67="Espalhamento diário",Default!$D$256,IF('Entradas Rebanho'!$F67="Compostagem pilha estática (aeração forçada)",Default!$D$266,IF('Entradas Rebanho'!$F67="Tratamento aeróbico ",Default!$D$270,IF('Entradas Rebanho'!$F67="Biodigestor (alta tecnologia)",Default!$D$263,IF('Entradas Rebanho'!$F67="Biodigestor (convencional)",Default!$D$263)))))))))))),3)</f>
        <v>31.62</v>
      </c>
      <c r="D466" s="96" t="s">
        <v>1149</v>
      </c>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customHeight="1">
      <c r="A467" s="2"/>
      <c r="B467" s="97" t="s">
        <v>189</v>
      </c>
      <c r="C467" s="95">
        <f>ROUND((('Entradas Rebanho'!B32+'Entradas Rebanho'!C32)*Cálculos!C384)*(((('Entradas Rebanho'!$C68)/100)*(IF('Entradas Rebanho'!$B68="Lagoa anaeróbica descoberta",Default!$D$252,IF('Entradas Rebanho'!$B68="Sistema de gerenciamento com cama apresentando mistura",Default!$D$264,IF('Entradas Rebanho'!$B68="Armazenamento sólido",Default!$D$261,IF('Entradas Rebanho'!$B68="Lote seco",Default!$D$262,IF('Entradas Rebanho'!$B68="Espalhamento diário",Default!$D$256,IF('Entradas Rebanho'!$B68="Compostagem pilha estática (aeração forçada)",Default!$D$266,IF('Entradas Rebanho'!$B68="Tratamento aeróbico ",Default!$D$270,IF('Entradas Rebanho'!$B68="Biodigestor (alta tecnologia)",Default!$D$263,IF('Entradas Rebanho'!$B68="Biodigestor (convencional)",Default!$D$263)))))))))))+((('Entradas Rebanho'!$E68)/100)*(IF('Entradas Rebanho'!$D68="Lagoa anaeróbica descoberta",Default!$D$252,IF('Entradas Rebanho'!$D68="Sistema de gerenciamento com cama apresentando mistura",Default!$D$264,IF('Entradas Rebanho'!$D68="Armazenamento sólido",Default!$D$261,IF('Entradas Rebanho'!$D68="Lote seco",Default!$D$262,IF('Entradas Rebanho'!$D68="Espalhamento diário",Default!$D$256,IF('Entradas Rebanho'!$D68="Compostagem pilha estática (aeração forçada)",Default!$D$266,IF('Entradas Rebanho'!$D68="Tratamento aeróbico ",Default!$D$270,IF('Entradas Rebanho'!$D68="Biodigestor (alta tecnologia)",Default!$D$263,IF('Entradas Rebanho'!$D68="Biodigestor (convencional)",Default!$D$263)))))))))))+((('Entradas Rebanho'!$G68)/100)*(IF('Entradas Rebanho'!$F68="Lagoa anaeróbica descoberta",Default!$D$252,IF('Entradas Rebanho'!$F68="Sistema de gerenciamento com cama apresentando mistura",Default!$D$264,IF('Entradas Rebanho'!$F68="Armazenamento sólido",Default!$D$261,IF('Entradas Rebanho'!$F68="Lote seco",Default!$D$262,IF('Entradas Rebanho'!$F68="Espalhamento diário",Default!$D$256,IF('Entradas Rebanho'!$F68="Compostagem pilha estática (aeração forçada)",Default!$D$266,IF('Entradas Rebanho'!$F68="Tratamento aeróbico ",Default!$D$270,IF('Entradas Rebanho'!$F68="Biodigestor (alta tecnologia)",Default!$D$263,IF('Entradas Rebanho'!$F68="Biodigestor (convencional)",Default!$D$263)))))))))))),3)</f>
        <v>4.1109999999999998</v>
      </c>
      <c r="D467" s="96" t="s">
        <v>1149</v>
      </c>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customHeight="1">
      <c r="A468" s="2"/>
      <c r="B468" s="97" t="s">
        <v>190</v>
      </c>
      <c r="C468" s="95">
        <f>ROUND((('Entradas Rebanho'!B33+'Entradas Rebanho'!C33)*Cálculos!C385)*(((('Entradas Rebanho'!$C69)/100)*(IF('Entradas Rebanho'!$B69="Lagoa anaeróbica descoberta",Default!$D$252,IF('Entradas Rebanho'!$B69="Sistema de gerenciamento com cama apresentando mistura",Default!$D$264,IF('Entradas Rebanho'!$B69="Armazenamento sólido",Default!$D$261,IF('Entradas Rebanho'!$B69="Lote seco",Default!$D$262,IF('Entradas Rebanho'!$B69="Espalhamento diário",Default!$D$256,IF('Entradas Rebanho'!$B69="Compostagem pilha estática (aeração forçada)",Default!$D$266,IF('Entradas Rebanho'!$B69="Tratamento aeróbico ",Default!$D$270,IF('Entradas Rebanho'!$B69="Biodigestor (alta tecnologia)",Default!$D$263,IF('Entradas Rebanho'!$B69="Biodigestor (convencional)",Default!$D$263)))))))))))+((('Entradas Rebanho'!$E69)/100)*(IF('Entradas Rebanho'!$D69="Lagoa anaeróbica descoberta",Default!$D$252,IF('Entradas Rebanho'!$D69="Sistema de gerenciamento com cama apresentando mistura",Default!$D$264,IF('Entradas Rebanho'!$D69="Armazenamento sólido",Default!$D$261,IF('Entradas Rebanho'!$D69="Lote seco",Default!$D$262,IF('Entradas Rebanho'!$D69="Espalhamento diário",Default!$D$256,IF('Entradas Rebanho'!$D69="Compostagem pilha estática (aeração forçada)",Default!$D$266,IF('Entradas Rebanho'!$D69="Tratamento aeróbico ",Default!$D$270,IF('Entradas Rebanho'!$D69="Biodigestor (alta tecnologia)",Default!$D$263,IF('Entradas Rebanho'!$D69="Biodigestor (convencional)",Default!$D$263)))))))))))+((('Entradas Rebanho'!$G69)/100)*(IF('Entradas Rebanho'!$F69="Lagoa anaeróbica descoberta",Default!$D$252,IF('Entradas Rebanho'!$F69="Sistema de gerenciamento com cama apresentando mistura",Default!$D$264,IF('Entradas Rebanho'!$F69="Armazenamento sólido",Default!$D$261,IF('Entradas Rebanho'!$F69="Lote seco",Default!$D$262,IF('Entradas Rebanho'!$F69="Espalhamento diário",Default!$D$256,IF('Entradas Rebanho'!$F69="Compostagem pilha estática (aeração forçada)",Default!$D$266,IF('Entradas Rebanho'!$F69="Tratamento aeróbico ",Default!$D$270,IF('Entradas Rebanho'!$F69="Biodigestor (alta tecnologia)",Default!$D$263,IF('Entradas Rebanho'!$F69="Biodigestor (convencional)",Default!$D$263)))))))))))),3)</f>
        <v>0</v>
      </c>
      <c r="D468" s="96" t="s">
        <v>1149</v>
      </c>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customHeight="1">
      <c r="A469" s="2"/>
      <c r="B469" s="97" t="s">
        <v>191</v>
      </c>
      <c r="C469" s="95">
        <f>ROUND((('Entradas Rebanho'!B34+'Entradas Rebanho'!C34)*Cálculos!C386)*(((('Entradas Rebanho'!$C70)/100)*(IF('Entradas Rebanho'!$B70="Lagoa anaeróbica descoberta",Default!$D$252,IF('Entradas Rebanho'!$B70="Sistema de gerenciamento com cama apresentando mistura",Default!$D$264,IF('Entradas Rebanho'!$B70="Armazenamento sólido",Default!$D$261,IF('Entradas Rebanho'!$B70="Lote seco",Default!$D$262,IF('Entradas Rebanho'!$B70="Espalhamento diário",Default!$D$256,IF('Entradas Rebanho'!$B70="Compostagem pilha estática (aeração forçada)",Default!$D$266,IF('Entradas Rebanho'!$B70="Tratamento aeróbico ",Default!$D$270,IF('Entradas Rebanho'!$B70="Biodigestor (alta tecnologia)",Default!$D$263,IF('Entradas Rebanho'!$B70="Biodigestor (convencional)",Default!$D$263)))))))))))+((('Entradas Rebanho'!$E70)/100)*(IF('Entradas Rebanho'!$D70="Lagoa anaeróbica descoberta",Default!$D$252,IF('Entradas Rebanho'!$D70="Sistema de gerenciamento com cama apresentando mistura",Default!$D$264,IF('Entradas Rebanho'!$D70="Armazenamento sólido",Default!$D$261,IF('Entradas Rebanho'!$D70="Lote seco",Default!$D$262,IF('Entradas Rebanho'!$D70="Espalhamento diário",Default!$D$256,IF('Entradas Rebanho'!$D70="Compostagem pilha estática (aeração forçada)",Default!$D$266,IF('Entradas Rebanho'!$D70="Tratamento aeróbico ",Default!$D$270,IF('Entradas Rebanho'!$D70="Biodigestor (alta tecnologia)",Default!$D$263,IF('Entradas Rebanho'!$D70="Biodigestor (convencional)",Default!$D$263)))))))))))+((('Entradas Rebanho'!$G70)/100)*(IF('Entradas Rebanho'!$F70="Lagoa anaeróbica descoberta",Default!$D$252,IF('Entradas Rebanho'!$F70="Sistema de gerenciamento com cama apresentando mistura",Default!$D$264,IF('Entradas Rebanho'!$F70="Armazenamento sólido",Default!$D$261,IF('Entradas Rebanho'!$F70="Lote seco",Default!$D$262,IF('Entradas Rebanho'!$F70="Espalhamento diário",Default!$D$256,IF('Entradas Rebanho'!$F70="Compostagem pilha estática (aeração forçada)",Default!$D$266,IF('Entradas Rebanho'!$F70="Tratamento aeróbico ",Default!$D$270,IF('Entradas Rebanho'!$F70="Biodigestor (alta tecnologia)",Default!$D$263,IF('Entradas Rebanho'!$F70="Biodigestor (convencional)",Default!$D$263)))))))))))),3)</f>
        <v>0</v>
      </c>
      <c r="D469" s="96" t="s">
        <v>1149</v>
      </c>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customHeight="1" thickBot="1">
      <c r="A470" s="2"/>
      <c r="B470" s="385" t="s">
        <v>192</v>
      </c>
      <c r="C470" s="386">
        <f>ROUND((('Entradas Rebanho'!B35+'Entradas Rebanho'!C35)*Cálculos!C387)*(((('Entradas Rebanho'!$C71)/100)*(IF('Entradas Rebanho'!$B71="Lagoa anaeróbica descoberta",Default!$D$252,IF('Entradas Rebanho'!$B71="Sistema de gerenciamento com cama apresentando mistura",Default!$D$264,IF('Entradas Rebanho'!$B71="Armazenamento sólido",Default!$D$261,IF('Entradas Rebanho'!$B71="Lote seco",Default!$D$262,IF('Entradas Rebanho'!$B71="Espalhamento diário",Default!$D$256,IF('Entradas Rebanho'!$B71="Compostagem pilha estática (aeração forçada)",Default!$D$266,IF('Entradas Rebanho'!$B71="Tratamento aeróbico ",Default!$D$270,IF('Entradas Rebanho'!$B71="Biodigestor (alta tecnologia)",Default!$D$263,IF('Entradas Rebanho'!$B71="Biodigestor (convencional)",Default!$D$263)))))))))))+((('Entradas Rebanho'!$E71)/100)*(IF('Entradas Rebanho'!$D71="Lagoa anaeróbica descoberta",Default!$D$252,IF('Entradas Rebanho'!$D71="Sistema de gerenciamento com cama apresentando mistura",Default!$D$264,IF('Entradas Rebanho'!$D71="Armazenamento sólido",Default!$D$261,IF('Entradas Rebanho'!$D71="Lote seco",Default!$D$262,IF('Entradas Rebanho'!$D71="Espalhamento diário",Default!$D$256,IF('Entradas Rebanho'!$D71="Compostagem pilha estática (aeração forçada)",Default!$D$266,IF('Entradas Rebanho'!$D71="Tratamento aeróbico ",Default!$D$270,IF('Entradas Rebanho'!$D71="Biodigestor (alta tecnologia)",Default!$D$263,IF('Entradas Rebanho'!$D71="Biodigestor (convencional)",Default!$D$263)))))))))))+((('Entradas Rebanho'!$G71)/100)*(IF('Entradas Rebanho'!$F71="Lagoa anaeróbica descoberta",Default!$D$252,IF('Entradas Rebanho'!$F71="Sistema de gerenciamento com cama apresentando mistura",Default!$D$264,IF('Entradas Rebanho'!$F71="Armazenamento sólido",Default!$D$261,IF('Entradas Rebanho'!$F71="Lote seco",Default!$D$262,IF('Entradas Rebanho'!$F71="Espalhamento diário",Default!$D$256,IF('Entradas Rebanho'!$F71="Compostagem pilha estática (aeração forçada)",Default!$D$266,IF('Entradas Rebanho'!$F71="Tratamento aeróbico ",Default!$D$270,IF('Entradas Rebanho'!$F71="Biodigestor (alta tecnologia)",Default!$D$263,IF('Entradas Rebanho'!$F71="Biodigestor (convencional)",Default!$D$263)))))))))))),3)</f>
        <v>0</v>
      </c>
      <c r="D470" s="387" t="s">
        <v>1149</v>
      </c>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customHeight="1">
      <c r="A473" s="2"/>
      <c r="B473" s="920" t="s">
        <v>269</v>
      </c>
      <c r="C473" s="921"/>
      <c r="D473" s="92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customHeight="1">
      <c r="A474" s="2"/>
      <c r="B474" s="923" t="s">
        <v>270</v>
      </c>
      <c r="C474" s="924"/>
      <c r="D474" s="925"/>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customHeight="1">
      <c r="A475" s="2"/>
      <c r="B475" s="118" t="s">
        <v>174</v>
      </c>
      <c r="C475" s="92" t="s">
        <v>175</v>
      </c>
      <c r="D475" s="93" t="s">
        <v>176</v>
      </c>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customHeight="1">
      <c r="A476" s="2"/>
      <c r="B476" s="94" t="s">
        <v>177</v>
      </c>
      <c r="C476" s="95">
        <f>ROUND((C456*Default!$B$278)*(44/28),3)</f>
        <v>0</v>
      </c>
      <c r="D476" s="96" t="s">
        <v>1148</v>
      </c>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customHeight="1">
      <c r="A477" s="2"/>
      <c r="B477" s="94" t="s">
        <v>179</v>
      </c>
      <c r="C477" s="95">
        <f>ROUND((C457*Default!$B$278)*(44/28),3)</f>
        <v>0</v>
      </c>
      <c r="D477" s="96" t="s">
        <v>1148</v>
      </c>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customHeight="1">
      <c r="A478" s="2"/>
      <c r="B478" s="94" t="s">
        <v>180</v>
      </c>
      <c r="C478" s="95">
        <f>ROUND((C458*Default!$B$278)*(44/28),3)</f>
        <v>0</v>
      </c>
      <c r="D478" s="96" t="s">
        <v>1148</v>
      </c>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customHeight="1">
      <c r="A479" s="2"/>
      <c r="B479" s="97" t="s">
        <v>181</v>
      </c>
      <c r="C479" s="95">
        <f>ROUND((C459*Default!$B$278)*(44/28),3)</f>
        <v>0</v>
      </c>
      <c r="D479" s="96" t="s">
        <v>1148</v>
      </c>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customHeight="1">
      <c r="A480" s="2"/>
      <c r="B480" s="97" t="s">
        <v>182</v>
      </c>
      <c r="C480" s="95">
        <f>ROUND((C460*Default!$B$278)*(44/28),3)</f>
        <v>0</v>
      </c>
      <c r="D480" s="96" t="s">
        <v>1148</v>
      </c>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customHeight="1">
      <c r="A481" s="2"/>
      <c r="B481" s="97" t="s">
        <v>183</v>
      </c>
      <c r="C481" s="95">
        <f>ROUND((C461*Default!$B$278)*(44/28),3)</f>
        <v>0</v>
      </c>
      <c r="D481" s="96" t="s">
        <v>1148</v>
      </c>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customHeight="1">
      <c r="A482" s="2"/>
      <c r="B482" s="97" t="s">
        <v>184</v>
      </c>
      <c r="C482" s="95">
        <f>ROUND((C462*Default!$B$278)*(44/28),3)</f>
        <v>0</v>
      </c>
      <c r="D482" s="96" t="s">
        <v>1148</v>
      </c>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customHeight="1">
      <c r="A483" s="2"/>
      <c r="B483" s="97" t="s">
        <v>185</v>
      </c>
      <c r="C483" s="95">
        <f>ROUND((C463*Default!$B$278)*(44/28),3)</f>
        <v>0</v>
      </c>
      <c r="D483" s="96" t="s">
        <v>1148</v>
      </c>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customHeight="1">
      <c r="A484" s="2"/>
      <c r="B484" s="97" t="s">
        <v>186</v>
      </c>
      <c r="C484" s="95">
        <f>ROUND((C464*Default!$B$278)*(44/28),3)</f>
        <v>0</v>
      </c>
      <c r="D484" s="96" t="s">
        <v>1148</v>
      </c>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customHeight="1">
      <c r="A485" s="2"/>
      <c r="B485" s="97" t="s">
        <v>187</v>
      </c>
      <c r="C485" s="95">
        <f>ROUND((C465*Default!$B$278)*(44/28),3)</f>
        <v>0.313</v>
      </c>
      <c r="D485" s="96" t="s">
        <v>1148</v>
      </c>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customHeight="1">
      <c r="A486" s="2"/>
      <c r="B486" s="97" t="s">
        <v>188</v>
      </c>
      <c r="C486" s="95">
        <f>ROUND((C466*Default!$B$278)*(44/28),3)</f>
        <v>0.54700000000000004</v>
      </c>
      <c r="D486" s="96" t="s">
        <v>1148</v>
      </c>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customHeight="1">
      <c r="A487" s="2"/>
      <c r="B487" s="97" t="s">
        <v>189</v>
      </c>
      <c r="C487" s="95">
        <f>ROUND((C467*Default!$B$278)*(44/28),3)</f>
        <v>7.0999999999999994E-2</v>
      </c>
      <c r="D487" s="96" t="s">
        <v>1148</v>
      </c>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customHeight="1">
      <c r="A488" s="2"/>
      <c r="B488" s="97" t="s">
        <v>190</v>
      </c>
      <c r="C488" s="95">
        <f>ROUND((C468*Default!$B$278)*(44/28),3)</f>
        <v>0</v>
      </c>
      <c r="D488" s="96" t="s">
        <v>1148</v>
      </c>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customHeight="1">
      <c r="A489" s="2"/>
      <c r="B489" s="97" t="s">
        <v>191</v>
      </c>
      <c r="C489" s="95">
        <f>ROUND((C469*Default!$B$278)*(44/28),3)</f>
        <v>0</v>
      </c>
      <c r="D489" s="96" t="s">
        <v>1148</v>
      </c>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customHeight="1" thickBot="1">
      <c r="A490" s="2"/>
      <c r="B490" s="385" t="s">
        <v>192</v>
      </c>
      <c r="C490" s="386">
        <f>ROUND((C470*Default!$B$278)*(44/28),3)</f>
        <v>0</v>
      </c>
      <c r="D490" s="100" t="s">
        <v>1148</v>
      </c>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customHeight="1">
      <c r="A493" s="2"/>
      <c r="B493" s="920" t="s">
        <v>271</v>
      </c>
      <c r="C493" s="921"/>
      <c r="D493" s="92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customHeight="1">
      <c r="A494" s="2"/>
      <c r="B494" s="923" t="s">
        <v>272</v>
      </c>
      <c r="C494" s="924"/>
      <c r="D494" s="925"/>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customHeight="1">
      <c r="A495" s="2"/>
      <c r="B495" s="118" t="s">
        <v>174</v>
      </c>
      <c r="C495" s="92" t="s">
        <v>175</v>
      </c>
      <c r="D495" s="93" t="s">
        <v>176</v>
      </c>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customHeight="1">
      <c r="A496" s="2"/>
      <c r="B496" s="94" t="s">
        <v>177</v>
      </c>
      <c r="C496" s="95">
        <f>ROUND(C436+C476,3)</f>
        <v>0</v>
      </c>
      <c r="D496" s="96" t="s">
        <v>1148</v>
      </c>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customHeight="1">
      <c r="A497" s="2"/>
      <c r="B497" s="94" t="s">
        <v>179</v>
      </c>
      <c r="C497" s="95">
        <f t="shared" ref="C497:C510" si="1">ROUND(C437+C477,3)</f>
        <v>0</v>
      </c>
      <c r="D497" s="96" t="s">
        <v>1148</v>
      </c>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customHeight="1">
      <c r="A498" s="2"/>
      <c r="B498" s="94" t="s">
        <v>180</v>
      </c>
      <c r="C498" s="95">
        <f t="shared" si="1"/>
        <v>0</v>
      </c>
      <c r="D498" s="96" t="s">
        <v>1148</v>
      </c>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customHeight="1">
      <c r="A499" s="2"/>
      <c r="B499" s="97" t="s">
        <v>181</v>
      </c>
      <c r="C499" s="95">
        <f t="shared" si="1"/>
        <v>0</v>
      </c>
      <c r="D499" s="96" t="s">
        <v>1148</v>
      </c>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customHeight="1">
      <c r="A500" s="2"/>
      <c r="B500" s="97" t="s">
        <v>182</v>
      </c>
      <c r="C500" s="95">
        <f t="shared" si="1"/>
        <v>0</v>
      </c>
      <c r="D500" s="96" t="s">
        <v>1148</v>
      </c>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customHeight="1">
      <c r="A501" s="2"/>
      <c r="B501" s="97" t="s">
        <v>183</v>
      </c>
      <c r="C501" s="95">
        <f t="shared" si="1"/>
        <v>0</v>
      </c>
      <c r="D501" s="96" t="s">
        <v>1148</v>
      </c>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customHeight="1">
      <c r="A502" s="2"/>
      <c r="B502" s="97" t="s">
        <v>184</v>
      </c>
      <c r="C502" s="95">
        <f t="shared" si="1"/>
        <v>0</v>
      </c>
      <c r="D502" s="96" t="s">
        <v>1148</v>
      </c>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customHeight="1">
      <c r="A503" s="2"/>
      <c r="B503" s="97" t="s">
        <v>185</v>
      </c>
      <c r="C503" s="95">
        <f t="shared" si="1"/>
        <v>0</v>
      </c>
      <c r="D503" s="96" t="s">
        <v>1148</v>
      </c>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customHeight="1">
      <c r="A504" s="2"/>
      <c r="B504" s="97" t="s">
        <v>186</v>
      </c>
      <c r="C504" s="95">
        <f t="shared" si="1"/>
        <v>0</v>
      </c>
      <c r="D504" s="96" t="s">
        <v>1148</v>
      </c>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customHeight="1">
      <c r="A505" s="2"/>
      <c r="B505" s="97" t="s">
        <v>187</v>
      </c>
      <c r="C505" s="95">
        <f t="shared" si="1"/>
        <v>6.7249999999999996</v>
      </c>
      <c r="D505" s="96" t="s">
        <v>1148</v>
      </c>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customHeight="1">
      <c r="A506" s="2"/>
      <c r="B506" s="97" t="s">
        <v>188</v>
      </c>
      <c r="C506" s="95">
        <f t="shared" si="1"/>
        <v>11.727</v>
      </c>
      <c r="D506" s="96" t="s">
        <v>1148</v>
      </c>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customHeight="1">
      <c r="A507" s="2"/>
      <c r="B507" s="97" t="s">
        <v>189</v>
      </c>
      <c r="C507" s="95">
        <f t="shared" si="1"/>
        <v>1.524</v>
      </c>
      <c r="D507" s="96" t="s">
        <v>1148</v>
      </c>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customHeight="1">
      <c r="A508" s="2"/>
      <c r="B508" s="97" t="s">
        <v>190</v>
      </c>
      <c r="C508" s="95">
        <f t="shared" si="1"/>
        <v>0</v>
      </c>
      <c r="D508" s="96" t="s">
        <v>1148</v>
      </c>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customHeight="1">
      <c r="A509" s="2"/>
      <c r="B509" s="97" t="s">
        <v>191</v>
      </c>
      <c r="C509" s="95">
        <f t="shared" si="1"/>
        <v>0</v>
      </c>
      <c r="D509" s="96" t="s">
        <v>1148</v>
      </c>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customHeight="1" thickBot="1">
      <c r="A510" s="2"/>
      <c r="B510" s="385" t="s">
        <v>192</v>
      </c>
      <c r="C510" s="386">
        <f t="shared" si="1"/>
        <v>0</v>
      </c>
      <c r="D510" s="387" t="s">
        <v>1148</v>
      </c>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customHeight="1">
      <c r="A513" s="2"/>
      <c r="B513" s="926" t="s">
        <v>273</v>
      </c>
      <c r="C513" s="927"/>
      <c r="D513" s="928"/>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customHeight="1">
      <c r="A514" s="2"/>
      <c r="B514" s="26"/>
      <c r="C514" s="26"/>
      <c r="D514" s="26"/>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customHeight="1">
      <c r="A515" s="2"/>
      <c r="B515" s="26"/>
      <c r="C515" s="26"/>
      <c r="D515" s="26"/>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customHeight="1">
      <c r="A516" s="2"/>
      <c r="B516" s="920" t="s">
        <v>274</v>
      </c>
      <c r="C516" s="921"/>
      <c r="D516" s="92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customHeight="1">
      <c r="A517" s="2"/>
      <c r="B517" s="923" t="s">
        <v>275</v>
      </c>
      <c r="C517" s="924"/>
      <c r="D517" s="925"/>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customHeight="1">
      <c r="A518" s="2"/>
      <c r="B518" s="118" t="s">
        <v>174</v>
      </c>
      <c r="C518" s="92" t="s">
        <v>175</v>
      </c>
      <c r="D518" s="93" t="s">
        <v>176</v>
      </c>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customHeight="1">
      <c r="A519" s="2"/>
      <c r="B519" s="94" t="s">
        <v>177</v>
      </c>
      <c r="C519" s="95">
        <f>ROUND(((('Entradas Rebanho'!B21+'Entradas Rebanho'!C21)*Cálculos!C373)*((IF('Entradas Rebanho'!$B57="Pastagem/área de pastoreio/piquete",'Entradas Rebanho'!$C57/100,))+(IF('Entradas Rebanho'!$D57="Pastagem/área de pastoreio/piquete",'Entradas Rebanho'!$E57/100,))+(IF('Entradas Rebanho'!$F57="Pastagem/área de pastoreio/piquete",'Entradas Rebanho'!$G57/100)))),3)</f>
        <v>195.3</v>
      </c>
      <c r="D519" s="96" t="s">
        <v>1149</v>
      </c>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customHeight="1">
      <c r="A520" s="2"/>
      <c r="B520" s="94" t="s">
        <v>179</v>
      </c>
      <c r="C520" s="95">
        <f>ROUND(((('Entradas Rebanho'!B22+'Entradas Rebanho'!C22)*Cálculos!C374)*((IF('Entradas Rebanho'!$B58="Pastagem/área de pastoreio/piquete",'Entradas Rebanho'!$C58/100,))+(IF('Entradas Rebanho'!$D58="Pastagem/área de pastoreio/piquete",'Entradas Rebanho'!$E58/100,))+(IF('Entradas Rebanho'!$F58="Pastagem/área de pastoreio/piquete",'Entradas Rebanho'!$G58/100)))),3)</f>
        <v>40.92</v>
      </c>
      <c r="D520" s="96" t="s">
        <v>1149</v>
      </c>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customHeight="1">
      <c r="A521" s="2"/>
      <c r="B521" s="94" t="s">
        <v>180</v>
      </c>
      <c r="C521" s="95">
        <f>ROUND(((('Entradas Rebanho'!B23+'Entradas Rebanho'!C23)*Cálculos!C375)*((IF('Entradas Rebanho'!$B59="Pastagem/área de pastoreio/piquete",'Entradas Rebanho'!$C59/100,))+(IF('Entradas Rebanho'!$D59="Pastagem/área de pastoreio/piquete",'Entradas Rebanho'!$E59/100,))+(IF('Entradas Rebanho'!$F59="Pastagem/área de pastoreio/piquete",'Entradas Rebanho'!$G59/100)))),3)</f>
        <v>22.164999999999999</v>
      </c>
      <c r="D521" s="96" t="s">
        <v>1149</v>
      </c>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customHeight="1">
      <c r="A522" s="2"/>
      <c r="B522" s="97" t="s">
        <v>181</v>
      </c>
      <c r="C522" s="95">
        <f>ROUND(((('Entradas Rebanho'!B24+'Entradas Rebanho'!C24)*Cálculos!C376)*((IF('Entradas Rebanho'!$B60="Pastagem/área de pastoreio/piquete",'Entradas Rebanho'!$C60/100,))+(IF('Entradas Rebanho'!$D60="Pastagem/área de pastoreio/piquete",'Entradas Rebanho'!$E60/100,))+(IF('Entradas Rebanho'!$F60="Pastagem/área de pastoreio/piquete",'Entradas Rebanho'!$G60/100)))),3)</f>
        <v>461.9</v>
      </c>
      <c r="D522" s="96" t="s">
        <v>1149</v>
      </c>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customHeight="1">
      <c r="A523" s="2"/>
      <c r="B523" s="97" t="s">
        <v>182</v>
      </c>
      <c r="C523" s="95">
        <f>ROUND(((('Entradas Rebanho'!B25+'Entradas Rebanho'!C25)*Cálculos!C377)*((IF('Entradas Rebanho'!$B61="Pastagem/área de pastoreio/piquete",'Entradas Rebanho'!$C61/100,))+(IF('Entradas Rebanho'!$D61="Pastagem/área de pastoreio/piquete",'Entradas Rebanho'!$E61/100,))+(IF('Entradas Rebanho'!$F61="Pastagem/área de pastoreio/piquete",'Entradas Rebanho'!$G61/100)))),3)</f>
        <v>192.2</v>
      </c>
      <c r="D523" s="96" t="s">
        <v>1149</v>
      </c>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customHeight="1">
      <c r="A524" s="2"/>
      <c r="B524" s="97" t="s">
        <v>183</v>
      </c>
      <c r="C524" s="95">
        <f>ROUND(((('Entradas Rebanho'!B26+'Entradas Rebanho'!C26)*Cálculos!C378)*((IF('Entradas Rebanho'!$B62="Pastagem/área de pastoreio/piquete",'Entradas Rebanho'!$C62/100,))+(IF('Entradas Rebanho'!$D62="Pastagem/área de pastoreio/piquete",'Entradas Rebanho'!$E62/100,))+(IF('Entradas Rebanho'!$F62="Pastagem/área de pastoreio/piquete",'Entradas Rebanho'!$G62/100)))),3)</f>
        <v>51.77</v>
      </c>
      <c r="D524" s="96" t="s">
        <v>1149</v>
      </c>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customHeight="1">
      <c r="A525" s="2"/>
      <c r="B525" s="97" t="s">
        <v>184</v>
      </c>
      <c r="C525" s="95">
        <f>ROUND(((('Entradas Rebanho'!B27+'Entradas Rebanho'!C27)*Cálculos!C379)*((IF('Entradas Rebanho'!$B63="Pastagem/área de pastoreio/piquete",'Entradas Rebanho'!$C63/100,))+(IF('Entradas Rebanho'!$D63="Pastagem/área de pastoreio/piquete",'Entradas Rebanho'!$E63/100,))+(IF('Entradas Rebanho'!$F63="Pastagem/área de pastoreio/piquete",'Entradas Rebanho'!$G63/100)))),3)</f>
        <v>1109.8</v>
      </c>
      <c r="D525" s="96" t="s">
        <v>1149</v>
      </c>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customHeight="1">
      <c r="A526" s="2"/>
      <c r="B526" s="97" t="s">
        <v>185</v>
      </c>
      <c r="C526" s="95">
        <f>ROUND(((('Entradas Rebanho'!B28+'Entradas Rebanho'!C28)*Cálculos!C380)*((IF('Entradas Rebanho'!$B64="Pastagem/área de pastoreio/piquete",'Entradas Rebanho'!$C64/100,))+(IF('Entradas Rebanho'!$D64="Pastagem/área de pastoreio/piquete",'Entradas Rebanho'!$E64/100,))+(IF('Entradas Rebanho'!$F64="Pastagem/área de pastoreio/piquete",'Entradas Rebanho'!$G64/100)))),3)</f>
        <v>288.3</v>
      </c>
      <c r="D526" s="96" t="s">
        <v>1149</v>
      </c>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customHeight="1">
      <c r="A527" s="2"/>
      <c r="B527" s="97" t="s">
        <v>186</v>
      </c>
      <c r="C527" s="95">
        <f>ROUND(((('Entradas Rebanho'!B29+'Entradas Rebanho'!C29)*Cálculos!C381)*((IF('Entradas Rebanho'!$B65="Pastagem/área de pastoreio/piquete",'Entradas Rebanho'!$C65/100,))+(IF('Entradas Rebanho'!$D65="Pastagem/área de pastoreio/piquete",'Entradas Rebanho'!$E65/100,))+(IF('Entradas Rebanho'!$F65="Pastagem/área de pastoreio/piquete",'Entradas Rebanho'!$G65/100)))),3)</f>
        <v>18.693000000000001</v>
      </c>
      <c r="D527" s="96" t="s">
        <v>1149</v>
      </c>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customHeight="1">
      <c r="A528" s="2"/>
      <c r="B528" s="97" t="s">
        <v>187</v>
      </c>
      <c r="C528" s="95">
        <f>ROUND(((('Entradas Rebanho'!B30+'Entradas Rebanho'!C30)*Cálculos!C382)*((IF('Entradas Rebanho'!$B66="Pastagem/área de pastoreio/piquete",'Entradas Rebanho'!$C66/100,))+(IF('Entradas Rebanho'!$D66="Pastagem/área de pastoreio/piquete",'Entradas Rebanho'!$E66/100,))+(IF('Entradas Rebanho'!$F66="Pastagem/área de pastoreio/piquete",'Entradas Rebanho'!$G66/100)))),3)</f>
        <v>0</v>
      </c>
      <c r="D528" s="96" t="s">
        <v>1149</v>
      </c>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customHeight="1">
      <c r="A529" s="2"/>
      <c r="B529" s="97" t="s">
        <v>188</v>
      </c>
      <c r="C529" s="95">
        <f>ROUND(((('Entradas Rebanho'!B31+'Entradas Rebanho'!C31)*Cálculos!C383)*((IF('Entradas Rebanho'!$B67="Pastagem/área de pastoreio/piquete",'Entradas Rebanho'!$C67/100,))+(IF('Entradas Rebanho'!$D67="Pastagem/área de pastoreio/piquete",'Entradas Rebanho'!$E67/100,))+(IF('Entradas Rebanho'!$F67="Pastagem/área de pastoreio/piquete",'Entradas Rebanho'!$G67/100)))),3)</f>
        <v>0</v>
      </c>
      <c r="D529" s="96" t="s">
        <v>1149</v>
      </c>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customHeight="1">
      <c r="A530" s="2"/>
      <c r="B530" s="97" t="s">
        <v>189</v>
      </c>
      <c r="C530" s="95">
        <f>ROUND(((('Entradas Rebanho'!B32+'Entradas Rebanho'!C32)*Cálculos!C384)*((IF('Entradas Rebanho'!$B68="Pastagem/área de pastoreio/piquete",'Entradas Rebanho'!$C68/100,))+(IF('Entradas Rebanho'!$D68="Pastagem/área de pastoreio/piquete",'Entradas Rebanho'!$E68/100,))+(IF('Entradas Rebanho'!$F68="Pastagem/área de pastoreio/piquete",'Entradas Rebanho'!$G68/100)))),3)</f>
        <v>0</v>
      </c>
      <c r="D530" s="96" t="s">
        <v>1149</v>
      </c>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customHeight="1">
      <c r="A531" s="2"/>
      <c r="B531" s="97" t="s">
        <v>190</v>
      </c>
      <c r="C531" s="95">
        <f>ROUND(((('Entradas Rebanho'!B33+'Entradas Rebanho'!C33)*Cálculos!C385)*((IF('Entradas Rebanho'!$B69="Pastagem/área de pastoreio/piquete",'Entradas Rebanho'!$C69/100,))+(IF('Entradas Rebanho'!$D69="Pastagem/área de pastoreio/piquete",'Entradas Rebanho'!$E69/100,))+(IF('Entradas Rebanho'!$F69="Pastagem/área de pastoreio/piquete",'Entradas Rebanho'!$G69/100)))),3)</f>
        <v>70.680000000000007</v>
      </c>
      <c r="D531" s="96" t="s">
        <v>1149</v>
      </c>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customHeight="1">
      <c r="A532" s="2"/>
      <c r="B532" s="97" t="s">
        <v>191</v>
      </c>
      <c r="C532" s="95">
        <f>ROUND(((('Entradas Rebanho'!B34+'Entradas Rebanho'!C34)*Cálculos!C386)*((IF('Entradas Rebanho'!$B70="Pastagem/área de pastoreio/piquete",'Entradas Rebanho'!$C70/100,))+(IF('Entradas Rebanho'!$D70="Pastagem/área de pastoreio/piquete",'Entradas Rebanho'!$E70/100,))+(IF('Entradas Rebanho'!$F70="Pastagem/área de pastoreio/piquete",'Entradas Rebanho'!$G70/100)))),3)</f>
        <v>144.61500000000001</v>
      </c>
      <c r="D532" s="96" t="s">
        <v>1149</v>
      </c>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customHeight="1" thickBot="1">
      <c r="A533" s="2"/>
      <c r="B533" s="385" t="s">
        <v>192</v>
      </c>
      <c r="C533" s="386">
        <f>ROUND(((('Entradas Rebanho'!B35+'Entradas Rebanho'!C35)*Cálculos!C387)*((IF('Entradas Rebanho'!$B71="Pastagem/área de pastoreio/piquete",'Entradas Rebanho'!$C71/100,))+(IF('Entradas Rebanho'!$D71="Pastagem/área de pastoreio/piquete",'Entradas Rebanho'!$E71/100,))+(IF('Entradas Rebanho'!$F71="Pastagem/área de pastoreio/piquete",'Entradas Rebanho'!$G71/100)))),3)</f>
        <v>7.0369999999999999</v>
      </c>
      <c r="D533" s="387" t="s">
        <v>1149</v>
      </c>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customHeight="1">
      <c r="A534" s="2"/>
      <c r="B534" s="22"/>
      <c r="C534" s="26"/>
      <c r="D534" s="26"/>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customHeight="1">
      <c r="A535" s="2"/>
      <c r="B535" s="26"/>
      <c r="C535" s="26"/>
      <c r="D535" s="26"/>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customHeight="1">
      <c r="A536" s="2"/>
      <c r="B536" s="920" t="s">
        <v>276</v>
      </c>
      <c r="C536" s="921"/>
      <c r="D536" s="92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customHeight="1">
      <c r="A537" s="2"/>
      <c r="B537" s="923" t="s">
        <v>277</v>
      </c>
      <c r="C537" s="924"/>
      <c r="D537" s="925"/>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customHeight="1">
      <c r="A538" s="2"/>
      <c r="B538" s="118" t="s">
        <v>174</v>
      </c>
      <c r="C538" s="92" t="s">
        <v>175</v>
      </c>
      <c r="D538" s="93" t="s">
        <v>176</v>
      </c>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customHeight="1">
      <c r="A539" s="2"/>
      <c r="B539" s="94" t="s">
        <v>177</v>
      </c>
      <c r="C539" s="95">
        <f>ROUND((C519*Default!$B$286)*(44/28),3)</f>
        <v>1.228</v>
      </c>
      <c r="D539" s="96" t="s">
        <v>1148</v>
      </c>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customHeight="1">
      <c r="A540" s="2"/>
      <c r="B540" s="94" t="s">
        <v>179</v>
      </c>
      <c r="C540" s="95">
        <f>ROUND((C520*Default!$B$286)*(44/28),3)</f>
        <v>0.25700000000000001</v>
      </c>
      <c r="D540" s="96" t="s">
        <v>1148</v>
      </c>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customHeight="1">
      <c r="A541" s="2"/>
      <c r="B541" s="94" t="s">
        <v>180</v>
      </c>
      <c r="C541" s="95">
        <f>ROUND((C521*Default!$B$286)*(44/28),3)</f>
        <v>0.13900000000000001</v>
      </c>
      <c r="D541" s="96" t="s">
        <v>1148</v>
      </c>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customHeight="1">
      <c r="A542" s="2"/>
      <c r="B542" s="97" t="s">
        <v>181</v>
      </c>
      <c r="C542" s="95">
        <f>ROUND((C522*Default!$B$286)*(44/28),3)</f>
        <v>2.903</v>
      </c>
      <c r="D542" s="96" t="s">
        <v>1148</v>
      </c>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customHeight="1">
      <c r="A543" s="2"/>
      <c r="B543" s="97" t="s">
        <v>182</v>
      </c>
      <c r="C543" s="95">
        <f>ROUND((C523*Default!$B$286)*(44/28),3)</f>
        <v>1.208</v>
      </c>
      <c r="D543" s="96" t="s">
        <v>1148</v>
      </c>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customHeight="1">
      <c r="A544" s="2"/>
      <c r="B544" s="97" t="s">
        <v>183</v>
      </c>
      <c r="C544" s="95">
        <f>ROUND((C524*Default!$B$286)*(44/28),3)</f>
        <v>0.32500000000000001</v>
      </c>
      <c r="D544" s="96" t="s">
        <v>1148</v>
      </c>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customHeight="1">
      <c r="A545" s="2"/>
      <c r="B545" s="97" t="s">
        <v>184</v>
      </c>
      <c r="C545" s="95">
        <f>ROUND((C525*Default!$B$286)*(44/28),3)</f>
        <v>6.976</v>
      </c>
      <c r="D545" s="96" t="s">
        <v>1148</v>
      </c>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customHeight="1">
      <c r="A546" s="2"/>
      <c r="B546" s="97" t="s">
        <v>185</v>
      </c>
      <c r="C546" s="95">
        <f>ROUND((C526*Default!$B$286)*(44/28),3)</f>
        <v>1.8120000000000001</v>
      </c>
      <c r="D546" s="96" t="s">
        <v>1148</v>
      </c>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customHeight="1">
      <c r="A547" s="2"/>
      <c r="B547" s="97" t="s">
        <v>186</v>
      </c>
      <c r="C547" s="95">
        <f>ROUND((C527*Default!$B$286)*(44/28),3)</f>
        <v>0.11700000000000001</v>
      </c>
      <c r="D547" s="96" t="s">
        <v>1148</v>
      </c>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customHeight="1">
      <c r="A548" s="2"/>
      <c r="B548" s="97" t="s">
        <v>187</v>
      </c>
      <c r="C548" s="95">
        <f>ROUND((C528*Default!$B$286)*(44/28),3)</f>
        <v>0</v>
      </c>
      <c r="D548" s="96" t="s">
        <v>1148</v>
      </c>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customHeight="1">
      <c r="A549" s="2"/>
      <c r="B549" s="97" t="s">
        <v>188</v>
      </c>
      <c r="C549" s="95">
        <f>ROUND((C529*Default!$B$286)*(44/28),3)</f>
        <v>0</v>
      </c>
      <c r="D549" s="96" t="s">
        <v>1148</v>
      </c>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customHeight="1">
      <c r="A550" s="2"/>
      <c r="B550" s="97" t="s">
        <v>189</v>
      </c>
      <c r="C550" s="95">
        <f>ROUND((C530*Default!$B$286)*(44/28),3)</f>
        <v>0</v>
      </c>
      <c r="D550" s="96" t="s">
        <v>1148</v>
      </c>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customHeight="1">
      <c r="A551" s="2"/>
      <c r="B551" s="97" t="s">
        <v>190</v>
      </c>
      <c r="C551" s="95">
        <f>ROUND((C531*Default!$B$286)*(44/28),3)</f>
        <v>0.44400000000000001</v>
      </c>
      <c r="D551" s="96" t="s">
        <v>1148</v>
      </c>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customHeight="1">
      <c r="A552" s="2"/>
      <c r="B552" s="97" t="s">
        <v>191</v>
      </c>
      <c r="C552" s="95">
        <f>ROUND((C532*Default!$B$286)*(44/28),3)</f>
        <v>0.90900000000000003</v>
      </c>
      <c r="D552" s="96" t="s">
        <v>1148</v>
      </c>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customHeight="1" thickBot="1">
      <c r="A553" s="2"/>
      <c r="B553" s="385" t="s">
        <v>192</v>
      </c>
      <c r="C553" s="386">
        <f>ROUND((C533*Default!$B$286)*(44/28),3)</f>
        <v>4.3999999999999997E-2</v>
      </c>
      <c r="D553" s="387" t="s">
        <v>1148</v>
      </c>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customHeight="1">
      <c r="A556" s="2"/>
      <c r="B556" s="920" t="s">
        <v>278</v>
      </c>
      <c r="C556" s="921"/>
      <c r="D556" s="92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customHeight="1">
      <c r="A557" s="2"/>
      <c r="B557" s="923" t="s">
        <v>279</v>
      </c>
      <c r="C557" s="924"/>
      <c r="D557" s="925"/>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customHeight="1">
      <c r="A558" s="2"/>
      <c r="B558" s="118" t="s">
        <v>174</v>
      </c>
      <c r="C558" s="92" t="s">
        <v>175</v>
      </c>
      <c r="D558" s="93" t="s">
        <v>176</v>
      </c>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customHeight="1">
      <c r="A559" s="2"/>
      <c r="B559" s="94" t="s">
        <v>177</v>
      </c>
      <c r="C559" s="95">
        <f>ROUND((C519*Default!$B$279*Default!$B$276)*(44/28),3)</f>
        <v>0.64400000000000002</v>
      </c>
      <c r="D559" s="96" t="s">
        <v>1148</v>
      </c>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customHeight="1">
      <c r="A560" s="2"/>
      <c r="B560" s="94" t="s">
        <v>179</v>
      </c>
      <c r="C560" s="95">
        <f>ROUND((C520*Default!$B$279*Default!$B$276)*(44/28),3)</f>
        <v>0.13500000000000001</v>
      </c>
      <c r="D560" s="96" t="s">
        <v>1148</v>
      </c>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customHeight="1">
      <c r="A561" s="2"/>
      <c r="B561" s="94" t="s">
        <v>180</v>
      </c>
      <c r="C561" s="95">
        <f>ROUND((C521*Default!$B$279*Default!$B$276)*(44/28),3)</f>
        <v>7.2999999999999995E-2</v>
      </c>
      <c r="D561" s="96" t="s">
        <v>1148</v>
      </c>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customHeight="1">
      <c r="A562" s="2"/>
      <c r="B562" s="97" t="s">
        <v>181</v>
      </c>
      <c r="C562" s="95">
        <f>ROUND((C522*Default!$B$279*Default!$B$276)*(44/28),3)</f>
        <v>1.524</v>
      </c>
      <c r="D562" s="96" t="s">
        <v>1148</v>
      </c>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customHeight="1">
      <c r="A563" s="2"/>
      <c r="B563" s="97" t="s">
        <v>182</v>
      </c>
      <c r="C563" s="95">
        <f>ROUND((C523*Default!$B$279*Default!$B$276)*(44/28),3)</f>
        <v>0.63400000000000001</v>
      </c>
      <c r="D563" s="96" t="s">
        <v>1148</v>
      </c>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customHeight="1">
      <c r="A564" s="2"/>
      <c r="B564" s="97" t="s">
        <v>183</v>
      </c>
      <c r="C564" s="95">
        <f>ROUND((C524*Default!$B$279*Default!$B$276)*(44/28),3)</f>
        <v>0.17100000000000001</v>
      </c>
      <c r="D564" s="96" t="s">
        <v>1148</v>
      </c>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customHeight="1">
      <c r="A565" s="2"/>
      <c r="B565" s="97" t="s">
        <v>184</v>
      </c>
      <c r="C565" s="95">
        <f>ROUND((C525*Default!$B$279*Default!$B$276)*(44/28),3)</f>
        <v>3.6619999999999999</v>
      </c>
      <c r="D565" s="96" t="s">
        <v>1148</v>
      </c>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customHeight="1">
      <c r="A566" s="2"/>
      <c r="B566" s="97" t="s">
        <v>185</v>
      </c>
      <c r="C566" s="95">
        <f>ROUND((C526*Default!$B$279*Default!$B$276)*(44/28),3)</f>
        <v>0.95099999999999996</v>
      </c>
      <c r="D566" s="96" t="s">
        <v>1148</v>
      </c>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customHeight="1">
      <c r="A567" s="2"/>
      <c r="B567" s="97" t="s">
        <v>186</v>
      </c>
      <c r="C567" s="95">
        <f>ROUND((C527*Default!$B$279*Default!$B$276)*(44/28),3)</f>
        <v>6.2E-2</v>
      </c>
      <c r="D567" s="96" t="s">
        <v>1148</v>
      </c>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customHeight="1">
      <c r="A568" s="2"/>
      <c r="B568" s="97" t="s">
        <v>187</v>
      </c>
      <c r="C568" s="95">
        <f>ROUND((C528*Default!$B$279*Default!$B$276)*(44/28),3)</f>
        <v>0</v>
      </c>
      <c r="D568" s="96" t="s">
        <v>1148</v>
      </c>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customHeight="1">
      <c r="A569" s="2"/>
      <c r="B569" s="97" t="s">
        <v>188</v>
      </c>
      <c r="C569" s="95">
        <f>ROUND((C529*Default!$B$279*Default!$B$276)*(44/28),3)</f>
        <v>0</v>
      </c>
      <c r="D569" s="96" t="s">
        <v>1148</v>
      </c>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customHeight="1">
      <c r="A570" s="2"/>
      <c r="B570" s="97" t="s">
        <v>189</v>
      </c>
      <c r="C570" s="95">
        <f>ROUND((C530*Default!$B$279*Default!$B$276)*(44/28),3)</f>
        <v>0</v>
      </c>
      <c r="D570" s="96" t="s">
        <v>1148</v>
      </c>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customHeight="1">
      <c r="A571" s="2"/>
      <c r="B571" s="97" t="s">
        <v>190</v>
      </c>
      <c r="C571" s="95">
        <f>ROUND((C531*Default!$B$279*Default!$B$276)*(44/28),3)</f>
        <v>0.23300000000000001</v>
      </c>
      <c r="D571" s="96" t="s">
        <v>1148</v>
      </c>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customHeight="1">
      <c r="A572" s="2"/>
      <c r="B572" s="97" t="s">
        <v>191</v>
      </c>
      <c r="C572" s="95">
        <f>ROUND((C532*Default!$B$279*Default!$B$276)*(44/28),3)</f>
        <v>0.47699999999999998</v>
      </c>
      <c r="D572" s="96" t="s">
        <v>1148</v>
      </c>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customHeight="1" thickBot="1">
      <c r="A573" s="2"/>
      <c r="B573" s="385" t="s">
        <v>192</v>
      </c>
      <c r="C573" s="386">
        <f>ROUND((C533*Default!$B$279*Default!$B$276)*(44/28),3)</f>
        <v>2.3E-2</v>
      </c>
      <c r="D573" s="387" t="s">
        <v>1148</v>
      </c>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customHeight="1">
      <c r="A576" s="2"/>
      <c r="B576" s="920" t="s">
        <v>280</v>
      </c>
      <c r="C576" s="921"/>
      <c r="D576" s="92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customHeight="1">
      <c r="A577" s="2"/>
      <c r="B577" s="923" t="s">
        <v>281</v>
      </c>
      <c r="C577" s="924"/>
      <c r="D577" s="925"/>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customHeight="1">
      <c r="A578" s="2"/>
      <c r="B578" s="118" t="s">
        <v>174</v>
      </c>
      <c r="C578" s="92" t="s">
        <v>175</v>
      </c>
      <c r="D578" s="93" t="s">
        <v>176</v>
      </c>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customHeight="1">
      <c r="A579" s="2"/>
      <c r="B579" s="94" t="s">
        <v>177</v>
      </c>
      <c r="C579" s="95">
        <f>ROUND((C519*Default!$B$280*Default!$B$278)*(44/28),3)</f>
        <v>0.81</v>
      </c>
      <c r="D579" s="96" t="s">
        <v>1148</v>
      </c>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customHeight="1">
      <c r="A580" s="2"/>
      <c r="B580" s="94" t="s">
        <v>179</v>
      </c>
      <c r="C580" s="95">
        <f>ROUND((C520*Default!$B$280*Default!$B$278)*(44/28),3)</f>
        <v>0.17</v>
      </c>
      <c r="D580" s="96" t="s">
        <v>1148</v>
      </c>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customHeight="1">
      <c r="A581" s="2"/>
      <c r="B581" s="94" t="s">
        <v>180</v>
      </c>
      <c r="C581" s="95">
        <f>ROUND((C521*Default!$B$280*Default!$B$278)*(44/28),3)</f>
        <v>9.1999999999999998E-2</v>
      </c>
      <c r="D581" s="96" t="s">
        <v>1148</v>
      </c>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customHeight="1">
      <c r="A582" s="2"/>
      <c r="B582" s="97" t="s">
        <v>181</v>
      </c>
      <c r="C582" s="95">
        <f>ROUND((C522*Default!$B$280*Default!$B$278)*(44/28),3)</f>
        <v>1.9159999999999999</v>
      </c>
      <c r="D582" s="96" t="s">
        <v>1148</v>
      </c>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customHeight="1">
      <c r="A583" s="2"/>
      <c r="B583" s="97" t="s">
        <v>182</v>
      </c>
      <c r="C583" s="95">
        <f>ROUND((C523*Default!$B$280*Default!$B$278)*(44/28),3)</f>
        <v>0.79700000000000004</v>
      </c>
      <c r="D583" s="96" t="s">
        <v>1148</v>
      </c>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customHeight="1">
      <c r="A584" s="2"/>
      <c r="B584" s="97" t="s">
        <v>183</v>
      </c>
      <c r="C584" s="95">
        <f>ROUND((C524*Default!$B$280*Default!$B$278)*(44/28),3)</f>
        <v>0.215</v>
      </c>
      <c r="D584" s="96" t="s">
        <v>1148</v>
      </c>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customHeight="1">
      <c r="A585" s="2"/>
      <c r="B585" s="97" t="s">
        <v>184</v>
      </c>
      <c r="C585" s="95">
        <f>ROUND((C525*Default!$B$280*Default!$B$278)*(44/28),3)</f>
        <v>4.6040000000000001</v>
      </c>
      <c r="D585" s="96" t="s">
        <v>1148</v>
      </c>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customHeight="1">
      <c r="A586" s="2"/>
      <c r="B586" s="97" t="s">
        <v>185</v>
      </c>
      <c r="C586" s="95">
        <f>ROUND((C526*Default!$B$280*Default!$B$278)*(44/28),3)</f>
        <v>1.196</v>
      </c>
      <c r="D586" s="96" t="s">
        <v>1148</v>
      </c>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customHeight="1">
      <c r="A587" s="2"/>
      <c r="B587" s="97" t="s">
        <v>186</v>
      </c>
      <c r="C587" s="95">
        <f>ROUND((C527*Default!$B$280*Default!$B$278)*(44/28),3)</f>
        <v>7.8E-2</v>
      </c>
      <c r="D587" s="96" t="s">
        <v>1148</v>
      </c>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customHeight="1">
      <c r="A588" s="2"/>
      <c r="B588" s="97" t="s">
        <v>187</v>
      </c>
      <c r="C588" s="95">
        <f>ROUND((C528*Default!$B$280*Default!$B$278)*(44/28),3)</f>
        <v>0</v>
      </c>
      <c r="D588" s="96" t="s">
        <v>1148</v>
      </c>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customHeight="1">
      <c r="A589" s="2"/>
      <c r="B589" s="97" t="s">
        <v>188</v>
      </c>
      <c r="C589" s="95">
        <f>ROUND((C529*Default!$B$280*Default!$B$278)*(44/28),3)</f>
        <v>0</v>
      </c>
      <c r="D589" s="96" t="s">
        <v>1148</v>
      </c>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customHeight="1">
      <c r="A590" s="2"/>
      <c r="B590" s="97" t="s">
        <v>189</v>
      </c>
      <c r="C590" s="95">
        <f>ROUND((C530*Default!$B$280*Default!$B$278)*(44/28),3)</f>
        <v>0</v>
      </c>
      <c r="D590" s="96" t="s">
        <v>1148</v>
      </c>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customHeight="1">
      <c r="A591" s="2"/>
      <c r="B591" s="97" t="s">
        <v>190</v>
      </c>
      <c r="C591" s="95">
        <f>ROUND((C531*Default!$B$280*Default!$B$278)*(44/28),3)</f>
        <v>0.29299999999999998</v>
      </c>
      <c r="D591" s="96" t="s">
        <v>1148</v>
      </c>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customHeight="1">
      <c r="A592" s="2"/>
      <c r="B592" s="97" t="s">
        <v>191</v>
      </c>
      <c r="C592" s="95">
        <f>ROUND((C532*Default!$B$280*Default!$B$278)*(44/28),3)</f>
        <v>0.6</v>
      </c>
      <c r="D592" s="96" t="s">
        <v>1148</v>
      </c>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customHeight="1" thickBot="1">
      <c r="A593" s="2"/>
      <c r="B593" s="385" t="s">
        <v>192</v>
      </c>
      <c r="C593" s="386">
        <f>ROUND((C533*Default!$B$280*Default!$B$278)*(44/28),3)</f>
        <v>2.9000000000000001E-2</v>
      </c>
      <c r="D593" s="387" t="s">
        <v>1148</v>
      </c>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customHeight="1">
      <c r="A596" s="2"/>
      <c r="B596" s="920" t="s">
        <v>282</v>
      </c>
      <c r="C596" s="921"/>
      <c r="D596" s="92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customHeight="1">
      <c r="A597" s="2"/>
      <c r="B597" s="923" t="s">
        <v>283</v>
      </c>
      <c r="C597" s="924"/>
      <c r="D597" s="925"/>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customHeight="1">
      <c r="A598" s="2"/>
      <c r="B598" s="118" t="s">
        <v>174</v>
      </c>
      <c r="C598" s="92" t="s">
        <v>175</v>
      </c>
      <c r="D598" s="93" t="s">
        <v>176</v>
      </c>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customHeight="1">
      <c r="A599" s="2"/>
      <c r="B599" s="94" t="s">
        <v>177</v>
      </c>
      <c r="C599" s="95">
        <f>ROUND(SUM(C559+C579),3)</f>
        <v>1.454</v>
      </c>
      <c r="D599" s="96" t="s">
        <v>1148</v>
      </c>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customHeight="1">
      <c r="A600" s="2"/>
      <c r="B600" s="94" t="s">
        <v>179</v>
      </c>
      <c r="C600" s="95">
        <f t="shared" ref="C600:C613" si="2">ROUND(SUM(C560+C580),3)</f>
        <v>0.30499999999999999</v>
      </c>
      <c r="D600" s="96" t="s">
        <v>1148</v>
      </c>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customHeight="1">
      <c r="A601" s="2"/>
      <c r="B601" s="94" t="s">
        <v>180</v>
      </c>
      <c r="C601" s="95">
        <f t="shared" si="2"/>
        <v>0.16500000000000001</v>
      </c>
      <c r="D601" s="96" t="s">
        <v>1148</v>
      </c>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customHeight="1">
      <c r="A602" s="2"/>
      <c r="B602" s="97" t="s">
        <v>181</v>
      </c>
      <c r="C602" s="95">
        <f t="shared" si="2"/>
        <v>3.44</v>
      </c>
      <c r="D602" s="96" t="s">
        <v>1148</v>
      </c>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customHeight="1">
      <c r="A603" s="2"/>
      <c r="B603" s="97" t="s">
        <v>182</v>
      </c>
      <c r="C603" s="95">
        <f t="shared" si="2"/>
        <v>1.431</v>
      </c>
      <c r="D603" s="96" t="s">
        <v>1148</v>
      </c>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customHeight="1">
      <c r="A604" s="2"/>
      <c r="B604" s="97" t="s">
        <v>183</v>
      </c>
      <c r="C604" s="95">
        <f t="shared" si="2"/>
        <v>0.38600000000000001</v>
      </c>
      <c r="D604" s="96" t="s">
        <v>1148</v>
      </c>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customHeight="1">
      <c r="A605" s="2"/>
      <c r="B605" s="97" t="s">
        <v>184</v>
      </c>
      <c r="C605" s="95">
        <f t="shared" si="2"/>
        <v>8.266</v>
      </c>
      <c r="D605" s="96" t="s">
        <v>1148</v>
      </c>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customHeight="1">
      <c r="A606" s="2"/>
      <c r="B606" s="97" t="s">
        <v>185</v>
      </c>
      <c r="C606" s="95">
        <f t="shared" si="2"/>
        <v>2.1469999999999998</v>
      </c>
      <c r="D606" s="96" t="s">
        <v>1148</v>
      </c>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customHeight="1">
      <c r="A607" s="2"/>
      <c r="B607" s="97" t="s">
        <v>186</v>
      </c>
      <c r="C607" s="95">
        <f t="shared" si="2"/>
        <v>0.14000000000000001</v>
      </c>
      <c r="D607" s="96" t="s">
        <v>1148</v>
      </c>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customHeight="1">
      <c r="A608" s="2"/>
      <c r="B608" s="97" t="s">
        <v>187</v>
      </c>
      <c r="C608" s="95">
        <f t="shared" si="2"/>
        <v>0</v>
      </c>
      <c r="D608" s="96" t="s">
        <v>1148</v>
      </c>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customHeight="1">
      <c r="A609" s="2"/>
      <c r="B609" s="97" t="s">
        <v>188</v>
      </c>
      <c r="C609" s="95">
        <f t="shared" si="2"/>
        <v>0</v>
      </c>
      <c r="D609" s="96" t="s">
        <v>1148</v>
      </c>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customHeight="1">
      <c r="A610" s="2"/>
      <c r="B610" s="97" t="s">
        <v>189</v>
      </c>
      <c r="C610" s="95">
        <f t="shared" si="2"/>
        <v>0</v>
      </c>
      <c r="D610" s="96" t="s">
        <v>1148</v>
      </c>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customHeight="1">
      <c r="A611" s="2"/>
      <c r="B611" s="97" t="s">
        <v>190</v>
      </c>
      <c r="C611" s="95">
        <f t="shared" si="2"/>
        <v>0.52600000000000002</v>
      </c>
      <c r="D611" s="96" t="s">
        <v>1148</v>
      </c>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customHeight="1">
      <c r="A612" s="2"/>
      <c r="B612" s="97" t="s">
        <v>191</v>
      </c>
      <c r="C612" s="95">
        <f t="shared" si="2"/>
        <v>1.077</v>
      </c>
      <c r="D612" s="96" t="s">
        <v>1148</v>
      </c>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customHeight="1" thickBot="1">
      <c r="A613" s="2"/>
      <c r="B613" s="385" t="s">
        <v>192</v>
      </c>
      <c r="C613" s="386">
        <f t="shared" si="2"/>
        <v>5.1999999999999998E-2</v>
      </c>
      <c r="D613" s="387" t="s">
        <v>1148</v>
      </c>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customHeight="1">
      <c r="A614" s="2"/>
      <c r="B614" s="2"/>
      <c r="C614" s="2"/>
      <c r="D614" s="29"/>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customHeight="1">
      <c r="A616" s="2"/>
      <c r="B616" s="929" t="s">
        <v>1032</v>
      </c>
      <c r="C616" s="930"/>
      <c r="D616" s="931"/>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customHeight="1">
      <c r="A617" s="2"/>
      <c r="B617" s="923"/>
      <c r="C617" s="924"/>
      <c r="D617" s="925"/>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customHeight="1">
      <c r="A618" s="2"/>
      <c r="B618" s="91" t="s">
        <v>284</v>
      </c>
      <c r="C618" s="101" t="s">
        <v>175</v>
      </c>
      <c r="D618" s="112" t="s">
        <v>176</v>
      </c>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customHeight="1">
      <c r="A619" s="2"/>
      <c r="B619" s="94" t="s">
        <v>177</v>
      </c>
      <c r="C619" s="95">
        <f>ROUND(C396+C539,3)</f>
        <v>1.228</v>
      </c>
      <c r="D619" s="96" t="s">
        <v>1148</v>
      </c>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customHeight="1">
      <c r="A620" s="2"/>
      <c r="B620" s="94" t="s">
        <v>179</v>
      </c>
      <c r="C620" s="95">
        <f t="shared" ref="C620:C633" si="3">ROUND(C397+C540,3)</f>
        <v>0.25700000000000001</v>
      </c>
      <c r="D620" s="96" t="s">
        <v>1148</v>
      </c>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customHeight="1">
      <c r="A621" s="2"/>
      <c r="B621" s="94" t="s">
        <v>180</v>
      </c>
      <c r="C621" s="95">
        <f t="shared" si="3"/>
        <v>0.13900000000000001</v>
      </c>
      <c r="D621" s="96" t="s">
        <v>1148</v>
      </c>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customHeight="1">
      <c r="A622" s="2"/>
      <c r="B622" s="97" t="s">
        <v>181</v>
      </c>
      <c r="C622" s="95">
        <f t="shared" si="3"/>
        <v>2.903</v>
      </c>
      <c r="D622" s="96" t="s">
        <v>1148</v>
      </c>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customHeight="1">
      <c r="A623" s="2"/>
      <c r="B623" s="97" t="s">
        <v>182</v>
      </c>
      <c r="C623" s="95">
        <f t="shared" si="3"/>
        <v>1.208</v>
      </c>
      <c r="D623" s="96" t="s">
        <v>1148</v>
      </c>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customHeight="1">
      <c r="A624" s="2"/>
      <c r="B624" s="97" t="s">
        <v>183</v>
      </c>
      <c r="C624" s="95">
        <f t="shared" si="3"/>
        <v>0.32500000000000001</v>
      </c>
      <c r="D624" s="96" t="s">
        <v>1148</v>
      </c>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customHeight="1">
      <c r="A625" s="2"/>
      <c r="B625" s="97" t="s">
        <v>184</v>
      </c>
      <c r="C625" s="95">
        <f t="shared" si="3"/>
        <v>6.976</v>
      </c>
      <c r="D625" s="96" t="s">
        <v>1148</v>
      </c>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customHeight="1">
      <c r="A626" s="2"/>
      <c r="B626" s="97" t="s">
        <v>185</v>
      </c>
      <c r="C626" s="95">
        <f t="shared" si="3"/>
        <v>1.8120000000000001</v>
      </c>
      <c r="D626" s="96" t="s">
        <v>1148</v>
      </c>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customHeight="1">
      <c r="A627" s="2"/>
      <c r="B627" s="97" t="s">
        <v>186</v>
      </c>
      <c r="C627" s="95">
        <f t="shared" si="3"/>
        <v>0.11700000000000001</v>
      </c>
      <c r="D627" s="96" t="s">
        <v>1148</v>
      </c>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customHeight="1">
      <c r="A628" s="2"/>
      <c r="B628" s="97" t="s">
        <v>187</v>
      </c>
      <c r="C628" s="95">
        <f t="shared" si="3"/>
        <v>14.249000000000001</v>
      </c>
      <c r="D628" s="96" t="s">
        <v>1148</v>
      </c>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customHeight="1">
      <c r="A629" s="2"/>
      <c r="B629" s="97" t="s">
        <v>188</v>
      </c>
      <c r="C629" s="95">
        <f t="shared" si="3"/>
        <v>24.844000000000001</v>
      </c>
      <c r="D629" s="96" t="s">
        <v>1148</v>
      </c>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customHeight="1">
      <c r="A630" s="2"/>
      <c r="B630" s="97" t="s">
        <v>189</v>
      </c>
      <c r="C630" s="95">
        <f t="shared" si="3"/>
        <v>3.23</v>
      </c>
      <c r="D630" s="96" t="s">
        <v>1148</v>
      </c>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customHeight="1">
      <c r="A631" s="2"/>
      <c r="B631" s="97" t="s">
        <v>190</v>
      </c>
      <c r="C631" s="95">
        <f t="shared" si="3"/>
        <v>0.44400000000000001</v>
      </c>
      <c r="D631" s="96" t="s">
        <v>1148</v>
      </c>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customHeight="1">
      <c r="A632" s="2"/>
      <c r="B632" s="97" t="s">
        <v>191</v>
      </c>
      <c r="C632" s="95">
        <f t="shared" si="3"/>
        <v>0.90900000000000003</v>
      </c>
      <c r="D632" s="96" t="s">
        <v>1148</v>
      </c>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customHeight="1" thickBot="1">
      <c r="A633" s="2"/>
      <c r="B633" s="385" t="s">
        <v>192</v>
      </c>
      <c r="C633" s="386">
        <f t="shared" si="3"/>
        <v>4.3999999999999997E-2</v>
      </c>
      <c r="D633" s="387" t="s">
        <v>1148</v>
      </c>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customHeight="1" thickBot="1">
      <c r="A634" s="2"/>
      <c r="B634" s="790" t="s">
        <v>285</v>
      </c>
      <c r="C634" s="791">
        <f>ROUND(SUM(C619:C633),3)</f>
        <v>58.685000000000002</v>
      </c>
      <c r="D634" s="792" t="s">
        <v>1148</v>
      </c>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customHeight="1" thickBot="1">
      <c r="A635" s="2"/>
      <c r="B635" s="451" t="s">
        <v>238</v>
      </c>
      <c r="C635" s="452" t="s">
        <v>286</v>
      </c>
      <c r="D635" s="453" t="s">
        <v>1150</v>
      </c>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customHeight="1">
      <c r="A638" s="2"/>
      <c r="B638" s="929" t="s">
        <v>1031</v>
      </c>
      <c r="C638" s="930"/>
      <c r="D638" s="931"/>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customHeight="1">
      <c r="A639" s="2"/>
      <c r="B639" s="923"/>
      <c r="C639" s="924"/>
      <c r="D639" s="925"/>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customHeight="1">
      <c r="A640" s="2"/>
      <c r="B640" s="91" t="s">
        <v>284</v>
      </c>
      <c r="C640" s="101" t="s">
        <v>175</v>
      </c>
      <c r="D640" s="112" t="s">
        <v>176</v>
      </c>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customHeight="1">
      <c r="A641" s="2"/>
      <c r="B641" s="94" t="s">
        <v>177</v>
      </c>
      <c r="C641" s="95">
        <f t="shared" ref="C641:C655" si="4">ROUND(SUM(C496+C599),3)</f>
        <v>1.454</v>
      </c>
      <c r="D641" s="96" t="s">
        <v>1148</v>
      </c>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customHeight="1">
      <c r="A642" s="2"/>
      <c r="B642" s="94" t="s">
        <v>179</v>
      </c>
      <c r="C642" s="95">
        <f t="shared" si="4"/>
        <v>0.30499999999999999</v>
      </c>
      <c r="D642" s="96" t="s">
        <v>1148</v>
      </c>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customHeight="1">
      <c r="A643" s="2"/>
      <c r="B643" s="94" t="s">
        <v>180</v>
      </c>
      <c r="C643" s="95">
        <f t="shared" si="4"/>
        <v>0.16500000000000001</v>
      </c>
      <c r="D643" s="96" t="s">
        <v>1148</v>
      </c>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customHeight="1">
      <c r="A644" s="2"/>
      <c r="B644" s="97" t="s">
        <v>181</v>
      </c>
      <c r="C644" s="95">
        <f t="shared" si="4"/>
        <v>3.44</v>
      </c>
      <c r="D644" s="96" t="s">
        <v>1148</v>
      </c>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customHeight="1">
      <c r="A645" s="2"/>
      <c r="B645" s="97" t="s">
        <v>182</v>
      </c>
      <c r="C645" s="95">
        <f t="shared" si="4"/>
        <v>1.431</v>
      </c>
      <c r="D645" s="96" t="s">
        <v>1148</v>
      </c>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customHeight="1">
      <c r="A646" s="2"/>
      <c r="B646" s="97" t="s">
        <v>183</v>
      </c>
      <c r="C646" s="95">
        <f t="shared" si="4"/>
        <v>0.38600000000000001</v>
      </c>
      <c r="D646" s="96" t="s">
        <v>1148</v>
      </c>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customHeight="1">
      <c r="A647" s="2"/>
      <c r="B647" s="97" t="s">
        <v>184</v>
      </c>
      <c r="C647" s="95">
        <f t="shared" si="4"/>
        <v>8.266</v>
      </c>
      <c r="D647" s="96" t="s">
        <v>1148</v>
      </c>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customHeight="1">
      <c r="A648" s="2"/>
      <c r="B648" s="97" t="s">
        <v>185</v>
      </c>
      <c r="C648" s="95">
        <f t="shared" si="4"/>
        <v>2.1469999999999998</v>
      </c>
      <c r="D648" s="96" t="s">
        <v>1148</v>
      </c>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customHeight="1">
      <c r="A649" s="2"/>
      <c r="B649" s="97" t="s">
        <v>186</v>
      </c>
      <c r="C649" s="95">
        <f t="shared" si="4"/>
        <v>0.14000000000000001</v>
      </c>
      <c r="D649" s="96" t="s">
        <v>1148</v>
      </c>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customHeight="1">
      <c r="A650" s="2"/>
      <c r="B650" s="97" t="s">
        <v>187</v>
      </c>
      <c r="C650" s="95">
        <f t="shared" si="4"/>
        <v>6.7249999999999996</v>
      </c>
      <c r="D650" s="96" t="s">
        <v>1148</v>
      </c>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customHeight="1">
      <c r="A651" s="2"/>
      <c r="B651" s="97" t="s">
        <v>188</v>
      </c>
      <c r="C651" s="95">
        <f t="shared" si="4"/>
        <v>11.727</v>
      </c>
      <c r="D651" s="96" t="s">
        <v>1148</v>
      </c>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customHeight="1">
      <c r="A652" s="2"/>
      <c r="B652" s="97" t="s">
        <v>189</v>
      </c>
      <c r="C652" s="95">
        <f t="shared" si="4"/>
        <v>1.524</v>
      </c>
      <c r="D652" s="96" t="s">
        <v>1148</v>
      </c>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customHeight="1">
      <c r="A653" s="2"/>
      <c r="B653" s="97" t="s">
        <v>190</v>
      </c>
      <c r="C653" s="95">
        <f t="shared" si="4"/>
        <v>0.52600000000000002</v>
      </c>
      <c r="D653" s="96" t="s">
        <v>1148</v>
      </c>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customHeight="1">
      <c r="A654" s="2"/>
      <c r="B654" s="97" t="s">
        <v>191</v>
      </c>
      <c r="C654" s="95">
        <f t="shared" si="4"/>
        <v>1.077</v>
      </c>
      <c r="D654" s="96" t="s">
        <v>1148</v>
      </c>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customHeight="1" thickBot="1">
      <c r="A655" s="2"/>
      <c r="B655" s="385" t="s">
        <v>192</v>
      </c>
      <c r="C655" s="386">
        <f t="shared" si="4"/>
        <v>5.1999999999999998E-2</v>
      </c>
      <c r="D655" s="387" t="s">
        <v>1148</v>
      </c>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customHeight="1" thickBot="1">
      <c r="A656" s="2"/>
      <c r="B656" s="793" t="s">
        <v>287</v>
      </c>
      <c r="C656" s="794">
        <f>ROUND(SUM(C641:C655),3)</f>
        <v>39.365000000000002</v>
      </c>
      <c r="D656" s="795" t="s">
        <v>1148</v>
      </c>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customHeight="1" thickBot="1">
      <c r="A657" s="2"/>
      <c r="B657" s="442" t="s">
        <v>238</v>
      </c>
      <c r="C657" s="443" t="s">
        <v>288</v>
      </c>
      <c r="D657" s="444" t="s">
        <v>1150</v>
      </c>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customHeight="1" thickBot="1">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c r="AA659" s="468"/>
    </row>
    <row r="660" spans="1:27" ht="15.75" customHeight="1" thickBot="1">
      <c r="A660" s="468"/>
      <c r="B660" s="938" t="s">
        <v>295</v>
      </c>
      <c r="C660" s="933"/>
      <c r="D660" s="934"/>
      <c r="E660" s="468"/>
      <c r="F660" s="468"/>
      <c r="G660" s="468"/>
      <c r="H660" s="468"/>
      <c r="I660" s="468"/>
      <c r="J660" s="468"/>
      <c r="K660" s="468"/>
      <c r="L660" s="468"/>
      <c r="M660" s="468"/>
      <c r="N660" s="468"/>
      <c r="O660" s="468"/>
      <c r="P660" s="468"/>
      <c r="Q660" s="468"/>
      <c r="R660" s="468"/>
      <c r="S660" s="468"/>
      <c r="T660" s="468"/>
      <c r="U660" s="468"/>
      <c r="V660" s="468"/>
      <c r="W660" s="468"/>
      <c r="X660" s="468"/>
      <c r="Y660" s="468"/>
      <c r="Z660" s="468"/>
      <c r="AA660" s="468"/>
    </row>
    <row r="661" spans="1:27" ht="15.75" customHeight="1" thickBot="1">
      <c r="A661" s="468"/>
      <c r="B661" s="416" t="s">
        <v>296</v>
      </c>
      <c r="C661" s="427" t="s">
        <v>176</v>
      </c>
      <c r="D661" s="428" t="s">
        <v>235</v>
      </c>
      <c r="E661" s="468"/>
      <c r="F661" s="468"/>
      <c r="G661" s="468"/>
      <c r="H661" s="468"/>
      <c r="I661" s="468"/>
      <c r="J661" s="468"/>
      <c r="K661" s="468"/>
      <c r="L661" s="468"/>
      <c r="M661" s="468"/>
      <c r="N661" s="468"/>
      <c r="O661" s="468"/>
      <c r="P661" s="468"/>
      <c r="Q661" s="468"/>
      <c r="R661" s="468"/>
      <c r="S661" s="468"/>
      <c r="T661" s="468"/>
      <c r="U661" s="468"/>
      <c r="V661" s="468"/>
      <c r="W661" s="468"/>
      <c r="X661" s="468"/>
      <c r="Y661" s="468"/>
      <c r="Z661" s="468"/>
      <c r="AA661" s="468"/>
    </row>
    <row r="662" spans="1:27" ht="15.75" customHeight="1">
      <c r="A662" s="468"/>
      <c r="B662" s="417" t="s">
        <v>177</v>
      </c>
      <c r="C662" s="418" t="s">
        <v>297</v>
      </c>
      <c r="D662" s="419">
        <f>ROUND((('Entradas Alimentação'!C36)*('Entradas Rebanho'!B21+'Entradas Rebanho'!C21)*('Entradas Alimentação'!G36)),5)</f>
        <v>625.65419999999995</v>
      </c>
      <c r="E662" s="576"/>
      <c r="F662" s="468"/>
      <c r="G662" s="468"/>
      <c r="H662" s="468"/>
      <c r="I662" s="468"/>
      <c r="J662" s="468"/>
      <c r="K662" s="468"/>
      <c r="L662" s="468"/>
      <c r="M662" s="468"/>
      <c r="N662" s="468"/>
      <c r="O662" s="468"/>
      <c r="P662" s="468"/>
      <c r="Q662" s="468"/>
      <c r="R662" s="468"/>
      <c r="S662" s="468"/>
      <c r="T662" s="468"/>
      <c r="U662" s="468"/>
      <c r="V662" s="468"/>
      <c r="W662" s="468"/>
      <c r="X662" s="468"/>
      <c r="Y662" s="468"/>
      <c r="Z662" s="468"/>
      <c r="AA662" s="468"/>
    </row>
    <row r="663" spans="1:27" ht="15.75" customHeight="1">
      <c r="A663" s="468"/>
      <c r="B663" s="420" t="s">
        <v>179</v>
      </c>
      <c r="C663" s="421" t="s">
        <v>297</v>
      </c>
      <c r="D663" s="422">
        <f>ROUND((('Entradas Alimentação'!I36*('Entradas Rebanho'!B22+'Entradas Rebanho'!C22)*'Entradas Alimentação'!M36)),5)</f>
        <v>125.13084000000001</v>
      </c>
      <c r="E663" s="577"/>
      <c r="F663" s="468"/>
      <c r="G663" s="468"/>
      <c r="H663" s="468"/>
      <c r="I663" s="468"/>
      <c r="J663" s="468"/>
      <c r="K663" s="468"/>
      <c r="L663" s="468"/>
      <c r="M663" s="468"/>
      <c r="N663" s="468"/>
      <c r="O663" s="468"/>
      <c r="P663" s="468"/>
      <c r="Q663" s="468"/>
      <c r="R663" s="468"/>
      <c r="S663" s="468"/>
      <c r="T663" s="468"/>
      <c r="U663" s="468"/>
      <c r="V663" s="468"/>
      <c r="W663" s="468"/>
      <c r="X663" s="468"/>
      <c r="Y663" s="468"/>
      <c r="Z663" s="468"/>
      <c r="AA663" s="468"/>
    </row>
    <row r="664" spans="1:27" ht="15.75" customHeight="1">
      <c r="A664" s="468"/>
      <c r="B664" s="420" t="s">
        <v>180</v>
      </c>
      <c r="C664" s="421" t="s">
        <v>297</v>
      </c>
      <c r="D664" s="422">
        <f>ROUND((('Entradas Alimentação'!O36*('Entradas Rebanho'!B23+'Entradas Rebanho'!C23)*'Entradas Alimentação'!S36)),5)</f>
        <v>62.565420000000003</v>
      </c>
      <c r="E664" s="578"/>
      <c r="F664" s="468"/>
      <c r="G664" s="468"/>
      <c r="H664" s="468"/>
      <c r="I664" s="468"/>
      <c r="J664" s="468"/>
      <c r="K664" s="468"/>
      <c r="L664" s="468"/>
      <c r="M664" s="468"/>
      <c r="N664" s="468"/>
      <c r="O664" s="468"/>
      <c r="P664" s="468"/>
      <c r="Q664" s="468"/>
      <c r="R664" s="468"/>
      <c r="S664" s="468"/>
      <c r="T664" s="468"/>
      <c r="U664" s="468"/>
      <c r="V664" s="468"/>
      <c r="W664" s="468"/>
      <c r="X664" s="468"/>
      <c r="Y664" s="468"/>
      <c r="Z664" s="468"/>
      <c r="AA664" s="468"/>
    </row>
    <row r="665" spans="1:27" ht="15.75" customHeight="1">
      <c r="A665" s="468"/>
      <c r="B665" s="423" t="s">
        <v>181</v>
      </c>
      <c r="C665" s="421" t="s">
        <v>297</v>
      </c>
      <c r="D665" s="422">
        <f>ROUND((('Entradas Alimentação'!U36*('Entradas Rebanho'!B24+'Entradas Rebanho'!C24)*'Entradas Alimentação'!Y36)),5)</f>
        <v>2502.6167999999998</v>
      </c>
      <c r="E665" s="468"/>
      <c r="F665" s="468"/>
      <c r="G665" s="468"/>
      <c r="H665" s="468"/>
      <c r="I665" s="468"/>
      <c r="J665" s="468"/>
      <c r="K665" s="468"/>
      <c r="L665" s="468"/>
      <c r="M665" s="468"/>
      <c r="N665" s="468"/>
      <c r="O665" s="468"/>
      <c r="P665" s="468"/>
      <c r="Q665" s="468"/>
      <c r="R665" s="468"/>
      <c r="S665" s="468"/>
      <c r="T665" s="468"/>
      <c r="U665" s="468"/>
      <c r="V665" s="468"/>
      <c r="W665" s="468"/>
      <c r="X665" s="468"/>
      <c r="Y665" s="468"/>
      <c r="Z665" s="468"/>
      <c r="AA665" s="468"/>
    </row>
    <row r="666" spans="1:27" ht="15.75" customHeight="1">
      <c r="A666" s="468"/>
      <c r="B666" s="423" t="s">
        <v>182</v>
      </c>
      <c r="C666" s="421" t="s">
        <v>297</v>
      </c>
      <c r="D666" s="422">
        <f>ROUND((('Entradas Alimentação'!AA36*('Entradas Rebanho'!B25+'Entradas Rebanho'!C25)*'Entradas Alimentação'!AE36)),5)</f>
        <v>1001.0467200000001</v>
      </c>
      <c r="E666" s="468"/>
      <c r="F666" s="468"/>
      <c r="G666" s="468"/>
      <c r="H666" s="468"/>
      <c r="I666" s="468"/>
      <c r="J666" s="468"/>
      <c r="K666" s="468"/>
      <c r="L666" s="468"/>
      <c r="M666" s="468"/>
      <c r="N666" s="468"/>
      <c r="O666" s="468"/>
      <c r="P666" s="468"/>
      <c r="Q666" s="468"/>
      <c r="R666" s="468"/>
      <c r="S666" s="468"/>
      <c r="T666" s="468"/>
      <c r="U666" s="468"/>
      <c r="V666" s="468"/>
      <c r="W666" s="468"/>
      <c r="X666" s="468"/>
      <c r="Y666" s="468"/>
      <c r="Z666" s="468"/>
      <c r="AA666" s="468"/>
    </row>
    <row r="667" spans="1:27" ht="15.75" customHeight="1">
      <c r="A667" s="468"/>
      <c r="B667" s="423" t="s">
        <v>183</v>
      </c>
      <c r="C667" s="421" t="s">
        <v>297</v>
      </c>
      <c r="D667" s="422">
        <f>ROUND((('Entradas Alimentação'!AG36*('Entradas Rebanho'!B26+'Entradas Rebanho'!C26)*'Entradas Alimentação'!AK36)),5)</f>
        <v>250.26168000000001</v>
      </c>
      <c r="E667" s="468"/>
      <c r="F667" s="468"/>
      <c r="G667" s="468"/>
      <c r="H667" s="468"/>
      <c r="I667" s="468"/>
      <c r="J667" s="468"/>
      <c r="K667" s="468"/>
      <c r="L667" s="468"/>
      <c r="M667" s="468"/>
      <c r="N667" s="468"/>
      <c r="O667" s="468"/>
      <c r="P667" s="468"/>
      <c r="Q667" s="468"/>
      <c r="R667" s="468"/>
      <c r="S667" s="468"/>
      <c r="T667" s="468"/>
      <c r="U667" s="468"/>
      <c r="V667" s="468"/>
      <c r="W667" s="468"/>
      <c r="X667" s="468"/>
      <c r="Y667" s="468"/>
      <c r="Z667" s="468"/>
      <c r="AA667" s="468"/>
    </row>
    <row r="668" spans="1:27" ht="15.75" customHeight="1">
      <c r="A668" s="468"/>
      <c r="B668" s="423" t="s">
        <v>184</v>
      </c>
      <c r="C668" s="421" t="s">
        <v>297</v>
      </c>
      <c r="D668" s="422">
        <f>ROUND((('Entradas Alimentação'!AM36*('Entradas Rebanho'!B27+'Entradas Rebanho'!C27)*'Entradas Alimentação'!AQ36)),5)</f>
        <v>5038.6895999999997</v>
      </c>
      <c r="E668" s="468"/>
      <c r="F668" s="468"/>
      <c r="G668" s="468"/>
      <c r="H668" s="468"/>
      <c r="I668" s="468"/>
      <c r="J668" s="468"/>
      <c r="K668" s="468"/>
      <c r="L668" s="468"/>
      <c r="M668" s="468"/>
      <c r="N668" s="468"/>
      <c r="O668" s="468"/>
      <c r="P668" s="468"/>
      <c r="Q668" s="468"/>
      <c r="R668" s="468"/>
      <c r="S668" s="468"/>
      <c r="T668" s="468"/>
      <c r="U668" s="468"/>
      <c r="V668" s="468"/>
      <c r="W668" s="468"/>
      <c r="X668" s="468"/>
      <c r="Y668" s="468"/>
      <c r="Z668" s="468"/>
      <c r="AA668" s="468"/>
    </row>
    <row r="669" spans="1:27" ht="15.75" customHeight="1">
      <c r="A669" s="468"/>
      <c r="B669" s="423" t="s">
        <v>185</v>
      </c>
      <c r="C669" s="421" t="s">
        <v>297</v>
      </c>
      <c r="D669" s="422">
        <f>ROUND((('Entradas Alimentação'!AS36*('Entradas Rebanho'!B28+'Entradas Rebanho'!C28)*'Entradas Alimentação'!AW36)),5)</f>
        <v>1259.6723999999999</v>
      </c>
      <c r="E669" s="468"/>
      <c r="F669" s="468"/>
      <c r="G669" s="468"/>
      <c r="H669" s="468"/>
      <c r="I669" s="468"/>
      <c r="J669" s="468"/>
      <c r="K669" s="468"/>
      <c r="L669" s="468"/>
      <c r="M669" s="468"/>
      <c r="N669" s="468"/>
      <c r="O669" s="468"/>
      <c r="P669" s="468"/>
      <c r="Q669" s="468"/>
      <c r="R669" s="468"/>
      <c r="S669" s="468"/>
      <c r="T669" s="468"/>
      <c r="U669" s="468"/>
      <c r="V669" s="468"/>
      <c r="W669" s="468"/>
      <c r="X669" s="468"/>
      <c r="Y669" s="468"/>
      <c r="Z669" s="468"/>
      <c r="AA669" s="468"/>
    </row>
    <row r="670" spans="1:27" ht="15.75" customHeight="1">
      <c r="A670" s="468"/>
      <c r="B670" s="423" t="s">
        <v>186</v>
      </c>
      <c r="C670" s="421" t="s">
        <v>297</v>
      </c>
      <c r="D670" s="422">
        <f>ROUND((('Entradas Alimentação'!AY36*('Entradas Rebanho'!B29+'Entradas Rebanho'!C29)*'Entradas Alimentação'!BC36)),5)</f>
        <v>75.580340000000007</v>
      </c>
      <c r="E670" s="468"/>
      <c r="F670" s="468"/>
      <c r="G670" s="468"/>
      <c r="H670" s="468"/>
      <c r="I670" s="468"/>
      <c r="J670" s="468"/>
      <c r="K670" s="468"/>
      <c r="L670" s="468"/>
      <c r="M670" s="468"/>
      <c r="N670" s="468"/>
      <c r="O670" s="468"/>
      <c r="P670" s="468"/>
      <c r="Q670" s="468"/>
      <c r="R670" s="468"/>
      <c r="S670" s="468"/>
      <c r="T670" s="468"/>
      <c r="U670" s="468"/>
      <c r="V670" s="468"/>
      <c r="W670" s="468"/>
      <c r="X670" s="468"/>
      <c r="Y670" s="468"/>
      <c r="Z670" s="468"/>
      <c r="AA670" s="468"/>
    </row>
    <row r="671" spans="1:27" ht="15.75" customHeight="1">
      <c r="A671" s="468"/>
      <c r="B671" s="423" t="s">
        <v>187</v>
      </c>
      <c r="C671" s="421" t="s">
        <v>297</v>
      </c>
      <c r="D671" s="422">
        <f>ROUND((('Entradas Alimentação'!BE36*('Entradas Rebanho'!B30+'Entradas Rebanho'!C30)*'Entradas Alimentação'!BI36)),5)</f>
        <v>3804.1050300000002</v>
      </c>
      <c r="E671" s="468"/>
      <c r="F671" s="468"/>
      <c r="G671" s="468"/>
      <c r="H671" s="468"/>
      <c r="I671" s="468"/>
      <c r="J671" s="468"/>
      <c r="K671" s="468"/>
      <c r="L671" s="468"/>
      <c r="M671" s="468"/>
      <c r="N671" s="468"/>
      <c r="O671" s="468"/>
      <c r="P671" s="468"/>
      <c r="Q671" s="468"/>
      <c r="R671" s="468"/>
      <c r="S671" s="468"/>
      <c r="T671" s="468"/>
      <c r="U671" s="468"/>
      <c r="V671" s="468"/>
      <c r="W671" s="468"/>
      <c r="X671" s="468"/>
      <c r="Y671" s="468"/>
      <c r="Z671" s="468"/>
      <c r="AA671" s="468"/>
    </row>
    <row r="672" spans="1:27" ht="15.75" customHeight="1">
      <c r="A672" s="468"/>
      <c r="B672" s="423" t="s">
        <v>188</v>
      </c>
      <c r="C672" s="421" t="s">
        <v>297</v>
      </c>
      <c r="D672" s="422">
        <f>ROUND((('Entradas Alimentação'!BK36*('Entradas Rebanho'!B31+'Entradas Rebanho'!C31)*'Entradas Alimentação'!BO36)),5)</f>
        <v>6340.1750499999998</v>
      </c>
      <c r="E672" s="468"/>
      <c r="F672" s="468"/>
      <c r="G672" s="468"/>
      <c r="H672" s="468"/>
      <c r="I672" s="468"/>
      <c r="J672" s="468"/>
      <c r="K672" s="468"/>
      <c r="L672" s="468"/>
      <c r="M672" s="468"/>
      <c r="N672" s="468"/>
      <c r="O672" s="468"/>
      <c r="P672" s="468"/>
      <c r="Q672" s="468"/>
      <c r="R672" s="468"/>
      <c r="S672" s="468"/>
      <c r="T672" s="468"/>
      <c r="U672" s="468"/>
      <c r="V672" s="468"/>
      <c r="W672" s="468"/>
      <c r="X672" s="468"/>
      <c r="Y672" s="468"/>
      <c r="Z672" s="468"/>
      <c r="AA672" s="468"/>
    </row>
    <row r="673" spans="1:27" ht="15.75" customHeight="1">
      <c r="A673" s="468"/>
      <c r="B673" s="423" t="s">
        <v>189</v>
      </c>
      <c r="C673" s="421" t="s">
        <v>297</v>
      </c>
      <c r="D673" s="422">
        <f>ROUND((('Entradas Alimentação'!BQ36*('Entradas Rebanho'!B32+'Entradas Rebanho'!C32)*'Entradas Alimentação'!BU36)),5)</f>
        <v>760.82101</v>
      </c>
      <c r="E673" s="468"/>
      <c r="F673" s="468"/>
      <c r="G673" s="468"/>
      <c r="H673" s="468"/>
      <c r="I673" s="468"/>
      <c r="J673" s="693"/>
      <c r="K673" s="468"/>
      <c r="L673" s="468"/>
      <c r="M673" s="468"/>
      <c r="N673" s="468"/>
      <c r="O673" s="468"/>
      <c r="P673" s="468"/>
      <c r="Q673" s="468"/>
      <c r="R673" s="468"/>
      <c r="S673" s="468"/>
      <c r="T673" s="468"/>
      <c r="U673" s="468"/>
      <c r="V673" s="468"/>
      <c r="W673" s="468"/>
      <c r="X673" s="468"/>
      <c r="Y673" s="468"/>
      <c r="Z673" s="468"/>
      <c r="AA673" s="468"/>
    </row>
    <row r="674" spans="1:27" ht="15.75" customHeight="1">
      <c r="A674" s="468"/>
      <c r="B674" s="423" t="s">
        <v>190</v>
      </c>
      <c r="C674" s="421" t="s">
        <v>297</v>
      </c>
      <c r="D674" s="422">
        <f>ROUND((('Entradas Alimentação'!BW36*('Entradas Rebanho'!B33+'Entradas Rebanho'!C33)*'Entradas Alimentação'!CA36)),5)</f>
        <v>251.0967</v>
      </c>
      <c r="E674" s="468"/>
      <c r="F674" s="468"/>
      <c r="G674" s="468"/>
      <c r="H674" s="468"/>
      <c r="I674" s="468"/>
      <c r="J674" s="694"/>
      <c r="K674" s="468"/>
      <c r="L674" s="468"/>
      <c r="M674" s="468"/>
      <c r="N674" s="468"/>
      <c r="O674" s="468"/>
      <c r="P674" s="468"/>
      <c r="Q674" s="468"/>
      <c r="R674" s="468"/>
      <c r="S674" s="468"/>
      <c r="T674" s="468"/>
      <c r="U674" s="468"/>
      <c r="V674" s="468"/>
      <c r="W674" s="468"/>
      <c r="X674" s="468"/>
      <c r="Y674" s="468"/>
      <c r="Z674" s="468"/>
      <c r="AA674" s="468"/>
    </row>
    <row r="675" spans="1:27" ht="15.75" customHeight="1">
      <c r="A675" s="468"/>
      <c r="B675" s="423" t="s">
        <v>191</v>
      </c>
      <c r="C675" s="421" t="s">
        <v>297</v>
      </c>
      <c r="D675" s="422">
        <f>ROUND((('Entradas Alimentação'!CC36*('Entradas Rebanho'!B34+'Entradas Rebanho'!C34)*'Entradas Alimentação'!CG36)),5)</f>
        <v>376.64506</v>
      </c>
      <c r="E675" s="468"/>
      <c r="F675" s="468"/>
      <c r="G675" s="468"/>
      <c r="H675" s="468"/>
      <c r="I675" s="468"/>
      <c r="J675" s="693"/>
      <c r="K675" s="468"/>
      <c r="L675" s="468"/>
      <c r="M675" s="468"/>
      <c r="N675" s="468"/>
      <c r="O675" s="468"/>
      <c r="P675" s="468"/>
      <c r="Q675" s="468"/>
      <c r="R675" s="468"/>
      <c r="S675" s="468"/>
      <c r="T675" s="468"/>
      <c r="U675" s="468"/>
      <c r="V675" s="468"/>
      <c r="W675" s="468"/>
      <c r="X675" s="468"/>
      <c r="Y675" s="468"/>
      <c r="Z675" s="468"/>
      <c r="AA675" s="468"/>
    </row>
    <row r="676" spans="1:27" ht="15.75" customHeight="1" thickBot="1">
      <c r="A676" s="468"/>
      <c r="B676" s="424" t="s">
        <v>192</v>
      </c>
      <c r="C676" s="425" t="s">
        <v>297</v>
      </c>
      <c r="D676" s="426">
        <f>ROUND((('Entradas Alimentação'!CI36*('Entradas Rebanho'!B35+'Entradas Rebanho'!C35)*'Entradas Alimentação'!CM36)),5)</f>
        <v>12.76402</v>
      </c>
      <c r="E676" s="468"/>
      <c r="F676" s="468"/>
      <c r="G676" s="468"/>
      <c r="H676" s="468"/>
      <c r="I676" s="468"/>
      <c r="J676" s="694"/>
      <c r="K676" s="468"/>
      <c r="L676" s="468"/>
      <c r="M676" s="468"/>
      <c r="N676" s="468"/>
      <c r="O676" s="468"/>
      <c r="P676" s="468"/>
      <c r="Q676" s="468"/>
      <c r="R676" s="468"/>
      <c r="S676" s="468"/>
      <c r="T676" s="468"/>
      <c r="U676" s="468"/>
      <c r="V676" s="468"/>
      <c r="W676" s="468"/>
      <c r="X676" s="468"/>
      <c r="Y676" s="468"/>
      <c r="Z676" s="468"/>
      <c r="AA676" s="468"/>
    </row>
    <row r="677" spans="1:27" ht="15.75" customHeight="1" thickBot="1">
      <c r="A677" s="468"/>
      <c r="B677" s="445" t="s">
        <v>294</v>
      </c>
      <c r="C677" s="446" t="s">
        <v>1151</v>
      </c>
      <c r="D677" s="447">
        <f>ROUND(SUM(D662:D676)*'Entradas Rebanho'!D10,5)</f>
        <v>697091.57097</v>
      </c>
      <c r="E677" s="468"/>
      <c r="F677" s="468"/>
      <c r="G677" s="468"/>
      <c r="H677" s="468"/>
      <c r="I677" s="468"/>
      <c r="J677" s="695"/>
      <c r="K677" s="468"/>
      <c r="L677" s="468"/>
      <c r="M677" s="468"/>
      <c r="N677" s="468"/>
      <c r="O677" s="468"/>
      <c r="P677" s="468"/>
      <c r="Q677" s="468"/>
      <c r="R677" s="468"/>
      <c r="S677" s="468"/>
      <c r="T677" s="468"/>
      <c r="U677" s="468"/>
      <c r="V677" s="468"/>
      <c r="W677" s="468"/>
      <c r="X677" s="468"/>
      <c r="Y677" s="468"/>
      <c r="Z677" s="468"/>
      <c r="AA677" s="468"/>
    </row>
    <row r="678" spans="1:27" ht="15.75" customHeight="1" thickBot="1">
      <c r="A678" s="468"/>
      <c r="B678" s="932" t="s">
        <v>60</v>
      </c>
      <c r="C678" s="933"/>
      <c r="D678" s="934"/>
      <c r="E678" s="468"/>
      <c r="F678" s="468"/>
      <c r="G678" s="468"/>
      <c r="H678" s="468"/>
      <c r="I678" s="468"/>
      <c r="J678" s="468"/>
      <c r="K678" s="468"/>
      <c r="L678" s="468"/>
      <c r="M678" s="468"/>
      <c r="N678" s="468"/>
      <c r="O678" s="468"/>
      <c r="P678" s="468"/>
      <c r="Q678" s="468"/>
      <c r="R678" s="468"/>
      <c r="S678" s="468"/>
      <c r="T678" s="468"/>
      <c r="U678" s="468"/>
      <c r="V678" s="468"/>
      <c r="W678" s="468"/>
      <c r="X678" s="468"/>
      <c r="Y678" s="468"/>
      <c r="Z678" s="468"/>
      <c r="AA678" s="468"/>
    </row>
    <row r="679" spans="1:27" ht="15.75" customHeight="1" thickBot="1">
      <c r="A679" s="468"/>
      <c r="B679" s="448" t="str">
        <f>'Entradas Alimentação'!CO3</f>
        <v>Mês</v>
      </c>
      <c r="C679" s="449" t="s">
        <v>299</v>
      </c>
      <c r="D679" s="450">
        <f>ROUND('Entradas Alimentação'!CO36*'Entradas Alimentação'!CQ36,5)</f>
        <v>0</v>
      </c>
      <c r="E679" s="468"/>
      <c r="F679" s="468"/>
      <c r="G679" s="468"/>
      <c r="H679" s="468"/>
      <c r="I679" s="468"/>
      <c r="J679" s="468"/>
      <c r="K679" s="468"/>
      <c r="L679" s="468"/>
      <c r="M679" s="468"/>
      <c r="N679" s="468"/>
      <c r="O679" s="468"/>
      <c r="P679" s="468"/>
      <c r="Q679" s="468"/>
      <c r="R679" s="468"/>
      <c r="S679" s="468"/>
      <c r="T679" s="468"/>
      <c r="U679" s="468"/>
      <c r="V679" s="468"/>
      <c r="W679" s="468"/>
      <c r="X679" s="468"/>
      <c r="Y679" s="468"/>
      <c r="Z679" s="468"/>
      <c r="AA679" s="468"/>
    </row>
    <row r="680" spans="1:27" ht="15.75" customHeight="1" thickBot="1">
      <c r="A680" s="468"/>
      <c r="B680" s="574"/>
      <c r="C680" s="574" t="s">
        <v>298</v>
      </c>
      <c r="D680" s="575">
        <f>ROUND(IF('Entradas Alimentação'!$CO$3="MÊS",D679*12,IF('Entradas Alimentação'!$CO$3="DIA",D679*365,IF('Entradas Alimentação'!$CO$3="ANO",D679))),5)</f>
        <v>0</v>
      </c>
      <c r="E680" s="468"/>
      <c r="F680" s="468"/>
      <c r="G680" s="468"/>
      <c r="H680" s="468"/>
      <c r="I680" s="468"/>
      <c r="J680" s="468"/>
      <c r="K680" s="468"/>
      <c r="L680" s="468"/>
      <c r="M680" s="468"/>
      <c r="N680" s="468"/>
      <c r="O680" s="468"/>
      <c r="P680" s="468"/>
      <c r="Q680" s="468"/>
      <c r="R680" s="468"/>
      <c r="S680" s="468"/>
      <c r="T680" s="468"/>
      <c r="U680" s="468"/>
      <c r="V680" s="468"/>
      <c r="W680" s="468"/>
      <c r="X680" s="468"/>
      <c r="Y680" s="468"/>
      <c r="Z680" s="468"/>
      <c r="AA680" s="468"/>
    </row>
    <row r="681" spans="1:27" ht="15.75" customHeight="1">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c r="Y681" s="468"/>
      <c r="Z681" s="468"/>
      <c r="AA681" s="468"/>
    </row>
    <row r="682" spans="1:27" ht="15.75" customHeight="1" thickBo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34.5" customHeight="1" thickBot="1">
      <c r="A683" s="2"/>
      <c r="B683" s="935" t="s">
        <v>289</v>
      </c>
      <c r="C683" s="936"/>
      <c r="D683" s="936"/>
      <c r="E683" s="937"/>
      <c r="F683" s="2"/>
      <c r="G683" s="2">
        <v>1</v>
      </c>
      <c r="H683" s="459" t="s">
        <v>56</v>
      </c>
      <c r="I683" s="460" t="s">
        <v>290</v>
      </c>
      <c r="J683" s="460" t="s">
        <v>130</v>
      </c>
      <c r="K683" s="460" t="s">
        <v>133</v>
      </c>
      <c r="L683" s="460" t="s">
        <v>1099</v>
      </c>
      <c r="M683" s="460" t="s">
        <v>1100</v>
      </c>
      <c r="N683" s="460" t="s">
        <v>1101</v>
      </c>
      <c r="O683" s="460" t="s">
        <v>1102</v>
      </c>
      <c r="P683" s="461" t="s">
        <v>1103</v>
      </c>
      <c r="Q683" s="2"/>
      <c r="R683" s="2"/>
      <c r="S683" s="2"/>
      <c r="T683" s="2"/>
      <c r="U683" s="2"/>
      <c r="V683" s="2"/>
      <c r="W683" s="2"/>
      <c r="X683" s="2"/>
      <c r="Y683" s="2"/>
      <c r="Z683" s="2"/>
      <c r="AA683" s="2"/>
    </row>
    <row r="684" spans="1:27" ht="32.25" customHeight="1" thickBot="1">
      <c r="A684" s="2"/>
      <c r="B684" s="32" t="s">
        <v>291</v>
      </c>
      <c r="C684" s="548" t="s">
        <v>292</v>
      </c>
      <c r="D684" s="549" t="s">
        <v>293</v>
      </c>
      <c r="E684" s="550"/>
      <c r="F684" s="2"/>
      <c r="G684" s="2"/>
      <c r="H684" s="462">
        <f>(IF(AND('Entradas Rebanho'!$D$93="Vegetação natural",'Entradas Rebanho'!$E$93="Vegetação natural"),Default!$C$292,0))</f>
        <v>0</v>
      </c>
      <c r="I684" s="463">
        <f>(IF(AND('Entradas Rebanho'!$D$93="Pastagem degradada",'Entradas Rebanho'!$E$93="Vegetação natural"),Default!$C$293,0))</f>
        <v>0</v>
      </c>
      <c r="J684" s="463">
        <f>(IF(AND('Entradas Rebanho'!$D$93="Pastagem média produtividade",'Entradas Rebanho'!$E$93="Vegetação natural"),Default!$C$294,0))</f>
        <v>0</v>
      </c>
      <c r="K684" s="463">
        <f>(IF(AND('Entradas Rebanho'!$D$93="Pastagem alta produtividade",'Entradas Rebanho'!$E$93="Vegetação natural"),Default!$C$295,0))</f>
        <v>0</v>
      </c>
      <c r="L684" s="463">
        <f>(IF(AND('Entradas Rebanho'!$D$93="Cultura para ensilagem (1 safra e pousio) - Plantio convencional",'Entradas Rebanho'!$E$93="Vegetação natural"),Default!$C$296,0))</f>
        <v>0</v>
      </c>
      <c r="M684" s="463">
        <f>(IF(AND('Entradas Rebanho'!$D$93="Cultura para ensilagem (1 safra e pousio) - Plantio direto",'Entradas Rebanho'!$E$93="Vegetação natural"),Default!$C$297,0))</f>
        <v>0</v>
      </c>
      <c r="N684" s="463">
        <f>(IF(AND('Entradas Rebanho'!$D$93="Cultura para ensilagem (2 safras) - Plantio convencional",'Entradas Rebanho'!$E$93="Vegetação natural"),Default!$C$298,0))</f>
        <v>0</v>
      </c>
      <c r="O684" s="463">
        <f>(IF(AND('Entradas Rebanho'!$D$93="Cultura para ensilagem (2 safras) - Plantio direto",'Entradas Rebanho'!$E$93="Vegetação natural"),Default!$C$299,0))</f>
        <v>0</v>
      </c>
      <c r="P684" s="464">
        <f>(IF(AND('Entradas Rebanho'!$D$93="Sistemas integrados; Rotação de culturas com plantio direto; Plantas de cobertura na entresafra",'Entradas Rebanho'!$E$93="Vegetação natural"),Default!$C$300,0))</f>
        <v>0</v>
      </c>
      <c r="Q684" s="2"/>
      <c r="R684" s="2"/>
      <c r="S684" s="2"/>
      <c r="T684" s="2"/>
      <c r="U684" s="2"/>
      <c r="V684" s="2"/>
      <c r="W684" s="2"/>
      <c r="X684" s="2"/>
      <c r="Y684" s="2"/>
      <c r="Z684" s="2"/>
      <c r="AA684" s="2"/>
    </row>
    <row r="685" spans="1:27" ht="15.75" customHeight="1" thickBot="1">
      <c r="A685" s="2"/>
      <c r="B685" s="545" t="str">
        <f>'Entradas Rebanho'!A93</f>
        <v>Área 1</v>
      </c>
      <c r="C685" s="546">
        <f>ROUND((('Entradas Rebanho'!C93*(ROUND(SUM(H684:P692),3))-'Entradas Rebanho'!C93)/20),3)</f>
        <v>0.499</v>
      </c>
      <c r="D685" s="584">
        <f>ROUND(C685,3)*'Entradas Rebanho'!B93</f>
        <v>24.95</v>
      </c>
      <c r="E685" s="547">
        <f t="shared" ref="E685:E690" si="5">ROUND(D685*(44/12),3)</f>
        <v>91.483000000000004</v>
      </c>
      <c r="F685" s="2"/>
      <c r="G685" s="2"/>
      <c r="H685" s="462">
        <f>(IF(AND('Entradas Rebanho'!$D$93="Vegetação natural",'Entradas Rebanho'!$E$93="Pastagem degradada"),Default!$D$292,0))</f>
        <v>0</v>
      </c>
      <c r="I685" s="463">
        <f>(IF(AND('Entradas Rebanho'!$D$93="Pastagem degradada",'Entradas Rebanho'!$E$93="Pastagem degradada"),Default!$D$293,0))</f>
        <v>0</v>
      </c>
      <c r="J685" s="463">
        <f>(IF(AND('Entradas Rebanho'!$D$93="Pastagem média produtividade",'Entradas Rebanho'!$E$93="Pastagem degradada"),Default!$D$294,0))</f>
        <v>0</v>
      </c>
      <c r="K685" s="463">
        <f>(IF(AND('Entradas Rebanho'!$D$93="Pastagem alta produtividade",'Entradas Rebanho'!$E$93="Pastagem degradada"),Default!$D$295,0))</f>
        <v>0</v>
      </c>
      <c r="L685" s="463">
        <f>(IF(AND('Entradas Rebanho'!$D$93="Cultura para ensilagem (1 safra e pousio) - Plantio convencional",'Entradas Rebanho'!$E$93="Pastagem degradada"),Default!$D$296,0))</f>
        <v>0</v>
      </c>
      <c r="M685" s="463">
        <f>(IF(AND('Entradas Rebanho'!$D$93="Cultura para ensilagem (1 safra e pousio) - Plantio direto",'Entradas Rebanho'!$E$93="Pastagem degradada"),Default!$D$297,0))</f>
        <v>0</v>
      </c>
      <c r="N685" s="463">
        <f>(IF(AND('Entradas Rebanho'!$D$93="Cultura para ensilagem (2 safras) - Plantio convencional",'Entradas Rebanho'!$E$93="Pastagem degradada"),Default!$D$298,0))</f>
        <v>0</v>
      </c>
      <c r="O685" s="463">
        <f>(IF(AND('Entradas Rebanho'!$D$93="Cultura para ensilagem (2 safras) - Plantio direto",'Entradas Rebanho'!$E$93="Pastagem degradada"),Default!$D$299,0))</f>
        <v>0</v>
      </c>
      <c r="P685" s="464">
        <f>(IF(AND('Entradas Rebanho'!$D$93="Sistemas integrados; Rotação de culturas com plantio direto; Plantas de cobertura na entresafra",'Entradas Rebanho'!$E$93="Pastagem degradada"),Default!$D$300,0))</f>
        <v>0</v>
      </c>
      <c r="Q685" s="2"/>
      <c r="R685" s="2"/>
      <c r="S685" s="2"/>
      <c r="T685" s="2"/>
      <c r="U685" s="2"/>
      <c r="V685" s="2"/>
      <c r="W685" s="2"/>
      <c r="X685" s="2"/>
      <c r="Y685" s="2"/>
      <c r="Z685" s="2"/>
      <c r="AA685" s="2"/>
    </row>
    <row r="686" spans="1:27" ht="15.75" customHeight="1" thickBot="1">
      <c r="A686" s="2"/>
      <c r="B686" s="552" t="str">
        <f>'Entradas Rebanho'!A94</f>
        <v>Área 2</v>
      </c>
      <c r="C686" s="553">
        <f>ROUND((('Entradas Rebanho'!C94*(ROUND(SUM(H695:P703),3))-'Entradas Rebanho'!C94)/20),3)</f>
        <v>0.33400000000000002</v>
      </c>
      <c r="D686" s="585">
        <f>ROUND(C686,3)*'Entradas Rebanho'!B94</f>
        <v>10.020000000000001</v>
      </c>
      <c r="E686" s="554">
        <f t="shared" si="5"/>
        <v>36.74</v>
      </c>
      <c r="F686" s="2"/>
      <c r="G686" s="2"/>
      <c r="H686" s="462">
        <f>(IF(AND('Entradas Rebanho'!$D$93="Vegetação natural",'Entradas Rebanho'!$E$93="Pastagem média produtividade"),Default!$E$292,0))</f>
        <v>0</v>
      </c>
      <c r="I686" s="463">
        <f>(IF(AND('Entradas Rebanho'!$D$93="Pastagem degradada",'Entradas Rebanho'!$E$93="Pastagem média produtividade"),Default!$E$293,0))</f>
        <v>0</v>
      </c>
      <c r="J686" s="463">
        <f>(IF(AND('Entradas Rebanho'!$D$93="Pastagem média produtividade",'Entradas Rebanho'!$E$93="Pastagem média produtividade"),Default!$E$294,0))</f>
        <v>0</v>
      </c>
      <c r="K686" s="463">
        <f>(IF(AND('Entradas Rebanho'!$D$93="Pastagem alta produtividade",'Entradas Rebanho'!$E$93="Pastagem média produtividade"),Default!$E$295,0))</f>
        <v>0</v>
      </c>
      <c r="L686" s="463">
        <f>(IF(AND('Entradas Rebanho'!$D$93="Cultura para ensilagem (1 safra e pousio) - Plantio convencional",'Entradas Rebanho'!$E$93="Pastagem média produtividade"),Default!$E$296,0))</f>
        <v>0</v>
      </c>
      <c r="M686" s="463">
        <f>(IF(AND('Entradas Rebanho'!$D$93="Cultura para ensilagem (1 safra e pousio) - Plantio direto",'Entradas Rebanho'!$E$93="Pastagem média produtividade"),Default!$E$297,0))</f>
        <v>0</v>
      </c>
      <c r="N686" s="463">
        <f>(IF(AND('Entradas Rebanho'!$D$93="Cultura para ensilagem (2 safras) - Plantio convencional",'Entradas Rebanho'!$E$93="Pastagem média produtividade"),Default!$E$298,0))</f>
        <v>0</v>
      </c>
      <c r="O686" s="463">
        <f>(IF(AND('Entradas Rebanho'!$D$93="Cultura para ensilagem (2 safras) - Plantio direto",'Entradas Rebanho'!$E$93="Pastagem média produtividade"),Default!$E$299,0))</f>
        <v>0</v>
      </c>
      <c r="P686" s="464">
        <f>(IF(AND('Entradas Rebanho'!$D$93="Sistemas integrados; Rotação de culturas com plantio direto; Plantas de cobertura na entresafra",'Entradas Rebanho'!$E$93="Pastagem média produtividade"),Default!$E$300,0))</f>
        <v>0</v>
      </c>
      <c r="Q686" s="2"/>
      <c r="R686" s="2"/>
      <c r="S686" s="2"/>
      <c r="T686" s="2"/>
      <c r="U686" s="2"/>
      <c r="V686" s="2"/>
      <c r="W686" s="2"/>
      <c r="X686" s="2"/>
      <c r="Y686" s="2"/>
      <c r="Z686" s="2"/>
      <c r="AA686" s="2"/>
    </row>
    <row r="687" spans="1:27" ht="15.75" customHeight="1" thickBot="1">
      <c r="A687" s="2"/>
      <c r="B687" s="545">
        <f>'Entradas Rebanho'!A95</f>
        <v>0</v>
      </c>
      <c r="C687" s="546">
        <f>ROUND((('Entradas Rebanho'!C95*(ROUND(SUM(H706:P714),3))-'Entradas Rebanho'!C95)/20),3)</f>
        <v>0</v>
      </c>
      <c r="D687" s="584">
        <f>ROUND(C687,3)*'Entradas Rebanho'!B95</f>
        <v>0</v>
      </c>
      <c r="E687" s="547">
        <f t="shared" si="5"/>
        <v>0</v>
      </c>
      <c r="F687" s="2"/>
      <c r="G687" s="2"/>
      <c r="H687" s="462">
        <f>(IF(AND('Entradas Rebanho'!$D$93="Vegetação natural",'Entradas Rebanho'!$E$93="Pastagem alta produtividade"),Default!$F$292,0))</f>
        <v>0</v>
      </c>
      <c r="I687" s="463">
        <f>(IF(AND('Entradas Rebanho'!$D$93="Pastagem degradada",'Entradas Rebanho'!$E$93="Pastagem alta produtividade"),Default!$F$293,0))</f>
        <v>0</v>
      </c>
      <c r="J687" s="463">
        <f>(IF(AND('Entradas Rebanho'!$D$93="Pastagem média produtividade",'Entradas Rebanho'!$E$93="Pastagem alta produtividade"),Default!$F$294,0))</f>
        <v>0</v>
      </c>
      <c r="K687" s="463">
        <f>(IF(AND('Entradas Rebanho'!$D$93="Pastagem alta produtividade",'Entradas Rebanho'!$E$93="Pastagem alta produtividade"),Default!$F$295,0))</f>
        <v>0</v>
      </c>
      <c r="L687" s="463">
        <f>(IF(AND('Entradas Rebanho'!$D$93="Cultura para ensilagem (1 safra e pousio) - Plantio convencional",'Entradas Rebanho'!$E$93="Pastagem alta produtividade"),Default!$F$296,0))</f>
        <v>0</v>
      </c>
      <c r="M687" s="463">
        <f>(IF(AND('Entradas Rebanho'!$D$93="Cultura para ensilagem (1 safra e pousio) - Plantio direto",'Entradas Rebanho'!$E$93="Pastagem alta produtividade"),Default!$F$297,0))</f>
        <v>0</v>
      </c>
      <c r="N687" s="463">
        <f>(IF(AND('Entradas Rebanho'!$D$93="Cultura para ensilagem (2 safras) - Plantio convencional",'Entradas Rebanho'!$E$93="Pastagem alta produtividade"),Default!$F$298,0))</f>
        <v>0</v>
      </c>
      <c r="O687" s="463">
        <f>(IF(AND('Entradas Rebanho'!$D$93="Cultura para ensilagem (2 safras) - Plantio direto",'Entradas Rebanho'!$E$93="Pastagem alta produtividade"),Default!$F$299,0))</f>
        <v>0</v>
      </c>
      <c r="P687" s="464">
        <f>(IF(AND('Entradas Rebanho'!$D$93="Sistemas integrados; Rotação de culturas com plantio direto; Plantas de cobertura na entresafra",'Entradas Rebanho'!$E$93="Pastagem alta produtividade"),Default!$F$300,0))</f>
        <v>0</v>
      </c>
      <c r="Q687" s="2"/>
      <c r="R687" s="2"/>
      <c r="S687" s="2"/>
      <c r="T687" s="2"/>
      <c r="U687" s="2"/>
      <c r="V687" s="2"/>
      <c r="W687" s="2"/>
      <c r="X687" s="2"/>
      <c r="Y687" s="2"/>
      <c r="Z687" s="2"/>
      <c r="AA687" s="2"/>
    </row>
    <row r="688" spans="1:27" ht="15.75" customHeight="1" thickBot="1">
      <c r="A688" s="2"/>
      <c r="B688" s="552">
        <f>'Entradas Rebanho'!A96</f>
        <v>0</v>
      </c>
      <c r="C688" s="553">
        <f>ROUND((('Entradas Rebanho'!C96*(ROUND(SUM(H717:P725),3))-'Entradas Rebanho'!C96)/20),3)</f>
        <v>0</v>
      </c>
      <c r="D688" s="585">
        <f>ROUND(C688,3)*'Entradas Rebanho'!B96</f>
        <v>0</v>
      </c>
      <c r="E688" s="554">
        <f t="shared" si="5"/>
        <v>0</v>
      </c>
      <c r="F688" s="2"/>
      <c r="G688" s="2"/>
      <c r="H688" s="462">
        <f>(IF(AND('Entradas Rebanho'!$D$93="Vegetação natural",'Entradas Rebanho'!$E$93="Cultura para ensilagem (1 safra e pousio) - Plantio convencional"),Default!$G$292,0))</f>
        <v>0</v>
      </c>
      <c r="I688" s="463">
        <f>(IF(AND('Entradas Rebanho'!$D$93="Pastagem degradada",'Entradas Rebanho'!$E$93="Cultura para ensilagem (1 safra e pousio) - Plantio convencional"),Default!$G$293,0))</f>
        <v>0</v>
      </c>
      <c r="J688" s="463">
        <f>(IF(AND('Entradas Rebanho'!$D$93="Pastagem média produtividade",'Entradas Rebanho'!$E$93="Cultura para ensilagem (1 safra e pousio) - Plantio convencional"),Default!$G$294,0))</f>
        <v>0</v>
      </c>
      <c r="K688" s="463">
        <f>(IF(AND('Entradas Rebanho'!$D$93="Pastagem alta produtividade",'Entradas Rebanho'!$E$93="Cultura para ensilagem (1 safra e pousio) - Plantio convencional"),Default!$G$295,0))</f>
        <v>0</v>
      </c>
      <c r="L688" s="463">
        <f>(IF(AND('Entradas Rebanho'!$D$93="Cultura para ensilagem (1 safra e pousio) - Plantio convencional",'Entradas Rebanho'!$E$93="Cultura para ensilagem (1 safra e pousio) - Plantio convencional"),Default!$G$296,0))</f>
        <v>0</v>
      </c>
      <c r="M688" s="463">
        <f>(IF(AND('Entradas Rebanho'!$D$93="Cultura para ensilagem (1 safra e pousio) - Plantio direto",'Entradas Rebanho'!$E$93="Cultura para ensilagem (1 safra e pousio) - Plantio convencional"),Default!$G$297,0))</f>
        <v>0</v>
      </c>
      <c r="N688" s="463">
        <f>(IF(AND('Entradas Rebanho'!$D$93="Cultura para ensilagem (2 safras) - Plantio convencional",'Entradas Rebanho'!$E$93="Cultura para ensilagem (1 safra e pousio) - Plantio convencional"),Default!$G$298,0))</f>
        <v>0</v>
      </c>
      <c r="O688" s="463">
        <f>(IF(AND('Entradas Rebanho'!$D$93="Cultura para ensilagem (2 safras) - Plantio direto",'Entradas Rebanho'!$E$93="Cultura para ensilagem (1 safra e pousio) - Plantio convencional"),Default!$G$299,0))</f>
        <v>0</v>
      </c>
      <c r="P688" s="464">
        <f>(IF(AND('Entradas Rebanho'!$D$93="Sistemas integrados; Rotação de culturas com plantio direto; Plantas de cobertura na entresafra",'Entradas Rebanho'!$E$93="Cultura para ensilagem (1 safra e pousio) - Plantio convencional"),Default!$G$300,0))</f>
        <v>0</v>
      </c>
      <c r="Q688" s="2"/>
      <c r="R688" s="2"/>
      <c r="S688" s="2"/>
      <c r="T688" s="2"/>
      <c r="U688" s="2"/>
      <c r="V688" s="2"/>
      <c r="W688" s="2"/>
      <c r="X688" s="2"/>
      <c r="Y688" s="2"/>
      <c r="Z688" s="2"/>
      <c r="AA688" s="2"/>
    </row>
    <row r="689" spans="1:27" ht="15.75" customHeight="1" thickBot="1">
      <c r="A689" s="2"/>
      <c r="B689" s="545">
        <f>'Entradas Rebanho'!A97</f>
        <v>0</v>
      </c>
      <c r="C689" s="546">
        <f>ROUND((('Entradas Rebanho'!C97*(ROUND(SUM(H728:P736),3))-'Entradas Rebanho'!C97)/20),3)</f>
        <v>0</v>
      </c>
      <c r="D689" s="584">
        <f>ROUND(C689,3)*'Entradas Rebanho'!B97</f>
        <v>0</v>
      </c>
      <c r="E689" s="547">
        <f t="shared" si="5"/>
        <v>0</v>
      </c>
      <c r="F689" s="2"/>
      <c r="G689" s="2"/>
      <c r="H689" s="462">
        <f>(IF(AND('Entradas Rebanho'!$D$93="Vegetação natural",'Entradas Rebanho'!$E$93="Cultura para ensilagem (1 safra e pousio) - Plantio direto"),Default!$H$292,0))</f>
        <v>0</v>
      </c>
      <c r="I689" s="463">
        <f>(IF(AND('Entradas Rebanho'!$D$93="Pastagem degradada",'Entradas Rebanho'!$E$93="Cultura para ensilagem (1 safra e pousio) - Plantio direto"),Default!$H$293,0))</f>
        <v>0</v>
      </c>
      <c r="J689" s="463">
        <f>(IF(AND('Entradas Rebanho'!$D$93="Pastagem média produtividade",'Entradas Rebanho'!$E$93="Cultura para ensilagem (1 safra e pousio) - Plantio direto"),Default!$H$294,0))</f>
        <v>0</v>
      </c>
      <c r="K689" s="463">
        <f>(IF(AND('Entradas Rebanho'!$D$93="Pastagem alta produtividade",'Entradas Rebanho'!$E$93="Cultura para ensilagem (1 safra e pousio) - Plantio direto"),Default!$H$295,0))</f>
        <v>0</v>
      </c>
      <c r="L689" s="463">
        <f>(IF(AND('Entradas Rebanho'!$D$93="Cultura para ensilagem (1 safra e pousio) - Plantio convencional",'Entradas Rebanho'!$E$93="Cultura para ensilagem (1 safra e pousio) - Plantio direto"),Default!$H$296,0))</f>
        <v>0</v>
      </c>
      <c r="M689" s="463">
        <f>(IF(AND('Entradas Rebanho'!$D$93="Cultura para ensilagem (1 safra e pousio) - Plantio direto",'Entradas Rebanho'!$E$93="Cultura para ensilagem (1 safra e pousio) - Plantio direto"),Default!$H$297,0))</f>
        <v>0</v>
      </c>
      <c r="N689" s="463">
        <f>(IF(AND('Entradas Rebanho'!$D$93="Cultura para ensilagem (2 safras) - Plantio convencional",'Entradas Rebanho'!$E$93="Cultura para ensilagem (1 safra e pousio) - Plantio direto"),Default!$H$298,0))</f>
        <v>0</v>
      </c>
      <c r="O689" s="463">
        <f>(IF(AND('Entradas Rebanho'!$D$93="Cultura para ensilagem (2 safras) - Plantio direto",'Entradas Rebanho'!$E$93="Cultura para ensilagem (1 safra e pousio) - Plantio direto"),Default!$H$299,0))</f>
        <v>0</v>
      </c>
      <c r="P689" s="464">
        <f>(IF(AND('Entradas Rebanho'!$D$93="Sistemas integrados; Rotação de culturas com plantio direto; Plantas de cobertura na entresafra",'Entradas Rebanho'!$E$93="Cultura para ensilagem (1 safra e pousio) - Plantio direto"),Default!$H$300,0))</f>
        <v>0</v>
      </c>
      <c r="Q689" s="2"/>
      <c r="R689" s="2"/>
      <c r="S689" s="2"/>
      <c r="T689" s="2"/>
      <c r="U689" s="2"/>
      <c r="V689" s="2"/>
      <c r="W689" s="2"/>
      <c r="X689" s="2"/>
      <c r="Y689" s="2"/>
      <c r="Z689" s="2"/>
      <c r="AA689" s="2"/>
    </row>
    <row r="690" spans="1:27" ht="15.75" customHeight="1" thickBot="1">
      <c r="A690" s="2"/>
      <c r="B690" s="555">
        <f>'Entradas Rebanho'!A98</f>
        <v>0</v>
      </c>
      <c r="C690" s="556">
        <f>ROUND((('Entradas Rebanho'!C98*(ROUND(SUM(H739:P747),3))-'Entradas Rebanho'!C98)/20),3)</f>
        <v>0</v>
      </c>
      <c r="D690" s="585">
        <f>ROUND(C690,3)*'Entradas Rebanho'!B98</f>
        <v>0</v>
      </c>
      <c r="E690" s="557">
        <f t="shared" si="5"/>
        <v>0</v>
      </c>
      <c r="F690" s="2"/>
      <c r="G690" s="2"/>
      <c r="H690" s="462">
        <f>(IF(AND('Entradas Rebanho'!$D$93="Vegetação natural",'Entradas Rebanho'!$E$93="Cultura para ensilagem (2 safras) - Plantio convencional"),Default!$I$292,0))</f>
        <v>0</v>
      </c>
      <c r="I690" s="463">
        <f>(IF(AND('Entradas Rebanho'!$D$93="Pastagem degradada",'Entradas Rebanho'!$E$93="Cultura para ensilagem (2 safras) - Plantio convencional"),Default!$I$293,0))</f>
        <v>0</v>
      </c>
      <c r="J690" s="463">
        <f>(IF(AND('Entradas Rebanho'!$D$93="Pastagem média produtividade",'Entradas Rebanho'!$E$93="Cultura para ensilagem (2 safras) - Plantio convencional"),Default!$I$294,0))</f>
        <v>0</v>
      </c>
      <c r="K690" s="463">
        <f>(IF(AND('Entradas Rebanho'!$D$93="Pastagem alta produtividade",'Entradas Rebanho'!$E$93="Cultura para ensilagem (2 safras) - Plantio convencional"),Default!$I$295,0))</f>
        <v>0</v>
      </c>
      <c r="L690" s="463">
        <f>(IF(AND('Entradas Rebanho'!$D$93="Cultura para ensilagem (1 safra e pousio) - Plantio convencional",'Entradas Rebanho'!$E$93="Cultura para ensilagem (2 safras) - Plantio convencional"),Default!$I$296,0))</f>
        <v>0</v>
      </c>
      <c r="M690" s="463">
        <f>(IF(AND('Entradas Rebanho'!$D$93="Cultura para ensilagem (1 safra e pousio) - Plantio direto",'Entradas Rebanho'!$E$93="Cultura para ensilagem (2 safras) - Plantio convencional"),Default!$I$297,0))</f>
        <v>0</v>
      </c>
      <c r="N690" s="463">
        <f>(IF(AND('Entradas Rebanho'!$D$93="Cultura para ensilagem (2 safras) - Plantio convencional",'Entradas Rebanho'!$E$93="Cultura para ensilagem (2 safras) - Plantio convencional"),Default!$I$298,0))</f>
        <v>0</v>
      </c>
      <c r="O690" s="463">
        <f>(IF(AND('Entradas Rebanho'!$D$93="Cultura para ensilagem (2 safras) - Plantio direto",'Entradas Rebanho'!$E$93="Cultura para ensilagem (2 safras) - Plantio convencional"),Default!$I$299,0))</f>
        <v>0</v>
      </c>
      <c r="P690" s="464">
        <f>(IF(AND('Entradas Rebanho'!$D$93="Sistemas integrados; Rotação de culturas com plantio direto; Plantas de cobertura na entresafra",'Entradas Rebanho'!$E$93="Cultura para ensilagem (2 safras) - Plantio convencional"),Default!$I$300,0))</f>
        <v>0</v>
      </c>
      <c r="Q690" s="2"/>
      <c r="R690" s="2"/>
      <c r="S690" s="2"/>
      <c r="T690" s="2"/>
      <c r="U690" s="2"/>
      <c r="V690" s="2"/>
      <c r="W690" s="2"/>
      <c r="X690" s="2"/>
      <c r="Y690" s="2"/>
      <c r="Z690" s="2"/>
      <c r="AA690" s="2"/>
    </row>
    <row r="691" spans="1:27" ht="15.75" customHeight="1" thickBot="1">
      <c r="A691" s="2"/>
      <c r="B691" s="902" t="s">
        <v>1021</v>
      </c>
      <c r="C691" s="903"/>
      <c r="D691" s="904"/>
      <c r="E691" s="573">
        <f>ROUND(SUM(E685:E690),3)</f>
        <v>128.22300000000001</v>
      </c>
      <c r="F691" s="2"/>
      <c r="G691" s="2"/>
      <c r="H691" s="462">
        <f>(IF(AND('Entradas Rebanho'!$D$93="Vegetação natural",'Entradas Rebanho'!$E$93="Cultura para ensilagem (2 safras) - Plantio direto"),Default!$J$292,0))</f>
        <v>0</v>
      </c>
      <c r="I691" s="463">
        <f>(IF(AND('Entradas Rebanho'!$D$93="Pastagem degradada",'Entradas Rebanho'!$E$93="Cultura para ensilagem (2 safras) - Plantio direto"),Default!$J$293,0))</f>
        <v>0</v>
      </c>
      <c r="J691" s="463">
        <f>(IF(AND('Entradas Rebanho'!$D$93="Pastagem média produtividade",'Entradas Rebanho'!$E$93="Cultura para ensilagem (2 safras) - Plantio direto"),Default!$J$294,0))</f>
        <v>0</v>
      </c>
      <c r="K691" s="463">
        <f>(IF(AND('Entradas Rebanho'!$D$93="Pastagem alta produtividade",'Entradas Rebanho'!$E$93="Cultura para ensilagem (2 safras) - Plantio direto"),Default!$J$295,0))</f>
        <v>0</v>
      </c>
      <c r="L691" s="463">
        <f>(IF(AND('Entradas Rebanho'!$D$93="Cultura para ensilagem (1 safra e pousio) - Plantio convencional",'Entradas Rebanho'!$E$93="Cultura para ensilagem (2 safras) - Plantio direto"),Default!$J$296,0))</f>
        <v>0</v>
      </c>
      <c r="M691" s="463">
        <f>(IF(AND('Entradas Rebanho'!$D$93="Cultura para ensilagem (1 safra e pousio) - Plantio direto",'Entradas Rebanho'!$E$93="Cultura para ensilagem (2 safras) - Plantio direto"),Default!$J$297,0))</f>
        <v>0</v>
      </c>
      <c r="N691" s="463">
        <f>(IF(AND('Entradas Rebanho'!$D$93="Cultura para ensilagem (2 safras) - Plantio convencional",'Entradas Rebanho'!$E$93="Cultura para ensilagem (2 safras) - Plantio direto"),Default!$J$298,0))</f>
        <v>0</v>
      </c>
      <c r="O691" s="463">
        <f>(IF(AND('Entradas Rebanho'!$D$93="Cultura para ensilagem (2 safras) - Plantio direto",'Entradas Rebanho'!$E$93="Cultura para ensilagem (2 safras) - Plantio direto"),Default!$J$299,0))</f>
        <v>0</v>
      </c>
      <c r="P691" s="464">
        <f>(IF(AND('Entradas Rebanho'!$D$93="Sistemas integrados; Rotação de culturas com plantio direto; Plantas de cobertura na entresafra",'Entradas Rebanho'!$E$93="Cultura para ensilagem (2 safras) - Plantio direto"),Default!$J$300,0))</f>
        <v>0</v>
      </c>
      <c r="Q691" s="2"/>
      <c r="R691" s="2"/>
      <c r="S691" s="2"/>
      <c r="T691" s="2"/>
      <c r="U691" s="2"/>
      <c r="V691" s="2"/>
      <c r="W691" s="2"/>
      <c r="X691" s="2"/>
      <c r="Y691" s="2"/>
      <c r="Z691" s="2"/>
      <c r="AA691" s="2"/>
    </row>
    <row r="692" spans="1:27" ht="15.75" customHeight="1" thickBot="1">
      <c r="A692" s="2"/>
      <c r="B692" s="902" t="s">
        <v>1152</v>
      </c>
      <c r="C692" s="903"/>
      <c r="D692" s="904"/>
      <c r="E692" s="573">
        <f>(E691/365)*'Entradas Rebanho'!D10</f>
        <v>10.890172602739726</v>
      </c>
      <c r="F692" s="2"/>
      <c r="G692" s="2"/>
      <c r="H692" s="465">
        <f>(IF(AND('Entradas Rebanho'!$D$93="Vegetação natural",'Entradas Rebanho'!$E$93="Sistemas integrados; Rotação de culturas com plantio direto; Plantas de cobertura na entresafra"),Default!$K$292,0))</f>
        <v>0</v>
      </c>
      <c r="I692" s="466">
        <f>(IF(AND('Entradas Rebanho'!$D$93="Pastagem degradada",'Entradas Rebanho'!$E$93="Sistemas integrados; Rotação de culturas com plantio direto; Plantas de cobertura na entresafra"),Default!$K$293,0))</f>
        <v>1.1333333333333333</v>
      </c>
      <c r="J692" s="466">
        <f>(IF(AND('Entradas Rebanho'!$D$93="Pastagem média produtividade",'Entradas Rebanho'!$E$93="Sistemas integrados; Rotação de culturas com plantio direto; Plantas de cobertura na entresafra"),Default!$K$294,0))</f>
        <v>0</v>
      </c>
      <c r="K692" s="466">
        <f>(IF(AND('Entradas Rebanho'!$D$93="Pastagem alta produtividade",'Entradas Rebanho'!$E$93="Sistemas integrados; Rotação de culturas com plantio direto; Plantas de cobertura na entresafra"),Default!$K$295,0))</f>
        <v>0</v>
      </c>
      <c r="L692" s="466">
        <f>(IF(AND('Entradas Rebanho'!$D$93="Cultura para ensilagem (1 safra e pousio) - Plantio convencional",'Entradas Rebanho'!$E$93="Sistemas integrados; Rotação de culturas com plantio direto; Plantas de cobertura na entresafra"),Default!$K$296,0))</f>
        <v>0</v>
      </c>
      <c r="M692" s="466">
        <f>(IF(AND('Entradas Rebanho'!$D$93="Cultura para ensilagem (1 safra e pousio) - Plantio direto",'Entradas Rebanho'!$E$93="Sistemas integrados; Rotação de culturas com plantio direto; Plantas de cobertura na entresafra"),Default!$K$297,0))</f>
        <v>0</v>
      </c>
      <c r="N692" s="466">
        <f>(IF(AND('Entradas Rebanho'!$D$93="Cultura para ensilagem (2 safras) - Plantio convencional",'Entradas Rebanho'!$E$93="Sistemas integrados; Rotação de culturas com plantio direto; Plantas de cobertura na entresafra"),Default!$K$298,0))</f>
        <v>0</v>
      </c>
      <c r="O692" s="466">
        <f>(IF(AND('Entradas Rebanho'!$D$93="Cultura para ensilagem (2 safras) - Plantio direto",'Entradas Rebanho'!$E$93="Sistemas integrados; Rotação de culturas com plantio direto; Plantas de cobertura na entresafra"),Default!$K$299,0))</f>
        <v>0</v>
      </c>
      <c r="P692" s="467">
        <f>(IF(AND('Entradas Rebanho'!$D$93="Sistemas integrados; Rotação de culturas com plantio direto; Plantas de cobertura na entresafra",'Entradas Rebanho'!$E$93="Sistemas integrados; Rotação de culturas com plantio direto; Plantas de cobertura na entresafra"),Default!$K$300,0))</f>
        <v>0</v>
      </c>
      <c r="Q692" s="2"/>
      <c r="R692" s="2"/>
      <c r="S692" s="2"/>
      <c r="T692" s="2"/>
      <c r="U692" s="2"/>
      <c r="V692" s="2"/>
      <c r="W692" s="2"/>
      <c r="X692" s="2"/>
      <c r="Y692" s="2"/>
      <c r="Z692" s="2"/>
      <c r="AA692" s="2"/>
    </row>
    <row r="693" spans="1:27" ht="15.75" customHeight="1" thickBo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customHeight="1" thickBot="1">
      <c r="A694" s="2"/>
      <c r="B694" s="908" t="s">
        <v>1034</v>
      </c>
      <c r="C694" s="909"/>
      <c r="D694" s="909"/>
      <c r="E694" s="910"/>
      <c r="F694" s="2"/>
      <c r="G694" s="2">
        <v>2</v>
      </c>
      <c r="H694" s="459" t="s">
        <v>56</v>
      </c>
      <c r="I694" s="460" t="s">
        <v>290</v>
      </c>
      <c r="J694" s="460" t="s">
        <v>130</v>
      </c>
      <c r="K694" s="460" t="s">
        <v>133</v>
      </c>
      <c r="L694" s="460" t="s">
        <v>1099</v>
      </c>
      <c r="M694" s="460" t="s">
        <v>1100</v>
      </c>
      <c r="N694" s="460" t="s">
        <v>1101</v>
      </c>
      <c r="O694" s="460" t="s">
        <v>1102</v>
      </c>
      <c r="P694" s="461" t="s">
        <v>1103</v>
      </c>
      <c r="Q694" s="2"/>
      <c r="R694" s="2"/>
      <c r="S694" s="2"/>
      <c r="T694" s="2"/>
      <c r="U694" s="2"/>
      <c r="V694" s="2"/>
      <c r="W694" s="2"/>
      <c r="X694" s="2"/>
      <c r="Y694" s="2"/>
      <c r="Z694" s="2"/>
      <c r="AA694" s="2"/>
    </row>
    <row r="695" spans="1:27" ht="39" customHeight="1" thickBot="1">
      <c r="A695" s="2"/>
      <c r="B695" s="558" t="s">
        <v>57</v>
      </c>
      <c r="C695" s="559" t="s">
        <v>59</v>
      </c>
      <c r="D695" s="560" t="s">
        <v>1035</v>
      </c>
      <c r="E695" s="561" t="s">
        <v>1036</v>
      </c>
      <c r="F695" s="2"/>
      <c r="G695" s="2"/>
      <c r="H695" s="462">
        <f>(IF(AND('Entradas Rebanho'!$D$94="Vegetação natural",'Entradas Rebanho'!$E$94="Vegetação natural"),Default!$C$292,0))</f>
        <v>0</v>
      </c>
      <c r="I695" s="463">
        <f>(IF(AND('Entradas Rebanho'!$D$94="Pastagem degradada",'Entradas Rebanho'!$E$94="Vegetação natural"),Default!$C$293,0))</f>
        <v>0</v>
      </c>
      <c r="J695" s="463">
        <f>(IF(AND('Entradas Rebanho'!$D$94="Pastagem média produtividade",'Entradas Rebanho'!$E$94="Vegetação natural"),Default!$C$294,0))</f>
        <v>0</v>
      </c>
      <c r="K695" s="463">
        <f>(IF(AND('Entradas Rebanho'!$D$94="Pastagem alta produtividade",'Entradas Rebanho'!$E$94="Vegetação natural"),Default!$C$295,0))</f>
        <v>0</v>
      </c>
      <c r="L695" s="463">
        <f>(IF(AND('Entradas Rebanho'!$D$94="Cultura para ensilagem (1 safra e pousio) - Plantio convencional",'Entradas Rebanho'!$E$94="Vegetação natural"),Default!$C$296,0))</f>
        <v>0</v>
      </c>
      <c r="M695" s="463">
        <f>(IF(AND('Entradas Rebanho'!$D$94="Cultura para ensilagem (1 safra e pousio) - Plantio direto",'Entradas Rebanho'!$E$94="Vegetação natural"),Default!$C$297,0))</f>
        <v>0</v>
      </c>
      <c r="N695" s="463">
        <f>(IF(AND('Entradas Rebanho'!$D$94="Cultura para ensilagem (2 safras) - Plantio convencional",'Entradas Rebanho'!$E$94="Vegetação natural"),Default!$C$298,0))</f>
        <v>0</v>
      </c>
      <c r="O695" s="463">
        <f>(IF(AND('Entradas Rebanho'!$D$94="Cultura para ensilagem (2 safras) - Plantio direto",'Entradas Rebanho'!$E$94="Vegetação natural"),Default!$C$299,0))</f>
        <v>0</v>
      </c>
      <c r="P695" s="464">
        <f>(IF(AND('Entradas Rebanho'!$D$94="Sistemas integrados; Rotação de culturas com plantio direto; Plantas de cobertura na entresafra",'Entradas Rebanho'!$E$94="Vegetação natural"),Default!$C$300,0))</f>
        <v>0</v>
      </c>
      <c r="Q695" s="2"/>
      <c r="R695" s="2"/>
      <c r="S695" s="2"/>
      <c r="T695" s="2"/>
      <c r="U695" s="2"/>
      <c r="V695" s="2"/>
      <c r="W695" s="2"/>
      <c r="X695" s="2"/>
      <c r="Y695" s="2"/>
      <c r="Z695" s="2"/>
      <c r="AA695" s="2"/>
    </row>
    <row r="696" spans="1:27" ht="15.75" customHeight="1" thickBot="1">
      <c r="A696" s="132"/>
      <c r="B696" s="562" t="str">
        <f>'Entradas Rebanho'!A102</f>
        <v>Corymbia citriodora (Eucalipto citriodora)</v>
      </c>
      <c r="C696" s="563">
        <f>'Entradas Rebanho'!D102</f>
        <v>1000</v>
      </c>
      <c r="D696" s="564">
        <f>IF(B696="Eucalyptus urograndis",Default!$H$309,IF(B696="Corymbia citriodora (Eucalipto citriodora)",Default!$H$312,IF(B696="Gravillea robusta",Default!$H$314,0)))</f>
        <v>63.41</v>
      </c>
      <c r="E696" s="579">
        <f>ROUND(C696*D696,3)</f>
        <v>63410</v>
      </c>
      <c r="F696" s="2"/>
      <c r="G696" s="2"/>
      <c r="H696" s="462">
        <f>(IF(AND('Entradas Rebanho'!$D$94="Vegetação natural",'Entradas Rebanho'!$E$94="Pastagem degradada"),Default!$D$292,0))</f>
        <v>0</v>
      </c>
      <c r="I696" s="463">
        <f>(IF(AND('Entradas Rebanho'!$D$94="Pastagem degradada",'Entradas Rebanho'!$E$94="Pastagem degradada"),Default!$D$293,0))</f>
        <v>0</v>
      </c>
      <c r="J696" s="463">
        <f>(IF(AND('Entradas Rebanho'!$D$94="Pastagem média produtividade",'Entradas Rebanho'!$E$94="Pastagem degradada"),Default!$D$294,0))</f>
        <v>0</v>
      </c>
      <c r="K696" s="463">
        <f>(IF(AND('Entradas Rebanho'!$D$94="Pastagem alta produtividade",'Entradas Rebanho'!$E$94="Pastagem degradada"),Default!$D$295,0))</f>
        <v>0</v>
      </c>
      <c r="L696" s="463">
        <f>(IF(AND('Entradas Rebanho'!$D$94="Cultura para ensilagem (1 safra e pousio) - Plantio convencional",'Entradas Rebanho'!$E$94="Pastagem degradada"),Default!$D$296,0))</f>
        <v>0</v>
      </c>
      <c r="M696" s="463">
        <f>(IF(AND('Entradas Rebanho'!$D$94="Cultura para ensilagem (1 safra e pousio) - Plantio direto",'Entradas Rebanho'!$E$94="Pastagem degradada"),Default!$D$297,0))</f>
        <v>0</v>
      </c>
      <c r="N696" s="463">
        <f>(IF(AND('Entradas Rebanho'!$D$94="Cultura para ensilagem (2 safras) - Plantio convencional",'Entradas Rebanho'!$E$94="Pastagem degradada"),Default!$D$298,0))</f>
        <v>0</v>
      </c>
      <c r="O696" s="463">
        <f>(IF(AND('Entradas Rebanho'!$D$94="Cultura para ensilagem (2 safras) - Plantio direto",'Entradas Rebanho'!$E$94="Pastagem degradada"),Default!$D$299,0))</f>
        <v>0</v>
      </c>
      <c r="P696" s="464">
        <f>(IF(AND('Entradas Rebanho'!$D$94="Sistemas integrados; Rotação de culturas com plantio direto; Plantas de cobertura na entresafra",'Entradas Rebanho'!$E$94="Pastagem degradada"),Default!$D$300,0))</f>
        <v>0</v>
      </c>
      <c r="Q696" s="2"/>
      <c r="R696" s="2"/>
      <c r="S696" s="2"/>
      <c r="T696" s="2"/>
      <c r="U696" s="2"/>
      <c r="V696" s="2"/>
      <c r="W696" s="2"/>
      <c r="X696" s="2"/>
      <c r="Y696" s="2"/>
      <c r="Z696" s="2"/>
      <c r="AA696" s="2"/>
    </row>
    <row r="697" spans="1:27" ht="15.75" customHeight="1" thickBot="1">
      <c r="A697" s="132"/>
      <c r="B697" s="565">
        <f>'Entradas Rebanho'!A103</f>
        <v>0</v>
      </c>
      <c r="C697" s="566">
        <f>'Entradas Rebanho'!D103</f>
        <v>0</v>
      </c>
      <c r="D697" s="567">
        <f>IF(B697="Eucalyptus urograndis",Default!$H$309,IF(B697="Corymbia citriodora (Eucalipto citriodora)",Default!$H$312,IF(B697="Gravillea robusta",Default!$H$314,0)))</f>
        <v>0</v>
      </c>
      <c r="E697" s="580">
        <f t="shared" ref="E697:E701" si="6">ROUND(C697*D697,3)</f>
        <v>0</v>
      </c>
      <c r="F697" s="2"/>
      <c r="G697" s="2"/>
      <c r="H697" s="462">
        <f>(IF(AND('Entradas Rebanho'!$D$94="Vegetação natural",'Entradas Rebanho'!$E$94="Pastagem média produtividade"),Default!$E$292,0))</f>
        <v>0</v>
      </c>
      <c r="I697" s="463">
        <f>(IF(AND('Entradas Rebanho'!$D$94="Pastagem degradada",'Entradas Rebanho'!$E$94="Pastagem média produtividade"),Default!$E$293,0))</f>
        <v>0</v>
      </c>
      <c r="J697" s="463">
        <f>(IF(AND('Entradas Rebanho'!$D$94="Pastagem média produtividade",'Entradas Rebanho'!$E$94="Pastagem média produtividade"),Default!$E$294,0))</f>
        <v>0</v>
      </c>
      <c r="K697" s="463">
        <f>(IF(AND('Entradas Rebanho'!$D$94="Pastagem alta produtividade",'Entradas Rebanho'!$E$94="Pastagem média produtividade"),Default!$E$295,0))</f>
        <v>0</v>
      </c>
      <c r="L697" s="463">
        <f>(IF(AND('Entradas Rebanho'!$D$94="Cultura para ensilagem (1 safra e pousio) - Plantio convencional",'Entradas Rebanho'!$E$94="Pastagem média produtividade"),Default!$E$296,0))</f>
        <v>0</v>
      </c>
      <c r="M697" s="463">
        <f>(IF(AND('Entradas Rebanho'!$D$94="Cultura para ensilagem (1 safra e pousio) - Plantio direto",'Entradas Rebanho'!$E$94="Pastagem média produtividade"),Default!$E$297,0))</f>
        <v>0</v>
      </c>
      <c r="N697" s="463">
        <f>(IF(AND('Entradas Rebanho'!$D$94="Cultura para ensilagem (2 safras) - Plantio convencional",'Entradas Rebanho'!$E$94="Pastagem média produtividade"),Default!$E$298,0))</f>
        <v>0</v>
      </c>
      <c r="O697" s="463">
        <f>(IF(AND('Entradas Rebanho'!$D$94="Cultura para ensilagem (2 safras) - Plantio direto",'Entradas Rebanho'!$E$94="Pastagem média produtividade"),Default!$E$299,0))</f>
        <v>0</v>
      </c>
      <c r="P697" s="464">
        <f>(IF(AND('Entradas Rebanho'!$D$94="Sistemas integrados; Rotação de culturas com plantio direto; Plantas de cobertura na entresafra",'Entradas Rebanho'!$E$94="Pastagem média produtividade"),Default!$E$300,0))</f>
        <v>0</v>
      </c>
      <c r="Q697" s="2"/>
      <c r="R697" s="2"/>
      <c r="S697" s="2"/>
      <c r="T697" s="2"/>
      <c r="U697" s="2"/>
      <c r="V697" s="2"/>
      <c r="W697" s="2"/>
      <c r="X697" s="2"/>
      <c r="Y697" s="2"/>
      <c r="Z697" s="2"/>
      <c r="AA697" s="2"/>
    </row>
    <row r="698" spans="1:27" ht="15.75" customHeight="1" thickBot="1">
      <c r="A698" s="132"/>
      <c r="B698" s="568">
        <f>'Entradas Rebanho'!A104</f>
        <v>0</v>
      </c>
      <c r="C698" s="569">
        <f>'Entradas Rebanho'!D104</f>
        <v>0</v>
      </c>
      <c r="D698" s="564">
        <f>IF(B698="Eucalyptus urograndis",Default!$H$309,IF(B698="Corymbia citriodora (Eucalipto citriodora)",Default!$H$312,IF(B698="Gravillea robusta",Default!$H$314,0)))</f>
        <v>0</v>
      </c>
      <c r="E698" s="579">
        <f t="shared" si="6"/>
        <v>0</v>
      </c>
      <c r="F698" s="2"/>
      <c r="G698" s="2"/>
      <c r="H698" s="462">
        <f>(IF(AND('Entradas Rebanho'!$D$94="Vegetação natural",'Entradas Rebanho'!$E$94="Pastagem alta produtividade"),Default!$F$292,0))</f>
        <v>0</v>
      </c>
      <c r="I698" s="463">
        <f>(IF(AND('Entradas Rebanho'!$D$94="Pastagem degradada",'Entradas Rebanho'!$E$94="Pastagem alta produtividade"),Default!$F$293,0))</f>
        <v>0</v>
      </c>
      <c r="J698" s="463">
        <f>(IF(AND('Entradas Rebanho'!$D$94="Pastagem média produtividade",'Entradas Rebanho'!$E$94="Pastagem alta produtividade"),Default!$F$294,0))</f>
        <v>0</v>
      </c>
      <c r="K698" s="463">
        <f>(IF(AND('Entradas Rebanho'!$D$94="Pastagem alta produtividade",'Entradas Rebanho'!$E$94="Pastagem alta produtividade"),Default!$F$295,0))</f>
        <v>0</v>
      </c>
      <c r="L698" s="463">
        <f>(IF(AND('Entradas Rebanho'!$D$94="Cultura para ensilagem (1 safra e pousio) - Plantio convencional",'Entradas Rebanho'!$E$94="Pastagem alta produtividade"),Default!$F$296,0))</f>
        <v>0</v>
      </c>
      <c r="M698" s="463">
        <f>(IF(AND('Entradas Rebanho'!$D$94="Cultura para ensilagem (1 safra e pousio) - Plantio direto",'Entradas Rebanho'!$E$94="Pastagem alta produtividade"),Default!$F$297,0))</f>
        <v>0</v>
      </c>
      <c r="N698" s="463">
        <f>(IF(AND('Entradas Rebanho'!$D$94="Cultura para ensilagem (2 safras) - Plantio convencional",'Entradas Rebanho'!$E$94="Pastagem alta produtividade"),Default!$F$298,0))</f>
        <v>0</v>
      </c>
      <c r="O698" s="463">
        <f>(IF(AND('Entradas Rebanho'!$D$94="Cultura para ensilagem (2 safras) - Plantio direto",'Entradas Rebanho'!$E$94="Pastagem alta produtividade"),Default!$F$299,0))</f>
        <v>0</v>
      </c>
      <c r="P698" s="464">
        <f>(IF(AND('Entradas Rebanho'!$D$94="Sistemas integrados; Rotação de culturas com plantio direto; Plantas de cobertura na entresafra",'Entradas Rebanho'!$E$94="Pastagem alta produtividade"),Default!$F$300,0))</f>
        <v>0</v>
      </c>
      <c r="Q698" s="2"/>
      <c r="R698" s="2"/>
      <c r="S698" s="2"/>
      <c r="T698" s="2"/>
      <c r="U698" s="2"/>
      <c r="V698" s="2"/>
      <c r="W698" s="2"/>
      <c r="X698" s="2"/>
      <c r="Y698" s="2"/>
      <c r="Z698" s="2"/>
      <c r="AA698" s="2"/>
    </row>
    <row r="699" spans="1:27" ht="15.75" customHeight="1" thickBot="1">
      <c r="A699" s="132"/>
      <c r="B699" s="565">
        <f>'Entradas Rebanho'!A105</f>
        <v>0</v>
      </c>
      <c r="C699" s="566">
        <f>'Entradas Rebanho'!D105</f>
        <v>0</v>
      </c>
      <c r="D699" s="567">
        <f>IF(B699="Eucalyptus urograndis",Default!$H$309,IF(B699="Corymbia citriodora (Eucalipto citriodora)",Default!$H$312,IF(B699="Gravillea robusta",Default!$H$314,0)))</f>
        <v>0</v>
      </c>
      <c r="E699" s="580">
        <f t="shared" si="6"/>
        <v>0</v>
      </c>
      <c r="F699" s="2"/>
      <c r="G699" s="2"/>
      <c r="H699" s="462">
        <f>(IF(AND('Entradas Rebanho'!$D$94="Vegetação natural",'Entradas Rebanho'!$E$94="Cultura para ensilagem (1 safra e pousio) - Plantio convencional"),Default!$G$292,0))</f>
        <v>0</v>
      </c>
      <c r="I699" s="463">
        <f>(IF(AND('Entradas Rebanho'!$D$94="Pastagem degradada",'Entradas Rebanho'!$E$94="Cultura para ensilagem (1 safra e pousio) - Plantio convencional"),Default!$G$293,0))</f>
        <v>0</v>
      </c>
      <c r="J699" s="463">
        <f>(IF(AND('Entradas Rebanho'!$D$94="Pastagem média produtividade",'Entradas Rebanho'!$E$94="Cultura para ensilagem (1 safra e pousio) - Plantio convencional"),Default!$G$294,0))</f>
        <v>0</v>
      </c>
      <c r="K699" s="463">
        <f>(IF(AND('Entradas Rebanho'!$D$94="Pastagem alta produtividade",'Entradas Rebanho'!$E$94="Cultura para ensilagem (1 safra e pousio) - Plantio convencional"),Default!$G$295,0))</f>
        <v>0</v>
      </c>
      <c r="L699" s="463">
        <f>(IF(AND('Entradas Rebanho'!$D$94="Cultura para ensilagem (1 safra e pousio) - Plantio convencional",'Entradas Rebanho'!$E$94="Cultura para ensilagem (1 safra e pousio) - Plantio convencional"),Default!$G$296,0))</f>
        <v>0</v>
      </c>
      <c r="M699" s="463">
        <f>(IF(AND('Entradas Rebanho'!$D$94="Cultura para ensilagem (1 safra e pousio) - Plantio direto",'Entradas Rebanho'!$E$94="Cultura para ensilagem (1 safra e pousio) - Plantio convencional"),Default!$G$297,0))</f>
        <v>0</v>
      </c>
      <c r="N699" s="463">
        <f>(IF(AND('Entradas Rebanho'!$D$94="Cultura para ensilagem (2 safras) - Plantio convencional",'Entradas Rebanho'!$E$94="Cultura para ensilagem (1 safra e pousio) - Plantio convencional"),Default!$G$298,0))</f>
        <v>0</v>
      </c>
      <c r="O699" s="463">
        <f>(IF(AND('Entradas Rebanho'!$D$94="Cultura para ensilagem (2 safras) - Plantio direto",'Entradas Rebanho'!$E$94="Cultura para ensilagem (1 safra e pousio) - Plantio convencional"),Default!$G$299,0))</f>
        <v>0</v>
      </c>
      <c r="P699" s="464">
        <f>(IF(AND('Entradas Rebanho'!$D$94="Sistemas integrados; Rotação de culturas com plantio direto; Plantas de cobertura na entresafra",'Entradas Rebanho'!$E$94="Cultura para ensilagem (1 safra e pousio) - Plantio convencional"),Default!$G$300,0))</f>
        <v>0</v>
      </c>
      <c r="Q699" s="2"/>
      <c r="R699" s="2"/>
      <c r="S699" s="2"/>
      <c r="T699" s="2"/>
      <c r="U699" s="2"/>
      <c r="V699" s="2"/>
      <c r="W699" s="2"/>
      <c r="X699" s="2"/>
      <c r="Y699" s="2"/>
      <c r="Z699" s="2"/>
      <c r="AA699" s="2"/>
    </row>
    <row r="700" spans="1:27" ht="15.75" customHeight="1" thickBot="1">
      <c r="A700" s="132"/>
      <c r="B700" s="562">
        <f>'Entradas Rebanho'!A106</f>
        <v>0</v>
      </c>
      <c r="C700" s="563">
        <f>'Entradas Rebanho'!D106</f>
        <v>0</v>
      </c>
      <c r="D700" s="564">
        <f>IF(B700="Eucalyptus urograndis",Default!$H$309,IF(B700="Corymbia citriodora (Eucalipto citriodora)",Default!$H$312,IF(B700="Gravillea robusta",Default!$H$314,0)))</f>
        <v>0</v>
      </c>
      <c r="E700" s="579">
        <f t="shared" si="6"/>
        <v>0</v>
      </c>
      <c r="F700" s="2"/>
      <c r="G700" s="2"/>
      <c r="H700" s="462">
        <f>(IF(AND('Entradas Rebanho'!$D$94="Vegetação natural",'Entradas Rebanho'!$E$94="Cultura para ensilagem (1 safra e pousio) - Plantio direto"),Default!$H$292,0))</f>
        <v>0</v>
      </c>
      <c r="I700" s="463">
        <f>(IF(AND('Entradas Rebanho'!$D$94="Pastagem degradada",'Entradas Rebanho'!$E$94="Cultura para ensilagem (1 safra e pousio) - Plantio direto"),Default!$H$293,0))</f>
        <v>0</v>
      </c>
      <c r="J700" s="463">
        <f>(IF(AND('Entradas Rebanho'!$D$94="Pastagem média produtividade",'Entradas Rebanho'!$E$94="Cultura para ensilagem (1 safra e pousio) - Plantio direto"),Default!$H$294,0))</f>
        <v>0</v>
      </c>
      <c r="K700" s="463">
        <f>(IF(AND('Entradas Rebanho'!$D$94="Pastagem alta produtividade",'Entradas Rebanho'!$E$94="Cultura para ensilagem (1 safra e pousio) - Plantio direto"),Default!$H$295,0))</f>
        <v>0</v>
      </c>
      <c r="L700" s="463">
        <f>(IF(AND('Entradas Rebanho'!$D$94="Cultura para ensilagem (1 safra e pousio) - Plantio convencional",'Entradas Rebanho'!$E$94="Cultura para ensilagem (1 safra e pousio) - Plantio direto"),Default!$H$296,0))</f>
        <v>0</v>
      </c>
      <c r="M700" s="463">
        <f>(IF(AND('Entradas Rebanho'!$D$94="Cultura para ensilagem (1 safra e pousio) - Plantio direto",'Entradas Rebanho'!$E$94="Cultura para ensilagem (1 safra e pousio) - Plantio direto"),Default!$H$297,0))</f>
        <v>0</v>
      </c>
      <c r="N700" s="463">
        <f>(IF(AND('Entradas Rebanho'!$D$94="Cultura para ensilagem (2 safras) - Plantio convencional",'Entradas Rebanho'!$E$94="Cultura para ensilagem (1 safra e pousio) - Plantio direto"),Default!$H$298,0))</f>
        <v>0</v>
      </c>
      <c r="O700" s="463">
        <f>(IF(AND('Entradas Rebanho'!$D$94="Cultura para ensilagem (2 safras) - Plantio direto",'Entradas Rebanho'!$E$94="Cultura para ensilagem (1 safra e pousio) - Plantio direto"),Default!$H$299,0))</f>
        <v>0</v>
      </c>
      <c r="P700" s="464">
        <f>(IF(AND('Entradas Rebanho'!$D$94="Sistemas integrados; Rotação de culturas com plantio direto; Plantas de cobertura na entresafra",'Entradas Rebanho'!$E$94="Cultura para ensilagem (1 safra e pousio) - Plantio direto"),Default!$H$300,0))</f>
        <v>0</v>
      </c>
      <c r="Q700" s="2"/>
      <c r="R700" s="2"/>
      <c r="S700" s="2"/>
      <c r="T700" s="2"/>
      <c r="U700" s="2"/>
      <c r="V700" s="2"/>
      <c r="W700" s="2"/>
      <c r="X700" s="2"/>
      <c r="Y700" s="2"/>
      <c r="Z700" s="2"/>
      <c r="AA700" s="2"/>
    </row>
    <row r="701" spans="1:27" ht="15.75" customHeight="1" thickBot="1">
      <c r="A701" s="132"/>
      <c r="B701" s="570">
        <f>'Entradas Rebanho'!A107</f>
        <v>0</v>
      </c>
      <c r="C701" s="571">
        <f>'Entradas Rebanho'!D107</f>
        <v>0</v>
      </c>
      <c r="D701" s="567">
        <f>IF(B701="Eucalyptus urograndis",Default!$H$309,IF(B701="Corymbia citriodora (Eucalipto citriodora)",Default!$H$312,IF(B701="Gravillea robusta",Default!$H$314,0)))</f>
        <v>0</v>
      </c>
      <c r="E701" s="580">
        <f t="shared" si="6"/>
        <v>0</v>
      </c>
      <c r="F701" s="2"/>
      <c r="G701" s="2"/>
      <c r="H701" s="462">
        <f>(IF(AND('Entradas Rebanho'!$D$94="Vegetação natural",'Entradas Rebanho'!$E$94="Cultura para ensilagem (2 safras) - Plantio convencional"),Default!$I$292,0))</f>
        <v>0</v>
      </c>
      <c r="I701" s="463">
        <f>(IF(AND('Entradas Rebanho'!$D$94="Pastagem degradada",'Entradas Rebanho'!$E$94="Cultura para ensilagem (2 safras) - Plantio convencional"),Default!$I$293,0))</f>
        <v>0</v>
      </c>
      <c r="J701" s="463">
        <f>(IF(AND('Entradas Rebanho'!$D$94="Pastagem média produtividade",'Entradas Rebanho'!$E$94="Cultura para ensilagem (2 safras) - Plantio convencional"),Default!$I$294,0))</f>
        <v>0</v>
      </c>
      <c r="K701" s="463">
        <f>(IF(AND('Entradas Rebanho'!$D$94="Pastagem alta produtividade",'Entradas Rebanho'!$E$94="Cultura para ensilagem (2 safras) - Plantio convencional"),Default!$I$295,0))</f>
        <v>0</v>
      </c>
      <c r="L701" s="463">
        <f>(IF(AND('Entradas Rebanho'!$D$94="Cultura para ensilagem (1 safra e pousio) - Plantio convencional",'Entradas Rebanho'!$E$94="Cultura para ensilagem (2 safras) - Plantio convencional"),Default!$I$296,0))</f>
        <v>0</v>
      </c>
      <c r="M701" s="463">
        <f>(IF(AND('Entradas Rebanho'!$D$94="Cultura para ensilagem (1 safra e pousio) - Plantio direto",'Entradas Rebanho'!$E$94="Cultura para ensilagem (2 safras) - Plantio convencional"),Default!$I$297,0))</f>
        <v>0</v>
      </c>
      <c r="N701" s="463">
        <f>(IF(AND('Entradas Rebanho'!$D$94="Cultura para ensilagem (2 safras) - Plantio convencional",'Entradas Rebanho'!$E$94="Cultura para ensilagem (2 safras) - Plantio convencional"),Default!$I$298,0))</f>
        <v>0</v>
      </c>
      <c r="O701" s="463">
        <f>(IF(AND('Entradas Rebanho'!$D$94="Cultura para ensilagem (2 safras) - Plantio direto",'Entradas Rebanho'!$E$94="Cultura para ensilagem (2 safras) - Plantio convencional"),Default!$I$299,0))</f>
        <v>0</v>
      </c>
      <c r="P701" s="464">
        <f>(IF(AND('Entradas Rebanho'!$D$94="Sistemas integrados; Rotação de culturas com plantio direto; Plantas de cobertura na entresafra",'Entradas Rebanho'!$E$94="Cultura para ensilagem (2 safras) - Plantio convencional"),Default!$I$300,0))</f>
        <v>0</v>
      </c>
      <c r="Q701" s="2"/>
      <c r="R701" s="2"/>
      <c r="S701" s="2"/>
      <c r="T701" s="2"/>
      <c r="U701" s="2"/>
      <c r="V701" s="2"/>
      <c r="W701" s="2"/>
      <c r="X701" s="2"/>
      <c r="Y701" s="2"/>
      <c r="Z701" s="2"/>
      <c r="AA701" s="2"/>
    </row>
    <row r="702" spans="1:27" ht="15.75" customHeight="1" thickBot="1">
      <c r="A702" s="132"/>
      <c r="B702" s="905" t="s">
        <v>1037</v>
      </c>
      <c r="C702" s="906"/>
      <c r="D702" s="907"/>
      <c r="E702" s="537">
        <f>ROUND(SUM(E696:E701)/1000,3)</f>
        <v>63.41</v>
      </c>
      <c r="F702" s="2"/>
      <c r="G702" s="2"/>
      <c r="H702" s="462">
        <f>(IF(AND('Entradas Rebanho'!$D$94="Vegetação natural",'Entradas Rebanho'!$E$94="Cultura para ensilagem (2 safras) - Plantio direto"),Default!$J$292,0))</f>
        <v>0</v>
      </c>
      <c r="I702" s="463">
        <f>(IF(AND('Entradas Rebanho'!$D$94="Pastagem degradada",'Entradas Rebanho'!$E$94="Cultura para ensilagem (2 safras) - Plantio direto"),Default!$J$293,0))</f>
        <v>1.0888888888888888</v>
      </c>
      <c r="J702" s="463">
        <f>(IF(AND('Entradas Rebanho'!$D$94="Pastagem média produtividade",'Entradas Rebanho'!$E$94="Cultura para ensilagem (2 safras) - Plantio direto"),Default!$J$294,0))</f>
        <v>0</v>
      </c>
      <c r="K702" s="463">
        <f>(IF(AND('Entradas Rebanho'!$D$94="Pastagem alta produtividade",'Entradas Rebanho'!$E$94="Cultura para ensilagem (2 safras) - Plantio direto"),Default!$J$295,0))</f>
        <v>0</v>
      </c>
      <c r="L702" s="463">
        <f>(IF(AND('Entradas Rebanho'!$D$94="Cultura para ensilagem (1 safra e pousio) - Plantio convencional",'Entradas Rebanho'!$E$94="Cultura para ensilagem (2 safras) - Plantio direto"),Default!$J$296,0))</f>
        <v>0</v>
      </c>
      <c r="M702" s="463">
        <f>(IF(AND('Entradas Rebanho'!$D$94="Cultura para ensilagem (1 safra e pousio) - Plantio direto",'Entradas Rebanho'!$E$94="Cultura para ensilagem (2 safras) - Plantio direto"),Default!$J$297,0))</f>
        <v>0</v>
      </c>
      <c r="N702" s="463">
        <f>(IF(AND('Entradas Rebanho'!$D$94="Cultura para ensilagem (2 safras) - Plantio convencional",'Entradas Rebanho'!$E$94="Cultura para ensilagem (2 safras) - Plantio direto"),Default!$J$298,0))</f>
        <v>0</v>
      </c>
      <c r="O702" s="463">
        <f>(IF(AND('Entradas Rebanho'!$D$94="Cultura para ensilagem (2 safras) - Plantio direto",'Entradas Rebanho'!$E$94="Cultura para ensilagem (2 safras) - Plantio direto"),Default!$J$299,0))</f>
        <v>0</v>
      </c>
      <c r="P702" s="464">
        <f>(IF(AND('Entradas Rebanho'!$D$94="Sistemas integrados; Rotação de culturas com plantio direto; Plantas de cobertura na entresafra",'Entradas Rebanho'!$E$94="Cultura para ensilagem (2 safras) - Plantio direto"),Default!$J$300,0))</f>
        <v>0</v>
      </c>
      <c r="Q702" s="2"/>
      <c r="R702" s="2"/>
      <c r="S702" s="2"/>
      <c r="T702" s="2"/>
      <c r="U702" s="2"/>
      <c r="V702" s="2"/>
      <c r="W702" s="2"/>
      <c r="X702" s="2"/>
      <c r="Y702" s="2"/>
      <c r="Z702" s="2"/>
      <c r="AA702" s="2"/>
    </row>
    <row r="703" spans="1:27" ht="15.75" customHeight="1" thickBot="1">
      <c r="A703" s="132"/>
      <c r="B703" s="905" t="s">
        <v>1153</v>
      </c>
      <c r="C703" s="906"/>
      <c r="D703" s="907"/>
      <c r="E703" s="537">
        <f>(E702/365)*'Entradas Rebanho'!D10</f>
        <v>5.3855068493150684</v>
      </c>
      <c r="F703" s="2"/>
      <c r="G703" s="2"/>
      <c r="H703" s="465">
        <f>(IF(AND('Entradas Rebanho'!$D$94="Vegetação natural",'Entradas Rebanho'!$E$94="Sistemas integrados; Rotação de culturas com plantio direto; Plantas de cobertura na entresafra"),Default!$K$292,0))</f>
        <v>0</v>
      </c>
      <c r="I703" s="466">
        <f>(IF(AND('Entradas Rebanho'!$D$94="Pastagem degradada",'Entradas Rebanho'!$E$94="Sistemas integrados; Rotação de culturas com plantio direto; Plantas de cobertura na entresafra"),Default!$K$293,0))</f>
        <v>0</v>
      </c>
      <c r="J703" s="466">
        <f>(IF(AND('Entradas Rebanho'!$D$94="Pastagem média produtividade",'Entradas Rebanho'!$E$94="Sistemas integrados; Rotação de culturas com plantio direto; Plantas de cobertura na entresafra"),Default!$K$294,0))</f>
        <v>0</v>
      </c>
      <c r="K703" s="466">
        <f>(IF(AND('Entradas Rebanho'!$D$94="Pastagem alta produtividade",'Entradas Rebanho'!$E$94="Sistemas integrados; Rotação de culturas com plantio direto; Plantas de cobertura na entresafra"),Default!$K$295,0))</f>
        <v>0</v>
      </c>
      <c r="L703" s="466">
        <f>(IF(AND('Entradas Rebanho'!$D$94="Cultura para ensilagem (1 safra e pousio) - Plantio convencional",'Entradas Rebanho'!$E$94="Sistemas integrados; Rotação de culturas com plantio direto; Plantas de cobertura na entresafra"),Default!$K$296,0))</f>
        <v>0</v>
      </c>
      <c r="M703" s="466">
        <f>(IF(AND('Entradas Rebanho'!$D$94="Cultura para ensilagem (1 safra e pousio) - Plantio direto",'Entradas Rebanho'!$E$94="Sistemas integrados; Rotação de culturas com plantio direto; Plantas de cobertura na entresafra"),Default!$K$297,0))</f>
        <v>0</v>
      </c>
      <c r="N703" s="466">
        <f>(IF(AND('Entradas Rebanho'!$D$94="Cultura para ensilagem (2 safras) - Plantio convencional",'Entradas Rebanho'!$E$94="Sistemas integrados; Rotação de culturas com plantio direto; Plantas de cobertura na entresafra"),Default!$K$298,0))</f>
        <v>0</v>
      </c>
      <c r="O703" s="466">
        <f>(IF(AND('Entradas Rebanho'!$D$94="Cultura para ensilagem (2 safras) - Plantio direto",'Entradas Rebanho'!$E$94="Sistemas integrados; Rotação de culturas com plantio direto; Plantas de cobertura na entresafra"),Default!$K$299,0))</f>
        <v>0</v>
      </c>
      <c r="P703" s="467">
        <f>(IF(AND('Entradas Rebanho'!$D$94="Sistemas integrados; Rotação de culturas com plantio direto; Plantas de cobertura na entresafra",'Entradas Rebanho'!$E$94="Sistemas integrados; Rotação de culturas com plantio direto; Plantas de cobertura na entresafra"),Default!$K$300,0))</f>
        <v>0</v>
      </c>
      <c r="Q703" s="2"/>
      <c r="R703" s="2"/>
      <c r="S703" s="2"/>
      <c r="T703" s="2"/>
      <c r="U703" s="2"/>
      <c r="V703" s="2"/>
      <c r="W703" s="2"/>
      <c r="X703" s="2"/>
      <c r="Y703" s="2"/>
      <c r="Z703" s="2"/>
      <c r="AA703" s="2"/>
    </row>
    <row r="704" spans="1:27" ht="15.75" customHeight="1" thickBot="1">
      <c r="A704" s="132"/>
      <c r="B704" s="911" t="s">
        <v>1154</v>
      </c>
      <c r="C704" s="912"/>
      <c r="D704" s="913"/>
      <c r="E704" s="572">
        <f>E692+E703</f>
        <v>16.275679452054796</v>
      </c>
      <c r="F704" s="2"/>
      <c r="G704" s="2"/>
      <c r="H704" s="2"/>
      <c r="I704" s="2"/>
      <c r="J704" s="2"/>
      <c r="K704" s="2"/>
      <c r="L704" s="2"/>
      <c r="M704" s="2"/>
      <c r="N704" s="2"/>
      <c r="O704" s="2"/>
      <c r="P704" s="2"/>
      <c r="Q704" s="2"/>
      <c r="R704" s="2"/>
      <c r="S704" s="2"/>
      <c r="T704" s="2"/>
      <c r="U704" s="2"/>
      <c r="V704" s="2"/>
      <c r="W704" s="2"/>
      <c r="X704" s="2"/>
      <c r="Y704" s="2"/>
      <c r="Z704" s="2"/>
      <c r="AA704" s="2"/>
    </row>
    <row r="705" spans="1:27" ht="15.75" customHeight="1">
      <c r="A705" s="132"/>
      <c r="B705" s="429"/>
      <c r="C705" s="429"/>
      <c r="D705" s="429"/>
      <c r="E705" s="538"/>
      <c r="F705" s="2"/>
      <c r="G705" s="2">
        <v>3</v>
      </c>
      <c r="H705" s="459" t="s">
        <v>56</v>
      </c>
      <c r="I705" s="460" t="s">
        <v>290</v>
      </c>
      <c r="J705" s="460" t="s">
        <v>130</v>
      </c>
      <c r="K705" s="460" t="s">
        <v>133</v>
      </c>
      <c r="L705" s="460" t="s">
        <v>1099</v>
      </c>
      <c r="M705" s="460" t="s">
        <v>1100</v>
      </c>
      <c r="N705" s="460" t="s">
        <v>1101</v>
      </c>
      <c r="O705" s="460" t="s">
        <v>1102</v>
      </c>
      <c r="P705" s="461" t="s">
        <v>1103</v>
      </c>
      <c r="Q705" s="2"/>
      <c r="R705" s="2"/>
      <c r="S705" s="2"/>
      <c r="T705" s="2"/>
      <c r="U705" s="2"/>
      <c r="V705" s="2"/>
      <c r="W705" s="2"/>
      <c r="X705" s="2"/>
      <c r="Y705" s="2"/>
      <c r="Z705" s="2"/>
      <c r="AA705" s="2"/>
    </row>
    <row r="706" spans="1:27" ht="15.75" customHeight="1">
      <c r="A706" s="132"/>
      <c r="B706" s="429"/>
      <c r="C706" s="429"/>
      <c r="D706" s="429"/>
      <c r="E706" s="538"/>
      <c r="F706" s="2"/>
      <c r="G706" s="2"/>
      <c r="H706" s="462">
        <f>(IF(AND('Entradas Rebanho'!$D$95="Vegetação natural",'Entradas Rebanho'!$E$95="Vegetação natural"),Default!$C$292,0))</f>
        <v>0</v>
      </c>
      <c r="I706" s="463">
        <f>(IF(AND('Entradas Rebanho'!$D$95="Pastagem degradada",'Entradas Rebanho'!$E$95="Vegetação natural"),Default!$C$293,0))</f>
        <v>0</v>
      </c>
      <c r="J706" s="463">
        <f>(IF(AND('Entradas Rebanho'!$D$95="Pastagem média produtividade",'Entradas Rebanho'!$E$95="Vegetação natural"),Default!$C$294,0))</f>
        <v>0</v>
      </c>
      <c r="K706" s="463">
        <f>(IF(AND('Entradas Rebanho'!$D$95="Pastagem alta produtividade",'Entradas Rebanho'!$E$95="Vegetação natural"),Default!$C$295,0))</f>
        <v>0</v>
      </c>
      <c r="L706" s="463">
        <f>(IF(AND('Entradas Rebanho'!$D$95="Cultura para ensilagem (1 safra e pousio) - Plantio convencional",'Entradas Rebanho'!$E$95="Vegetação natural"),Default!$C$296,0))</f>
        <v>0</v>
      </c>
      <c r="M706" s="463">
        <f>(IF(AND('Entradas Rebanho'!$D$95="Cultura para ensilagem (1 safra e pousio) - Plantio direto",'Entradas Rebanho'!$E$95="Vegetação natural"),Default!$C$297,0))</f>
        <v>0</v>
      </c>
      <c r="N706" s="463">
        <f>(IF(AND('Entradas Rebanho'!$D$95="Cultura para ensilagem (2 safras) - Plantio convencional",'Entradas Rebanho'!$E$95="Vegetação natural"),Default!$C$298,0))</f>
        <v>0</v>
      </c>
      <c r="O706" s="463">
        <f>(IF(AND('Entradas Rebanho'!$D$95="Cultura para ensilagem (2 safras) - Plantio direto",'Entradas Rebanho'!$E$95="Vegetação natural"),Default!$C$299,0))</f>
        <v>0</v>
      </c>
      <c r="P706" s="464">
        <f>(IF(AND('Entradas Rebanho'!$D$95="Sistemas integrados; Rotação de culturas com plantio direto; Plantas de cobertura na entresafra",'Entradas Rebanho'!$E$95="Vegetação natural"),Default!$C$300,0))</f>
        <v>0</v>
      </c>
      <c r="Q706" s="2"/>
      <c r="R706" s="2"/>
      <c r="S706" s="2"/>
      <c r="T706" s="2"/>
      <c r="U706" s="2"/>
      <c r="V706" s="2"/>
      <c r="W706" s="2"/>
      <c r="X706" s="2"/>
      <c r="Y706" s="2"/>
      <c r="Z706" s="2"/>
      <c r="AA706" s="2"/>
    </row>
    <row r="707" spans="1:27" ht="15.75" customHeight="1">
      <c r="A707" s="132"/>
      <c r="B707" s="429"/>
      <c r="C707" s="429"/>
      <c r="D707" s="429"/>
      <c r="E707" s="538"/>
      <c r="F707" s="2"/>
      <c r="G707" s="2"/>
      <c r="H707" s="462">
        <f>(IF(AND('Entradas Rebanho'!$D$95="Vegetação natural",'Entradas Rebanho'!$E$95="Pastagem degradada"),Default!$D$292,0))</f>
        <v>0</v>
      </c>
      <c r="I707" s="463">
        <f>(IF(AND('Entradas Rebanho'!$D$95="Pastagem degradada",'Entradas Rebanho'!$E$95="Pastagem degradada"),Default!$D$293,0))</f>
        <v>0</v>
      </c>
      <c r="J707" s="463">
        <f>(IF(AND('Entradas Rebanho'!$D$95="Pastagem média produtividade",'Entradas Rebanho'!$E$95="Pastagem degradada"),Default!$D$294,0))</f>
        <v>0</v>
      </c>
      <c r="K707" s="463">
        <f>(IF(AND('Entradas Rebanho'!$D$95="Pastagem alta produtividade",'Entradas Rebanho'!$E$95="Pastagem degradada"),Default!$D$295,0))</f>
        <v>0</v>
      </c>
      <c r="L707" s="463">
        <f>(IF(AND('Entradas Rebanho'!$D$95="Cultura para ensilagem (1 safra e pousio) - Plantio convencional",'Entradas Rebanho'!$E$95="Pastagem degradada"),Default!$D$296,0))</f>
        <v>0</v>
      </c>
      <c r="M707" s="463">
        <f>(IF(AND('Entradas Rebanho'!$D$95="Cultura para ensilagem (1 safra e pousio) - Plantio direto",'Entradas Rebanho'!$E$95="Pastagem degradada"),Default!$D$297,0))</f>
        <v>0</v>
      </c>
      <c r="N707" s="463">
        <f>(IF(AND('Entradas Rebanho'!$D$95="Cultura para ensilagem (2 safras) - Plantio convencional",'Entradas Rebanho'!$E$95="Pastagem degradada"),Default!$D$298,0))</f>
        <v>0</v>
      </c>
      <c r="O707" s="463">
        <f>(IF(AND('Entradas Rebanho'!$D$95="Cultura para ensilagem (2 safras) - Plantio direto",'Entradas Rebanho'!$E$95="Pastagem degradada"),Default!$D$299,0))</f>
        <v>0</v>
      </c>
      <c r="P707" s="464">
        <f>(IF(AND('Entradas Rebanho'!$D$95="Sistemas integrados; Rotação de culturas com plantio direto; Plantas de cobertura na entresafra",'Entradas Rebanho'!$E$95="Pastagem degradada"),Default!$D$300,0))</f>
        <v>0</v>
      </c>
      <c r="Q707" s="2"/>
      <c r="R707" s="2"/>
      <c r="S707" s="2"/>
      <c r="T707" s="2"/>
      <c r="U707" s="2"/>
      <c r="V707" s="2"/>
      <c r="W707" s="2"/>
      <c r="X707" s="2"/>
      <c r="Y707" s="2"/>
      <c r="Z707" s="2"/>
      <c r="AA707" s="2"/>
    </row>
    <row r="708" spans="1:27" ht="15.75" customHeight="1">
      <c r="A708" s="132"/>
      <c r="B708" s="429"/>
      <c r="C708" s="429"/>
      <c r="D708" s="429"/>
      <c r="E708" s="538"/>
      <c r="F708" s="2"/>
      <c r="G708" s="2"/>
      <c r="H708" s="462">
        <f>(IF(AND('Entradas Rebanho'!$D$95="Vegetação natural",'Entradas Rebanho'!$E$95="Pastagem média produtividade"),Default!$E$292,0))</f>
        <v>0</v>
      </c>
      <c r="I708" s="463">
        <f>(IF(AND('Entradas Rebanho'!$D$95="Pastagem degradada",'Entradas Rebanho'!$E$95="Pastagem média produtividade"),Default!$E$293,0))</f>
        <v>0</v>
      </c>
      <c r="J708" s="463">
        <f>(IF(AND('Entradas Rebanho'!$D$95="Pastagem média produtividade",'Entradas Rebanho'!$E$95="Pastagem média produtividade"),Default!$E$294,0))</f>
        <v>0</v>
      </c>
      <c r="K708" s="463">
        <f>(IF(AND('Entradas Rebanho'!$D$95="Pastagem alta produtividade",'Entradas Rebanho'!$E$95="Pastagem média produtividade"),Default!$E$295,0))</f>
        <v>0</v>
      </c>
      <c r="L708" s="463">
        <f>(IF(AND('Entradas Rebanho'!$D$95="Cultura para ensilagem (1 safra e pousio) - Plantio convencional",'Entradas Rebanho'!$E$95="Pastagem média produtividade"),Default!$E$296,0))</f>
        <v>0</v>
      </c>
      <c r="M708" s="463">
        <f>(IF(AND('Entradas Rebanho'!$D$95="Cultura para ensilagem (1 safra e pousio) - Plantio direto",'Entradas Rebanho'!$E$95="Pastagem média produtividade"),Default!$E$297,0))</f>
        <v>0</v>
      </c>
      <c r="N708" s="463">
        <f>(IF(AND('Entradas Rebanho'!$D$95="Cultura para ensilagem (2 safras) - Plantio convencional",'Entradas Rebanho'!$E$95="Pastagem média produtividade"),Default!$E$298,0))</f>
        <v>0</v>
      </c>
      <c r="O708" s="463">
        <f>(IF(AND('Entradas Rebanho'!$D$95="Cultura para ensilagem (2 safras) - Plantio direto",'Entradas Rebanho'!$E$95="Pastagem média produtividade"),Default!$E$299,0))</f>
        <v>0</v>
      </c>
      <c r="P708" s="464">
        <f>(IF(AND('Entradas Rebanho'!$D$95="Sistemas integrados; Rotação de culturas com plantio direto; Plantas de cobertura na entresafra",'Entradas Rebanho'!$E$95="Pastagem média produtividade"),Default!$E$300,0))</f>
        <v>0</v>
      </c>
      <c r="Q708" s="2"/>
      <c r="R708" s="2"/>
      <c r="S708" s="2"/>
      <c r="T708" s="2"/>
      <c r="U708" s="2"/>
      <c r="V708" s="2"/>
      <c r="W708" s="2"/>
      <c r="X708" s="2"/>
      <c r="Y708" s="2"/>
      <c r="Z708" s="2"/>
      <c r="AA708" s="2"/>
    </row>
    <row r="709" spans="1:27" ht="15.75" customHeight="1">
      <c r="A709" s="132"/>
      <c r="B709" s="429"/>
      <c r="C709" s="429"/>
      <c r="D709" s="429"/>
      <c r="E709" s="538"/>
      <c r="F709" s="2"/>
      <c r="G709" s="2"/>
      <c r="H709" s="462">
        <f>(IF(AND('Entradas Rebanho'!$D$95="Vegetação natural",'Entradas Rebanho'!$E$95="Pastagem alta produtividade"),Default!$F$292,0))</f>
        <v>0</v>
      </c>
      <c r="I709" s="463">
        <f>(IF(AND('Entradas Rebanho'!$D$95="Pastagem degradada",'Entradas Rebanho'!$E$95="Pastagem alta produtividade"),Default!$F$293,0))</f>
        <v>0</v>
      </c>
      <c r="J709" s="463">
        <f>(IF(AND('Entradas Rebanho'!$D$95="Pastagem média produtividade",'Entradas Rebanho'!$E$95="Pastagem alta produtividade"),Default!$F$294,0))</f>
        <v>0</v>
      </c>
      <c r="K709" s="463">
        <f>(IF(AND('Entradas Rebanho'!$D$95="Pastagem alta produtividade",'Entradas Rebanho'!$E$95="Pastagem alta produtividade"),Default!$F$295,0))</f>
        <v>0</v>
      </c>
      <c r="L709" s="463">
        <f>(IF(AND('Entradas Rebanho'!$D$95="Cultura para ensilagem (1 safra e pousio) - Plantio convencional",'Entradas Rebanho'!$E$95="Pastagem alta produtividade"),Default!$F$296,0))</f>
        <v>0</v>
      </c>
      <c r="M709" s="463">
        <f>(IF(AND('Entradas Rebanho'!$D$95="Cultura para ensilagem (1 safra e pousio) - Plantio direto",'Entradas Rebanho'!$E$95="Pastagem alta produtividade"),Default!$F$297,0))</f>
        <v>0</v>
      </c>
      <c r="N709" s="463">
        <f>(IF(AND('Entradas Rebanho'!$D$95="Cultura para ensilagem (2 safras) - Plantio convencional",'Entradas Rebanho'!$E$95="Pastagem alta produtividade"),Default!$F$298,0))</f>
        <v>0</v>
      </c>
      <c r="O709" s="463">
        <f>(IF(AND('Entradas Rebanho'!$D$95="Cultura para ensilagem (2 safras) - Plantio direto",'Entradas Rebanho'!$E$95="Pastagem alta produtividade"),Default!$F$299,0))</f>
        <v>0</v>
      </c>
      <c r="P709" s="464">
        <f>(IF(AND('Entradas Rebanho'!$D$95="Sistemas integrados; Rotação de culturas com plantio direto; Plantas de cobertura na entresafra",'Entradas Rebanho'!$E$95="Pastagem alta produtividade"),Default!$F$300,0))</f>
        <v>0</v>
      </c>
      <c r="Q709" s="2"/>
      <c r="R709" s="2"/>
      <c r="S709" s="2"/>
      <c r="T709" s="2"/>
      <c r="U709" s="2"/>
      <c r="V709" s="2"/>
      <c r="W709" s="2"/>
      <c r="X709" s="2"/>
      <c r="Y709" s="2"/>
      <c r="Z709" s="2"/>
      <c r="AA709" s="2"/>
    </row>
    <row r="710" spans="1:27" ht="15.75" customHeight="1">
      <c r="A710" s="132"/>
      <c r="B710" s="429"/>
      <c r="C710" s="429"/>
      <c r="D710" s="429"/>
      <c r="E710" s="538"/>
      <c r="F710" s="2"/>
      <c r="G710" s="2"/>
      <c r="H710" s="462">
        <f>(IF(AND('Entradas Rebanho'!$D$95="Vegetação natural",'Entradas Rebanho'!$E$95="Cultura para ensilagem (1 safra e pousio) - Plantio convencional"),Default!$G$292,0))</f>
        <v>0</v>
      </c>
      <c r="I710" s="463">
        <f>(IF(AND('Entradas Rebanho'!$D$95="Pastagem degradada",'Entradas Rebanho'!$E$95="Cultura para ensilagem (1 safra e pousio) - Plantio convencional"),Default!$G$293,0))</f>
        <v>0</v>
      </c>
      <c r="J710" s="463">
        <f>(IF(AND('Entradas Rebanho'!$D$95="Pastagem média produtividade",'Entradas Rebanho'!$E$95="Cultura para ensilagem (1 safra e pousio) - Plantio convencional"),Default!$G$294,0))</f>
        <v>0</v>
      </c>
      <c r="K710" s="463">
        <f>(IF(AND('Entradas Rebanho'!$D$95="Pastagem alta produtividade",'Entradas Rebanho'!$E$95="Cultura para ensilagem (1 safra e pousio) - Plantio convencional"),Default!$G$295,0))</f>
        <v>0</v>
      </c>
      <c r="L710" s="463">
        <f>(IF(AND('Entradas Rebanho'!$D$95="Cultura para ensilagem (1 safra e pousio) - Plantio convencional",'Entradas Rebanho'!$E$95="Cultura para ensilagem (1 safra e pousio) - Plantio convencional"),Default!$G$296,0))</f>
        <v>0</v>
      </c>
      <c r="M710" s="463">
        <f>(IF(AND('Entradas Rebanho'!$D$95="Cultura para ensilagem (1 safra e pousio) - Plantio direto",'Entradas Rebanho'!$E$95="Cultura para ensilagem (1 safra e pousio) - Plantio convencional"),Default!$G$297,0))</f>
        <v>0</v>
      </c>
      <c r="N710" s="463">
        <f>(IF(AND('Entradas Rebanho'!$D$95="Cultura para ensilagem (2 safras) - Plantio convencional",'Entradas Rebanho'!$E$95="Cultura para ensilagem (1 safra e pousio) - Plantio convencional"),Default!$G$298,0))</f>
        <v>0</v>
      </c>
      <c r="O710" s="463">
        <f>(IF(AND('Entradas Rebanho'!$D$95="Cultura para ensilagem (2 safras) - Plantio direto",'Entradas Rebanho'!$E$95="Cultura para ensilagem (1 safra e pousio) - Plantio convencional"),Default!$G$299,0))</f>
        <v>0</v>
      </c>
      <c r="P710" s="464">
        <f>(IF(AND('Entradas Rebanho'!$D$95="Sistemas integrados; Rotação de culturas com plantio direto; Plantas de cobertura na entresafra",'Entradas Rebanho'!$E$95="Cultura para ensilagem (1 safra e pousio) - Plantio convencional"),Default!$G$300,0))</f>
        <v>0</v>
      </c>
      <c r="Q710" s="2"/>
      <c r="R710" s="2"/>
      <c r="S710" s="2"/>
      <c r="T710" s="2"/>
      <c r="U710" s="2"/>
      <c r="V710" s="2"/>
      <c r="W710" s="2"/>
      <c r="X710" s="2"/>
      <c r="Y710" s="2"/>
      <c r="Z710" s="2"/>
      <c r="AA710" s="2"/>
    </row>
    <row r="711" spans="1:27" ht="15.75" customHeight="1">
      <c r="A711" s="2"/>
      <c r="B711" s="429"/>
      <c r="C711" s="429"/>
      <c r="D711" s="429"/>
      <c r="E711" s="430"/>
      <c r="F711" s="2"/>
      <c r="G711" s="2"/>
      <c r="H711" s="462">
        <f>(IF(AND('Entradas Rebanho'!$D$95="Vegetação natural",'Entradas Rebanho'!$E$95="Cultura para ensilagem (1 safra e pousio) - Plantio direto"),Default!$H$292,0))</f>
        <v>0</v>
      </c>
      <c r="I711" s="463">
        <f>(IF(AND('Entradas Rebanho'!$D$95="Pastagem degradada",'Entradas Rebanho'!$E$95="Cultura para ensilagem (1 safra e pousio) - Plantio direto"),Default!$H$293,0))</f>
        <v>0</v>
      </c>
      <c r="J711" s="463">
        <f>(IF(AND('Entradas Rebanho'!$D$95="Pastagem média produtividade",'Entradas Rebanho'!$E$95="Cultura para ensilagem (1 safra e pousio) - Plantio direto"),Default!$H$294,0))</f>
        <v>0</v>
      </c>
      <c r="K711" s="463">
        <f>(IF(AND('Entradas Rebanho'!$D$95="Pastagem alta produtividade",'Entradas Rebanho'!$E$95="Cultura para ensilagem (1 safra e pousio) - Plantio direto"),Default!$H$295,0))</f>
        <v>0</v>
      </c>
      <c r="L711" s="463">
        <f>(IF(AND('Entradas Rebanho'!$D$95="Cultura para ensilagem (1 safra e pousio) - Plantio convencional",'Entradas Rebanho'!$E$95="Cultura para ensilagem (1 safra e pousio) - Plantio direto"),Default!$H$296,0))</f>
        <v>0</v>
      </c>
      <c r="M711" s="463">
        <f>(IF(AND('Entradas Rebanho'!$D$95="Cultura para ensilagem (1 safra e pousio) - Plantio direto",'Entradas Rebanho'!$E$95="Cultura para ensilagem (1 safra e pousio) - Plantio direto"),Default!$H$297,0))</f>
        <v>0</v>
      </c>
      <c r="N711" s="463">
        <f>(IF(AND('Entradas Rebanho'!$D$95="Cultura para ensilagem (2 safras) - Plantio convencional",'Entradas Rebanho'!$E$95="Cultura para ensilagem (1 safra e pousio) - Plantio direto"),Default!$H$298,0))</f>
        <v>0</v>
      </c>
      <c r="O711" s="463">
        <f>(IF(AND('Entradas Rebanho'!$D$95="Cultura para ensilagem (2 safras) - Plantio direto",'Entradas Rebanho'!$E$95="Cultura para ensilagem (1 safra e pousio) - Plantio direto"),Default!$H$299,0))</f>
        <v>0</v>
      </c>
      <c r="P711" s="464">
        <f>(IF(AND('Entradas Rebanho'!$D$95="Sistemas integrados; Rotação de culturas com plantio direto; Plantas de cobertura na entresafra",'Entradas Rebanho'!$E$95="Cultura para ensilagem (1 safra e pousio) - Plantio direto"),Default!$H$300,0))</f>
        <v>0</v>
      </c>
      <c r="Q711" s="2"/>
      <c r="R711" s="2"/>
      <c r="S711" s="2"/>
      <c r="T711" s="2"/>
      <c r="U711" s="2"/>
      <c r="V711" s="2"/>
      <c r="W711" s="2"/>
      <c r="X711" s="2"/>
      <c r="Y711" s="2"/>
      <c r="Z711" s="2"/>
      <c r="AA711" s="2"/>
    </row>
    <row r="712" spans="1:27" ht="15.75" customHeight="1">
      <c r="A712" s="2"/>
      <c r="B712" s="429"/>
      <c r="C712" s="429"/>
      <c r="D712" s="429"/>
      <c r="E712" s="430"/>
      <c r="F712" s="2"/>
      <c r="G712" s="2"/>
      <c r="H712" s="462">
        <f>(IF(AND('Entradas Rebanho'!$D$95="Vegetação natural",'Entradas Rebanho'!$E$95="Cultura para ensilagem (2 safras) - Plantio convencional"),Default!$I$292,0))</f>
        <v>0</v>
      </c>
      <c r="I712" s="463">
        <f>(IF(AND('Entradas Rebanho'!$D$95="Pastagem degradada",'Entradas Rebanho'!$E$95="Cultura para ensilagem (2 safras) - Plantio convencional"),Default!$I$293,0))</f>
        <v>0</v>
      </c>
      <c r="J712" s="463">
        <f>(IF(AND('Entradas Rebanho'!$D$95="Pastagem média produtividade",'Entradas Rebanho'!$E$95="Cultura para ensilagem (2 safras) - Plantio convencional"),Default!$I$294,0))</f>
        <v>0</v>
      </c>
      <c r="K712" s="463">
        <f>(IF(AND('Entradas Rebanho'!$D$95="Pastagem alta produtividade",'Entradas Rebanho'!$E$95="Cultura para ensilagem (2 safras) - Plantio convencional"),Default!$I$295,0))</f>
        <v>0</v>
      </c>
      <c r="L712" s="463">
        <f>(IF(AND('Entradas Rebanho'!$D$95="Cultura para ensilagem (1 safra e pousio) - Plantio convencional",'Entradas Rebanho'!$E$95="Cultura para ensilagem (2 safras) - Plantio convencional"),Default!$I$296,0))</f>
        <v>0</v>
      </c>
      <c r="M712" s="463">
        <f>(IF(AND('Entradas Rebanho'!$D$95="Cultura para ensilagem (1 safra e pousio) - Plantio direto",'Entradas Rebanho'!$E$95="Cultura para ensilagem (2 safras) - Plantio convencional"),Default!$I$297,0))</f>
        <v>0</v>
      </c>
      <c r="N712" s="463">
        <f>(IF(AND('Entradas Rebanho'!$D$95="Cultura para ensilagem (2 safras) - Plantio convencional",'Entradas Rebanho'!$E$95="Cultura para ensilagem (2 safras) - Plantio convencional"),Default!$I$298,0))</f>
        <v>0</v>
      </c>
      <c r="O712" s="463">
        <f>(IF(AND('Entradas Rebanho'!$D$95="Cultura para ensilagem (2 safras) - Plantio direto",'Entradas Rebanho'!$E$95="Cultura para ensilagem (2 safras) - Plantio convencional"),Default!$I$299,0))</f>
        <v>0</v>
      </c>
      <c r="P712" s="464">
        <f>(IF(AND('Entradas Rebanho'!$D$95="Sistemas integrados; Rotação de culturas com plantio direto; Plantas de cobertura na entresafra",'Entradas Rebanho'!$E$95="Cultura para ensilagem (2 safras) - Plantio convencional"),Default!$I$300,0))</f>
        <v>0</v>
      </c>
      <c r="Q712" s="2"/>
      <c r="R712" s="2"/>
      <c r="S712" s="2"/>
      <c r="T712" s="2"/>
      <c r="U712" s="2"/>
      <c r="V712" s="2"/>
      <c r="W712" s="2"/>
      <c r="X712" s="2"/>
      <c r="Y712" s="2"/>
      <c r="Z712" s="2"/>
      <c r="AA712" s="2"/>
    </row>
    <row r="713" spans="1:27" ht="15.75" customHeight="1">
      <c r="A713" s="2"/>
      <c r="B713" s="429"/>
      <c r="C713" s="429"/>
      <c r="D713" s="429"/>
      <c r="E713" s="430"/>
      <c r="F713" s="2"/>
      <c r="G713" s="2"/>
      <c r="H713" s="462">
        <f>(IF(AND('Entradas Rebanho'!$D$95="Vegetação natural",'Entradas Rebanho'!$E$95="Cultura para ensilagem (2 safras) - Plantio direto"),Default!$J$292,0))</f>
        <v>0</v>
      </c>
      <c r="I713" s="463">
        <f>(IF(AND('Entradas Rebanho'!$D$95="Pastagem degradada",'Entradas Rebanho'!$E$95="Cultura para ensilagem (2 safras) - Plantio direto"),Default!$J$293,0))</f>
        <v>0</v>
      </c>
      <c r="J713" s="463">
        <f>(IF(AND('Entradas Rebanho'!$D$95="Pastagem média produtividade",'Entradas Rebanho'!$E$95="Cultura para ensilagem (2 safras) - Plantio direto"),Default!$J$294,0))</f>
        <v>0</v>
      </c>
      <c r="K713" s="463">
        <f>(IF(AND('Entradas Rebanho'!$D$95="Pastagem alta produtividade",'Entradas Rebanho'!$E$95="Cultura para ensilagem (2 safras) - Plantio direto"),Default!$J$295,0))</f>
        <v>0</v>
      </c>
      <c r="L713" s="463">
        <f>(IF(AND('Entradas Rebanho'!$D$95="Cultura para ensilagem (1 safra e pousio) - Plantio convencional",'Entradas Rebanho'!$E$95="Cultura para ensilagem (2 safras) - Plantio direto"),Default!$J$296,0))</f>
        <v>0</v>
      </c>
      <c r="M713" s="463">
        <f>(IF(AND('Entradas Rebanho'!$D$95="Cultura para ensilagem (1 safra e pousio) - Plantio direto",'Entradas Rebanho'!$E$95="Cultura para ensilagem (2 safras) - Plantio direto"),Default!$J$297,0))</f>
        <v>0</v>
      </c>
      <c r="N713" s="463">
        <f>(IF(AND('Entradas Rebanho'!$D$95="Cultura para ensilagem (2 safras) - Plantio convencional",'Entradas Rebanho'!$E$95="Cultura para ensilagem (2 safras) - Plantio direto"),Default!$J$298,0))</f>
        <v>0</v>
      </c>
      <c r="O713" s="463">
        <f>(IF(AND('Entradas Rebanho'!$D$95="Cultura para ensilagem (2 safras) - Plantio direto",'Entradas Rebanho'!$E$95="Cultura para ensilagem (2 safras) - Plantio direto"),Default!$J$299,0))</f>
        <v>0</v>
      </c>
      <c r="P713" s="464">
        <f>(IF(AND('Entradas Rebanho'!$D$95="Sistemas integrados; Rotação de culturas com plantio direto; Plantas de cobertura na entresafra",'Entradas Rebanho'!$E$95="Cultura para ensilagem (2 safras) - Plantio direto"),Default!$J$300,0))</f>
        <v>0</v>
      </c>
      <c r="Q713" s="2"/>
      <c r="R713" s="2"/>
      <c r="S713" s="2"/>
      <c r="T713" s="2"/>
      <c r="U713" s="2"/>
      <c r="V713" s="2"/>
      <c r="W713" s="2"/>
      <c r="X713" s="2"/>
      <c r="Y713" s="2"/>
      <c r="Z713" s="2"/>
      <c r="AA713" s="2"/>
    </row>
    <row r="714" spans="1:27" ht="15.75" customHeight="1" thickBot="1">
      <c r="A714" s="2"/>
      <c r="B714" s="429"/>
      <c r="C714" s="429"/>
      <c r="D714" s="429"/>
      <c r="E714" s="430"/>
      <c r="F714" s="2"/>
      <c r="G714" s="2"/>
      <c r="H714" s="465">
        <f>(IF(AND('Entradas Rebanho'!$D$95="Vegetação natural",'Entradas Rebanho'!$E$95="Sistemas integrados; Rotação de culturas com plantio direto; Plantas de cobertura na entresafra"),Default!$K$292,0))</f>
        <v>0</v>
      </c>
      <c r="I714" s="466">
        <f>(IF(AND('Entradas Rebanho'!$D$95="Pastagem degradada",'Entradas Rebanho'!$E$95="Sistemas integrados; Rotação de culturas com plantio direto; Plantas de cobertura na entresafra"),Default!$K$293,0))</f>
        <v>0</v>
      </c>
      <c r="J714" s="466">
        <f>(IF(AND('Entradas Rebanho'!$D$95="Pastagem média produtividade",'Entradas Rebanho'!$E$95="Sistemas integrados; Rotação de culturas com plantio direto; Plantas de cobertura na entresafra"),Default!$K$294,0))</f>
        <v>0</v>
      </c>
      <c r="K714" s="466">
        <f>(IF(AND('Entradas Rebanho'!$D$95="Pastagem alta produtividade",'Entradas Rebanho'!$E$95="Sistemas integrados; Rotação de culturas com plantio direto; Plantas de cobertura na entresafra"),Default!$K$295,0))</f>
        <v>0</v>
      </c>
      <c r="L714" s="466">
        <f>(IF(AND('Entradas Rebanho'!$D$95="Cultura para ensilagem (1 safra e pousio) - Plantio convencional",'Entradas Rebanho'!$E$95="Sistemas integrados; Rotação de culturas com plantio direto; Plantas de cobertura na entresafra"),Default!$K$296,0))</f>
        <v>0</v>
      </c>
      <c r="M714" s="466">
        <f>(IF(AND('Entradas Rebanho'!$D$95="Cultura para ensilagem (1 safra e pousio) - Plantio direto",'Entradas Rebanho'!$E$95="Sistemas integrados; Rotação de culturas com plantio direto; Plantas de cobertura na entresafra"),Default!$K$297,0))</f>
        <v>0</v>
      </c>
      <c r="N714" s="466">
        <f>(IF(AND('Entradas Rebanho'!$D$95="Cultura para ensilagem (2 safras) - Plantio convencional",'Entradas Rebanho'!$E$95="Sistemas integrados; Rotação de culturas com plantio direto; Plantas de cobertura na entresafra"),Default!$K$298,0))</f>
        <v>0</v>
      </c>
      <c r="O714" s="466">
        <f>(IF(AND('Entradas Rebanho'!$D$95="Cultura para ensilagem (2 safras) - Plantio direto",'Entradas Rebanho'!$E$95="Sistemas integrados; Rotação de culturas com plantio direto; Plantas de cobertura na entresafra"),Default!$K$299,0))</f>
        <v>0</v>
      </c>
      <c r="P714" s="467">
        <f>(IF(AND('Entradas Rebanho'!$D$95="Sistemas integrados; Rotação de culturas com plantio direto; Plantas de cobertura na entresafra",'Entradas Rebanho'!$E$95="Sistemas integrados; Rotação de culturas com plantio direto; Plantas de cobertura na entresafra"),Default!$K$300,0))</f>
        <v>0</v>
      </c>
      <c r="Q714" s="2"/>
      <c r="R714" s="2"/>
      <c r="S714" s="2"/>
      <c r="T714" s="2"/>
      <c r="U714" s="2"/>
      <c r="V714" s="2"/>
      <c r="W714" s="2"/>
      <c r="X714" s="2"/>
      <c r="Y714" s="2"/>
      <c r="Z714" s="2"/>
      <c r="AA714" s="2"/>
    </row>
    <row r="715" spans="1:27" ht="15.75" customHeight="1" thickBot="1">
      <c r="A715" s="2"/>
      <c r="B715" s="430"/>
      <c r="C715" s="430"/>
      <c r="D715" s="430"/>
      <c r="E715" s="430"/>
      <c r="F715" s="2"/>
      <c r="G715" s="2"/>
      <c r="H715" s="2"/>
      <c r="I715" s="2"/>
      <c r="J715" s="2"/>
      <c r="K715" s="2"/>
      <c r="L715" s="2"/>
      <c r="M715" s="2"/>
      <c r="N715" s="2"/>
      <c r="O715" s="2"/>
      <c r="P715" s="2"/>
      <c r="Q715" s="2"/>
      <c r="R715" s="2"/>
      <c r="S715" s="2"/>
      <c r="T715" s="2"/>
      <c r="U715" s="2"/>
      <c r="V715" s="2"/>
      <c r="W715" s="2"/>
      <c r="X715" s="2"/>
      <c r="Y715" s="2"/>
      <c r="Z715" s="2"/>
      <c r="AA715" s="2"/>
    </row>
    <row r="716" spans="1:27" ht="15.75" customHeight="1">
      <c r="A716" s="2"/>
      <c r="B716" s="430"/>
      <c r="C716" s="430"/>
      <c r="D716" s="430"/>
      <c r="E716" s="430"/>
      <c r="F716" s="2"/>
      <c r="G716" s="2">
        <v>4</v>
      </c>
      <c r="H716" s="459" t="s">
        <v>56</v>
      </c>
      <c r="I716" s="460" t="s">
        <v>290</v>
      </c>
      <c r="J716" s="460" t="s">
        <v>130</v>
      </c>
      <c r="K716" s="460" t="s">
        <v>133</v>
      </c>
      <c r="L716" s="460" t="s">
        <v>1099</v>
      </c>
      <c r="M716" s="460" t="s">
        <v>1100</v>
      </c>
      <c r="N716" s="460" t="s">
        <v>1101</v>
      </c>
      <c r="O716" s="460" t="s">
        <v>1102</v>
      </c>
      <c r="P716" s="461" t="s">
        <v>1103</v>
      </c>
      <c r="Q716" s="2"/>
      <c r="R716" s="2"/>
      <c r="S716" s="2"/>
      <c r="T716" s="2"/>
      <c r="U716" s="2"/>
      <c r="V716" s="2"/>
      <c r="W716" s="2"/>
      <c r="X716" s="2"/>
      <c r="Y716" s="2"/>
      <c r="Z716" s="2"/>
      <c r="AA716" s="2"/>
    </row>
    <row r="717" spans="1:27" ht="15.75" customHeight="1">
      <c r="A717" s="2"/>
      <c r="B717" s="430"/>
      <c r="C717" s="430"/>
      <c r="D717" s="430"/>
      <c r="E717" s="430"/>
      <c r="F717" s="2"/>
      <c r="G717" s="2"/>
      <c r="H717" s="462">
        <f>(IF(AND('Entradas Rebanho'!$D$96="Vegetação natural",'Entradas Rebanho'!$E$96="Vegetação natural"),Default!$C$292,0))</f>
        <v>0</v>
      </c>
      <c r="I717" s="463">
        <f>(IF(AND('Entradas Rebanho'!$D$96="Pastagem degradada",'Entradas Rebanho'!$E$96="Vegetação natural"),Default!$C$293,0))</f>
        <v>0</v>
      </c>
      <c r="J717" s="463">
        <f>(IF(AND('Entradas Rebanho'!$D$96="Pastagem média produtividade",'Entradas Rebanho'!$E$96="Vegetação natural"),Default!$C$294,0))</f>
        <v>0</v>
      </c>
      <c r="K717" s="463">
        <f>(IF(AND('Entradas Rebanho'!$D$96="Pastagem alta produtividade",'Entradas Rebanho'!$E$96="Vegetação natural"),Default!$C$295,0))</f>
        <v>0</v>
      </c>
      <c r="L717" s="463">
        <f>(IF(AND('Entradas Rebanho'!$D$96="Cultura para ensilagem (1 safra e pousio) - Plantio convencional",'Entradas Rebanho'!$E$96="Vegetação natural"),Default!$C$296,0))</f>
        <v>0</v>
      </c>
      <c r="M717" s="463">
        <f>(IF(AND('Entradas Rebanho'!$D$96="Cultura para ensilagem (1 safra e pousio) - Plantio direto",'Entradas Rebanho'!$E$96="Vegetação natural"),Default!$C$297,0))</f>
        <v>0</v>
      </c>
      <c r="N717" s="463">
        <f>(IF(AND('Entradas Rebanho'!$D$96="Cultura para ensilagem (2 safras) - Plantio convencional",'Entradas Rebanho'!$E$96="Vegetação natural"),Default!$C$298,0))</f>
        <v>0</v>
      </c>
      <c r="O717" s="463">
        <f>(IF(AND('Entradas Rebanho'!$D$96="Cultura para ensilagem (2 safras) - Plantio direto",'Entradas Rebanho'!$E$96="Vegetação natural"),Default!$C$299,0))</f>
        <v>0</v>
      </c>
      <c r="P717" s="464">
        <f>(IF(AND('Entradas Rebanho'!$D$96="Sistemas integrados; Rotação de culturas com plantio direto; Plantas de cobertura na entresafra",'Entradas Rebanho'!$E$96="Vegetação natural"),Default!$C$300,0))</f>
        <v>0</v>
      </c>
      <c r="Q717" s="2"/>
      <c r="R717" s="2"/>
      <c r="S717" s="2"/>
      <c r="T717" s="2"/>
      <c r="U717" s="2"/>
      <c r="V717" s="2"/>
      <c r="W717" s="2"/>
      <c r="X717" s="2"/>
      <c r="Y717" s="2"/>
      <c r="Z717" s="2"/>
      <c r="AA717" s="2"/>
    </row>
    <row r="718" spans="1:27" ht="15.75" customHeight="1">
      <c r="A718" s="2"/>
      <c r="B718" s="430"/>
      <c r="C718" s="430"/>
      <c r="D718" s="430"/>
      <c r="E718" s="430"/>
      <c r="F718" s="2"/>
      <c r="G718" s="2"/>
      <c r="H718" s="462">
        <f>(IF(AND('Entradas Rebanho'!$D$96="Vegetação natural",'Entradas Rebanho'!$E$96="Pastagem degradada"),Default!$D$292,0))</f>
        <v>0</v>
      </c>
      <c r="I718" s="463">
        <f>(IF(AND('Entradas Rebanho'!$D$96="Pastagem degradada",'Entradas Rebanho'!$E$96="Pastagem degradada"),Default!$D$293,0))</f>
        <v>0</v>
      </c>
      <c r="J718" s="463">
        <f>(IF(AND('Entradas Rebanho'!$D$96="Pastagem média produtividade",'Entradas Rebanho'!$E$96="Pastagem degradada"),Default!$D$294,0))</f>
        <v>0</v>
      </c>
      <c r="K718" s="463">
        <f>(IF(AND('Entradas Rebanho'!$D$96="Pastagem alta produtividade",'Entradas Rebanho'!$E$96="Pastagem degradada"),Default!$D$295,0))</f>
        <v>0</v>
      </c>
      <c r="L718" s="463">
        <f>(IF(AND('Entradas Rebanho'!$D$96="Cultura para ensilagem (1 safra e pousio) - Plantio convencional",'Entradas Rebanho'!$E$96="Pastagem degradada"),Default!$D$296,0))</f>
        <v>0</v>
      </c>
      <c r="M718" s="463">
        <f>(IF(AND('Entradas Rebanho'!$D$96="Cultura para ensilagem (1 safra e pousio) - Plantio direto",'Entradas Rebanho'!$E$96="Pastagem degradada"),Default!$D$297,0))</f>
        <v>0</v>
      </c>
      <c r="N718" s="463">
        <f>(IF(AND('Entradas Rebanho'!$D$96="Cultura para ensilagem (2 safras) - Plantio convencional",'Entradas Rebanho'!$E$96="Pastagem degradada"),Default!$D$298,0))</f>
        <v>0</v>
      </c>
      <c r="O718" s="463">
        <f>(IF(AND('Entradas Rebanho'!$D$96="Cultura para ensilagem (2 safras) - Plantio direto",'Entradas Rebanho'!$E$96="Pastagem degradada"),Default!$D$299,0))</f>
        <v>0</v>
      </c>
      <c r="P718" s="464">
        <f>(IF(AND('Entradas Rebanho'!$D$96="Sistemas integrados; Rotação de culturas com plantio direto; Plantas de cobertura na entresafra",'Entradas Rebanho'!$E$96="Pastagem degradada"),Default!$D$300,0))</f>
        <v>0</v>
      </c>
      <c r="Q718" s="2"/>
      <c r="R718" s="2"/>
      <c r="S718" s="2"/>
      <c r="T718" s="2"/>
      <c r="U718" s="2"/>
      <c r="V718" s="2"/>
      <c r="W718" s="2"/>
      <c r="X718" s="2"/>
      <c r="Y718" s="2"/>
      <c r="Z718" s="2"/>
      <c r="AA718" s="2"/>
    </row>
    <row r="719" spans="1:27" ht="15.75" customHeight="1">
      <c r="A719" s="2"/>
      <c r="B719" s="430"/>
      <c r="C719" s="430"/>
      <c r="D719" s="430"/>
      <c r="E719" s="430"/>
      <c r="F719" s="2"/>
      <c r="G719" s="2"/>
      <c r="H719" s="462">
        <f>(IF(AND('Entradas Rebanho'!$D$96="Vegetação natural",'Entradas Rebanho'!$E$96="Pastagem média produtividade"),Default!$E$292,0))</f>
        <v>0</v>
      </c>
      <c r="I719" s="463">
        <f>(IF(AND('Entradas Rebanho'!$D$96="Pastagem degradada",'Entradas Rebanho'!$E$96="Pastagem média produtividade"),Default!$E$293,0))</f>
        <v>0</v>
      </c>
      <c r="J719" s="463">
        <f>(IF(AND('Entradas Rebanho'!$D$96="Pastagem média produtividade",'Entradas Rebanho'!$E$96="Pastagem média produtividade"),Default!$E$294,0))</f>
        <v>0</v>
      </c>
      <c r="K719" s="463">
        <f>(IF(AND('Entradas Rebanho'!$D$96="Pastagem alta produtividade",'Entradas Rebanho'!$E$96="Pastagem média produtividade"),Default!$E$295,0))</f>
        <v>0</v>
      </c>
      <c r="L719" s="463">
        <f>(IF(AND('Entradas Rebanho'!$D$96="Cultura para ensilagem (1 safra e pousio) - Plantio convencional",'Entradas Rebanho'!$E$96="Pastagem média produtividade"),Default!$E$296,0))</f>
        <v>0</v>
      </c>
      <c r="M719" s="463">
        <f>(IF(AND('Entradas Rebanho'!$D$96="Cultura para ensilagem (1 safra e pousio) - Plantio direto",'Entradas Rebanho'!$E$96="Pastagem média produtividade"),Default!$E$297,0))</f>
        <v>0</v>
      </c>
      <c r="N719" s="463">
        <f>(IF(AND('Entradas Rebanho'!$D$96="Cultura para ensilagem (2 safras) - Plantio convencional",'Entradas Rebanho'!$E$96="Pastagem média produtividade"),Default!$E$298,0))</f>
        <v>0</v>
      </c>
      <c r="O719" s="463">
        <f>(IF(AND('Entradas Rebanho'!$D$96="Cultura para ensilagem (2 safras) - Plantio direto",'Entradas Rebanho'!$E$96="Pastagem média produtividade"),Default!$E$299,0))</f>
        <v>0</v>
      </c>
      <c r="P719" s="464">
        <f>(IF(AND('Entradas Rebanho'!$D$96="Sistemas integrados; Rotação de culturas com plantio direto; Plantas de cobertura na entresafra",'Entradas Rebanho'!$E$96="Pastagem média produtividade"),Default!$E$300,0))</f>
        <v>0</v>
      </c>
      <c r="Q719" s="2"/>
      <c r="R719" s="2"/>
      <c r="S719" s="2"/>
      <c r="T719" s="2"/>
      <c r="U719" s="2"/>
      <c r="V719" s="2"/>
      <c r="W719" s="2"/>
      <c r="X719" s="2"/>
      <c r="Y719" s="2"/>
      <c r="Z719" s="2"/>
      <c r="AA719" s="2"/>
    </row>
    <row r="720" spans="1:27" ht="15.75" customHeight="1">
      <c r="A720" s="2"/>
      <c r="B720" s="430"/>
      <c r="C720" s="430"/>
      <c r="D720" s="430"/>
      <c r="E720" s="430"/>
      <c r="F720" s="2"/>
      <c r="G720" s="2"/>
      <c r="H720" s="462">
        <f>(IF(AND('Entradas Rebanho'!$D$96="Vegetação natural",'Entradas Rebanho'!$E$96="Pastagem alta produtividade"),Default!$F$292,0))</f>
        <v>0</v>
      </c>
      <c r="I720" s="463">
        <f>(IF(AND('Entradas Rebanho'!$D$96="Pastagem degradada",'Entradas Rebanho'!$E$96="Pastagem alta produtividade"),Default!$F$293,0))</f>
        <v>0</v>
      </c>
      <c r="J720" s="463">
        <f>(IF(AND('Entradas Rebanho'!$D$96="Pastagem média produtividade",'Entradas Rebanho'!$E$96="Pastagem alta produtividade"),Default!$F$294,0))</f>
        <v>0</v>
      </c>
      <c r="K720" s="463">
        <f>(IF(AND('Entradas Rebanho'!$D$96="Pastagem alta produtividade",'Entradas Rebanho'!$E$96="Pastagem alta produtividade"),Default!$F$295,0))</f>
        <v>0</v>
      </c>
      <c r="L720" s="463">
        <f>(IF(AND('Entradas Rebanho'!$D$96="Cultura para ensilagem (1 safra e pousio) - Plantio convencional",'Entradas Rebanho'!$E$96="Pastagem alta produtividade"),Default!$F$296,0))</f>
        <v>0</v>
      </c>
      <c r="M720" s="463">
        <f>(IF(AND('Entradas Rebanho'!$D$96="Cultura para ensilagem (1 safra e pousio) - Plantio direto",'Entradas Rebanho'!$E$96="Pastagem alta produtividade"),Default!$F$297,0))</f>
        <v>0</v>
      </c>
      <c r="N720" s="463">
        <f>(IF(AND('Entradas Rebanho'!$D$96="Cultura para ensilagem (2 safras) - Plantio convencional",'Entradas Rebanho'!$E$96="Pastagem alta produtividade"),Default!$F$298,0))</f>
        <v>0</v>
      </c>
      <c r="O720" s="463">
        <f>(IF(AND('Entradas Rebanho'!$D$96="Cultura para ensilagem (2 safras) - Plantio direto",'Entradas Rebanho'!$E$96="Pastagem alta produtividade"),Default!$F$299,0))</f>
        <v>0</v>
      </c>
      <c r="P720" s="464">
        <f>(IF(AND('Entradas Rebanho'!$D$96="Sistemas integrados; Rotação de culturas com plantio direto; Plantas de cobertura na entresafra",'Entradas Rebanho'!$E$96="Pastagem alta produtividade"),Default!$F$300,0))</f>
        <v>0</v>
      </c>
      <c r="Q720" s="2"/>
      <c r="R720" s="2"/>
      <c r="S720" s="2"/>
      <c r="T720" s="2"/>
      <c r="U720" s="2"/>
      <c r="V720" s="2"/>
      <c r="W720" s="2"/>
      <c r="X720" s="2"/>
      <c r="Y720" s="2"/>
      <c r="Z720" s="2"/>
      <c r="AA720" s="2"/>
    </row>
    <row r="721" spans="1:27" ht="15.75" customHeight="1">
      <c r="A721" s="2"/>
      <c r="B721" s="430"/>
      <c r="C721" s="430"/>
      <c r="D721" s="430"/>
      <c r="E721" s="430"/>
      <c r="F721" s="2"/>
      <c r="G721" s="2"/>
      <c r="H721" s="462">
        <f>(IF(AND('Entradas Rebanho'!$D$96="Vegetação natural",'Entradas Rebanho'!$E$96="Cultura para ensilagem (1 safra e pousio) - Plantio convencional"),Default!$G$292,0))</f>
        <v>0</v>
      </c>
      <c r="I721" s="463">
        <f>(IF(AND('Entradas Rebanho'!$D$96="Pastagem degradada",'Entradas Rebanho'!$E$96="Cultura para ensilagem (1 safra e pousio) - Plantio convencional"),Default!$G$293,0))</f>
        <v>0</v>
      </c>
      <c r="J721" s="463">
        <f>(IF(AND('Entradas Rebanho'!$D$96="Pastagem média produtividade",'Entradas Rebanho'!$E$96="Cultura para ensilagem (1 safra e pousio) - Plantio convencional"),Default!$G$294,0))</f>
        <v>0</v>
      </c>
      <c r="K721" s="463">
        <f>(IF(AND('Entradas Rebanho'!$D$96="Pastagem alta produtividade",'Entradas Rebanho'!$E$96="Cultura para ensilagem (1 safra e pousio) - Plantio convencional"),Default!$G$295,0))</f>
        <v>0</v>
      </c>
      <c r="L721" s="463">
        <f>(IF(AND('Entradas Rebanho'!$D$96="Cultura para ensilagem (1 safra e pousio) - Plantio convencional",'Entradas Rebanho'!$E$96="Cultura para ensilagem (1 safra e pousio) - Plantio convencional"),Default!$G$296,0))</f>
        <v>0</v>
      </c>
      <c r="M721" s="463">
        <f>(IF(AND('Entradas Rebanho'!$D$96="Cultura para ensilagem (1 safra e pousio) - Plantio direto",'Entradas Rebanho'!$E$96="Cultura para ensilagem (1 safra e pousio) - Plantio convencional"),Default!$G$297,0))</f>
        <v>0</v>
      </c>
      <c r="N721" s="463">
        <f>(IF(AND('Entradas Rebanho'!$D$96="Cultura para ensilagem (2 safras) - Plantio convencional",'Entradas Rebanho'!$E$96="Cultura para ensilagem (1 safra e pousio) - Plantio convencional"),Default!$G$298,0))</f>
        <v>0</v>
      </c>
      <c r="O721" s="463">
        <f>(IF(AND('Entradas Rebanho'!$D$96="Cultura para ensilagem (2 safras) - Plantio direto",'Entradas Rebanho'!$E$96="Cultura para ensilagem (1 safra e pousio) - Plantio convencional"),Default!$G$299,0))</f>
        <v>0</v>
      </c>
      <c r="P721" s="464">
        <f>(IF(AND('Entradas Rebanho'!$D$96="Sistemas integrados; Rotação de culturas com plantio direto; Plantas de cobertura na entresafra",'Entradas Rebanho'!$E$96="Cultura para ensilagem (1 safra e pousio) - Plantio convencional"),Default!$G$300,0))</f>
        <v>0</v>
      </c>
      <c r="Q721" s="2"/>
      <c r="R721" s="2"/>
      <c r="S721" s="2"/>
      <c r="T721" s="2"/>
      <c r="U721" s="2"/>
      <c r="V721" s="2"/>
      <c r="W721" s="2"/>
      <c r="X721" s="2"/>
      <c r="Y721" s="2"/>
      <c r="Z721" s="2"/>
      <c r="AA721" s="2"/>
    </row>
    <row r="722" spans="1:27" ht="15.75" customHeight="1">
      <c r="A722" s="2"/>
      <c r="B722" s="430"/>
      <c r="C722" s="430"/>
      <c r="D722" s="430"/>
      <c r="E722" s="430"/>
      <c r="F722" s="2"/>
      <c r="G722" s="2"/>
      <c r="H722" s="462">
        <f>(IF(AND('Entradas Rebanho'!$D$96="Vegetação natural",'Entradas Rebanho'!$E$96="Cultura para ensilagem (1 safra e pousio) - Plantio direto"),Default!$H$292,0))</f>
        <v>0</v>
      </c>
      <c r="I722" s="463">
        <f>(IF(AND('Entradas Rebanho'!$D$96="Pastagem degradada",'Entradas Rebanho'!$E$96="Cultura para ensilagem (1 safra e pousio) - Plantio direto"),Default!$H$293,0))</f>
        <v>0</v>
      </c>
      <c r="J722" s="463">
        <f>(IF(AND('Entradas Rebanho'!$D$96="Pastagem média produtividade",'Entradas Rebanho'!$E$96="Cultura para ensilagem (1 safra e pousio) - Plantio direto"),Default!$H$294,0))</f>
        <v>0</v>
      </c>
      <c r="K722" s="463">
        <f>(IF(AND('Entradas Rebanho'!$D$96="Pastagem alta produtividade",'Entradas Rebanho'!$E$96="Cultura para ensilagem (1 safra e pousio) - Plantio direto"),Default!$H$295,0))</f>
        <v>0</v>
      </c>
      <c r="L722" s="463">
        <f>(IF(AND('Entradas Rebanho'!$D$96="Cultura para ensilagem (1 safra e pousio) - Plantio convencional",'Entradas Rebanho'!$E$96="Cultura para ensilagem (1 safra e pousio) - Plantio direto"),Default!$H$296,0))</f>
        <v>0</v>
      </c>
      <c r="M722" s="463">
        <f>(IF(AND('Entradas Rebanho'!$D$96="Cultura para ensilagem (1 safra e pousio) - Plantio direto",'Entradas Rebanho'!$E$96="Cultura para ensilagem (1 safra e pousio) - Plantio direto"),Default!$H$297,0))</f>
        <v>0</v>
      </c>
      <c r="N722" s="463">
        <f>(IF(AND('Entradas Rebanho'!$D$96="Cultura para ensilagem (2 safras) - Plantio convencional",'Entradas Rebanho'!$E$96="Cultura para ensilagem (1 safra e pousio) - Plantio direto"),Default!$H$298,0))</f>
        <v>0</v>
      </c>
      <c r="O722" s="463">
        <f>(IF(AND('Entradas Rebanho'!$D$96="Cultura para ensilagem (2 safras) - Plantio direto",'Entradas Rebanho'!$E$96="Cultura para ensilagem (1 safra e pousio) - Plantio direto"),Default!$H$299,0))</f>
        <v>0</v>
      </c>
      <c r="P722" s="464">
        <f>(IF(AND('Entradas Rebanho'!$D$96="Sistemas integrados; Rotação de culturas com plantio direto; Plantas de cobertura na entresafra",'Entradas Rebanho'!$E$96="Cultura para ensilagem (1 safra e pousio) - Plantio direto"),Default!$H$300,0))</f>
        <v>0</v>
      </c>
      <c r="Q722" s="2"/>
      <c r="R722" s="2"/>
      <c r="S722" s="2"/>
      <c r="T722" s="2"/>
      <c r="U722" s="2"/>
      <c r="V722" s="2"/>
      <c r="W722" s="2"/>
      <c r="X722" s="2"/>
      <c r="Y722" s="2"/>
      <c r="Z722" s="2"/>
      <c r="AA722" s="2"/>
    </row>
    <row r="723" spans="1:27" ht="15.75" customHeight="1">
      <c r="A723" s="2"/>
      <c r="B723" s="430"/>
      <c r="C723" s="430"/>
      <c r="D723" s="430"/>
      <c r="E723" s="430"/>
      <c r="F723" s="2"/>
      <c r="G723" s="2"/>
      <c r="H723" s="462">
        <f>(IF(AND('Entradas Rebanho'!$D$96="Vegetação natural",'Entradas Rebanho'!$E$96="Cultura para ensilagem (2 safras) - Plantio convencional"),Default!$I$292,0))</f>
        <v>0</v>
      </c>
      <c r="I723" s="463">
        <f>(IF(AND('Entradas Rebanho'!$D$96="Pastagem degradada",'Entradas Rebanho'!$E$96="Cultura para ensilagem (2 safras) - Plantio convencional"),Default!$I$293,0))</f>
        <v>0</v>
      </c>
      <c r="J723" s="463">
        <f>(IF(AND('Entradas Rebanho'!$D$96="Pastagem média produtividade",'Entradas Rebanho'!$E$96="Cultura para ensilagem (2 safras) - Plantio convencional"),Default!$I$294,0))</f>
        <v>0</v>
      </c>
      <c r="K723" s="463">
        <f>(IF(AND('Entradas Rebanho'!$D$96="Pastagem alta produtividade",'Entradas Rebanho'!$E$96="Cultura para ensilagem (2 safras) - Plantio convencional"),Default!$I$295,0))</f>
        <v>0</v>
      </c>
      <c r="L723" s="463">
        <f>(IF(AND('Entradas Rebanho'!$D$96="Cultura para ensilagem (1 safra e pousio) - Plantio convencional",'Entradas Rebanho'!$E$96="Cultura para ensilagem (2 safras) - Plantio convencional"),Default!$I$296,0))</f>
        <v>0</v>
      </c>
      <c r="M723" s="463">
        <f>(IF(AND('Entradas Rebanho'!$D$96="Cultura para ensilagem (1 safra e pousio) - Plantio direto",'Entradas Rebanho'!$E$96="Cultura para ensilagem (2 safras) - Plantio convencional"),Default!$I$297,0))</f>
        <v>0</v>
      </c>
      <c r="N723" s="463">
        <f>(IF(AND('Entradas Rebanho'!$D$96="Cultura para ensilagem (2 safras) - Plantio convencional",'Entradas Rebanho'!$E$96="Cultura para ensilagem (2 safras) - Plantio convencional"),Default!$I$298,0))</f>
        <v>0</v>
      </c>
      <c r="O723" s="463">
        <f>(IF(AND('Entradas Rebanho'!$D$96="Cultura para ensilagem (2 safras) - Plantio direto",'Entradas Rebanho'!$E$96="Cultura para ensilagem (2 safras) - Plantio convencional"),Default!$I$299,0))</f>
        <v>0</v>
      </c>
      <c r="P723" s="464">
        <f>(IF(AND('Entradas Rebanho'!$D$96="Sistemas integrados; Rotação de culturas com plantio direto; Plantas de cobertura na entresafra",'Entradas Rebanho'!$E$96="Cultura para ensilagem (2 safras) - Plantio convencional"),Default!$I$300,0))</f>
        <v>0</v>
      </c>
      <c r="Q723" s="2"/>
      <c r="R723" s="2"/>
      <c r="S723" s="2"/>
      <c r="T723" s="2"/>
      <c r="U723" s="2"/>
      <c r="V723" s="2"/>
      <c r="W723" s="2"/>
      <c r="X723" s="2"/>
      <c r="Y723" s="2"/>
      <c r="Z723" s="2"/>
      <c r="AA723" s="2"/>
    </row>
    <row r="724" spans="1:27" ht="15.75" customHeight="1">
      <c r="A724" s="2"/>
      <c r="B724" s="430"/>
      <c r="C724" s="430"/>
      <c r="D724" s="430"/>
      <c r="E724" s="430"/>
      <c r="F724" s="2"/>
      <c r="G724" s="2"/>
      <c r="H724" s="462">
        <f>(IF(AND('Entradas Rebanho'!$D$96="Vegetação natural",'Entradas Rebanho'!$E$96="Cultura para ensilagem (2 safras) - Plantio direto"),Default!$J$292,0))</f>
        <v>0</v>
      </c>
      <c r="I724" s="463">
        <f>(IF(AND('Entradas Rebanho'!$D$96="Pastagem degradada",'Entradas Rebanho'!$E$96="Cultura para ensilagem (2 safras) - Plantio direto"),Default!$J$293,0))</f>
        <v>0</v>
      </c>
      <c r="J724" s="463">
        <f>(IF(AND('Entradas Rebanho'!$D$96="Pastagem média produtividade",'Entradas Rebanho'!$E$96="Cultura para ensilagem (2 safras) - Plantio direto"),Default!$J$294,0))</f>
        <v>0</v>
      </c>
      <c r="K724" s="463">
        <f>(IF(AND('Entradas Rebanho'!$D$96="Pastagem alta produtividade",'Entradas Rebanho'!$E$96="Cultura para ensilagem (2 safras) - Plantio direto"),Default!$J$295,0))</f>
        <v>0</v>
      </c>
      <c r="L724" s="463">
        <f>(IF(AND('Entradas Rebanho'!$D$96="Cultura para ensilagem (1 safra e pousio) - Plantio convencional",'Entradas Rebanho'!$E$96="Cultura para ensilagem (2 safras) - Plantio direto"),Default!$J$296,0))</f>
        <v>0</v>
      </c>
      <c r="M724" s="463">
        <f>(IF(AND('Entradas Rebanho'!$D$96="Cultura para ensilagem (1 safra e pousio) - Plantio direto",'Entradas Rebanho'!$E$96="Cultura para ensilagem (2 safras) - Plantio direto"),Default!$J$297,0))</f>
        <v>0</v>
      </c>
      <c r="N724" s="463">
        <f>(IF(AND('Entradas Rebanho'!$D$96="Cultura para ensilagem (2 safras) - Plantio convencional",'Entradas Rebanho'!$E$96="Cultura para ensilagem (2 safras) - Plantio direto"),Default!$J$298,0))</f>
        <v>0</v>
      </c>
      <c r="O724" s="463">
        <f>(IF(AND('Entradas Rebanho'!$D$96="Cultura para ensilagem (2 safras) - Plantio direto",'Entradas Rebanho'!$E$96="Cultura para ensilagem (2 safras) - Plantio direto"),Default!$J$299,0))</f>
        <v>0</v>
      </c>
      <c r="P724" s="464">
        <f>(IF(AND('Entradas Rebanho'!$D$96="Sistemas integrados; Rotação de culturas com plantio direto; Plantas de cobertura na entresafra",'Entradas Rebanho'!$E$96="Cultura para ensilagem (2 safras) - Plantio direto"),Default!$J$300,0))</f>
        <v>0</v>
      </c>
      <c r="Q724" s="2"/>
      <c r="R724" s="2"/>
      <c r="S724" s="2"/>
      <c r="T724" s="2"/>
      <c r="U724" s="2"/>
      <c r="V724" s="2"/>
      <c r="W724" s="2"/>
      <c r="X724" s="2"/>
      <c r="Y724" s="2"/>
      <c r="Z724" s="2"/>
      <c r="AA724" s="2"/>
    </row>
    <row r="725" spans="1:27" ht="15.75" customHeight="1" thickBot="1">
      <c r="A725" s="2"/>
      <c r="B725" s="430"/>
      <c r="C725" s="430"/>
      <c r="D725" s="430"/>
      <c r="E725" s="430"/>
      <c r="F725" s="2"/>
      <c r="G725" s="2"/>
      <c r="H725" s="465">
        <f>(IF(AND('Entradas Rebanho'!$D$96="Vegetação natural",'Entradas Rebanho'!$E$96="Sistemas integrados; Rotação de culturas com plantio direto; Plantas de cobertura na entresafra"),Default!$K$292,0))</f>
        <v>0</v>
      </c>
      <c r="I725" s="466">
        <f>(IF(AND('Entradas Rebanho'!$D$96="Pastagem degradada",'Entradas Rebanho'!$E$96="Sistemas integrados; Rotação de culturas com plantio direto; Plantas de cobertura na entresafra"),Default!$K$293,0))</f>
        <v>0</v>
      </c>
      <c r="J725" s="466">
        <f>(IF(AND('Entradas Rebanho'!$D$96="Pastagem média produtividade",'Entradas Rebanho'!$E$96="Sistemas integrados; Rotação de culturas com plantio direto; Plantas de cobertura na entresafra"),Default!$K$294,0))</f>
        <v>0</v>
      </c>
      <c r="K725" s="466">
        <f>(IF(AND('Entradas Rebanho'!$D$96="Pastagem alta produtividade",'Entradas Rebanho'!$E$96="Sistemas integrados; Rotação de culturas com plantio direto; Plantas de cobertura na entresafra"),Default!$K$295,0))</f>
        <v>0</v>
      </c>
      <c r="L725" s="466">
        <f>(IF(AND('Entradas Rebanho'!$D$96="Cultura para ensilagem (1 safra e pousio) - Plantio convencional",'Entradas Rebanho'!$E$96="Sistemas integrados; Rotação de culturas com plantio direto; Plantas de cobertura na entresafra"),Default!$K$296,0))</f>
        <v>0</v>
      </c>
      <c r="M725" s="466">
        <f>(IF(AND('Entradas Rebanho'!$D$96="Cultura para ensilagem (1 safra e pousio) - Plantio direto",'Entradas Rebanho'!$E$96="Sistemas integrados; Rotação de culturas com plantio direto; Plantas de cobertura na entresafra"),Default!$K$297,0))</f>
        <v>0</v>
      </c>
      <c r="N725" s="466">
        <f>(IF(AND('Entradas Rebanho'!$D$96="Cultura para ensilagem (2 safras) - Plantio convencional",'Entradas Rebanho'!$E$96="Sistemas integrados; Rotação de culturas com plantio direto; Plantas de cobertura na entresafra"),Default!$K$298,0))</f>
        <v>0</v>
      </c>
      <c r="O725" s="466">
        <f>(IF(AND('Entradas Rebanho'!$D$96="Cultura para ensilagem (2 safras) - Plantio direto",'Entradas Rebanho'!$E$96="Sistemas integrados; Rotação de culturas com plantio direto; Plantas de cobertura na entresafra"),Default!$K$299,0))</f>
        <v>0</v>
      </c>
      <c r="P725" s="467">
        <f>(IF(AND('Entradas Rebanho'!$D$96="Sistemas integrados; Rotação de culturas com plantio direto; Plantas de cobertura na entresafra",'Entradas Rebanho'!$E$96="Sistemas integrados; Rotação de culturas com plantio direto; Plantas de cobertura na entresafra"),Default!$K$300,0))</f>
        <v>0</v>
      </c>
      <c r="Q725" s="2"/>
      <c r="R725" s="2"/>
      <c r="S725" s="2"/>
      <c r="T725" s="2"/>
      <c r="U725" s="2"/>
      <c r="V725" s="2"/>
      <c r="W725" s="2"/>
      <c r="X725" s="2"/>
      <c r="Y725" s="2"/>
      <c r="Z725" s="2"/>
      <c r="AA725" s="2"/>
    </row>
    <row r="726" spans="1:27" ht="15.75" customHeight="1" thickBot="1">
      <c r="A726" s="2"/>
      <c r="B726" s="430"/>
      <c r="C726" s="430"/>
      <c r="D726" s="430"/>
      <c r="E726" s="430"/>
      <c r="F726" s="2"/>
      <c r="G726" s="2"/>
      <c r="H726" s="2"/>
      <c r="I726" s="2"/>
      <c r="J726" s="2"/>
      <c r="K726" s="2"/>
      <c r="L726" s="2"/>
      <c r="M726" s="2"/>
      <c r="N726" s="2"/>
      <c r="O726" s="2"/>
      <c r="P726" s="2"/>
      <c r="Q726" s="2"/>
      <c r="R726" s="2"/>
      <c r="S726" s="2"/>
      <c r="T726" s="2"/>
      <c r="U726" s="2"/>
      <c r="V726" s="2"/>
      <c r="W726" s="2"/>
      <c r="X726" s="2"/>
      <c r="Y726" s="2"/>
      <c r="Z726" s="2"/>
      <c r="AA726" s="2"/>
    </row>
    <row r="727" spans="1:27" ht="15.75" customHeight="1">
      <c r="A727" s="2"/>
      <c r="B727" s="430"/>
      <c r="C727" s="430"/>
      <c r="D727" s="430"/>
      <c r="E727" s="430"/>
      <c r="F727" s="2"/>
      <c r="G727" s="2">
        <v>5</v>
      </c>
      <c r="H727" s="459" t="s">
        <v>56</v>
      </c>
      <c r="I727" s="460" t="s">
        <v>290</v>
      </c>
      <c r="J727" s="460" t="s">
        <v>130</v>
      </c>
      <c r="K727" s="460" t="s">
        <v>133</v>
      </c>
      <c r="L727" s="460" t="s">
        <v>1099</v>
      </c>
      <c r="M727" s="460" t="s">
        <v>1100</v>
      </c>
      <c r="N727" s="460" t="s">
        <v>1101</v>
      </c>
      <c r="O727" s="460" t="s">
        <v>1102</v>
      </c>
      <c r="P727" s="461" t="s">
        <v>1103</v>
      </c>
      <c r="Q727" s="2"/>
      <c r="R727" s="2"/>
      <c r="S727" s="2"/>
      <c r="T727" s="2"/>
      <c r="U727" s="2"/>
      <c r="V727" s="2"/>
      <c r="W727" s="2"/>
      <c r="X727" s="2"/>
      <c r="Y727" s="2"/>
      <c r="Z727" s="2"/>
      <c r="AA727" s="2"/>
    </row>
    <row r="728" spans="1:27" ht="15.75" customHeight="1">
      <c r="A728" s="2"/>
      <c r="B728" s="430"/>
      <c r="C728" s="430"/>
      <c r="D728" s="430"/>
      <c r="E728" s="430"/>
      <c r="F728" s="2"/>
      <c r="G728" s="2"/>
      <c r="H728" s="462">
        <f>(IF(AND('Entradas Rebanho'!$D$97="Vegetação natural",'Entradas Rebanho'!$E$97="Vegetação natural"),Default!$C$292,0))</f>
        <v>0</v>
      </c>
      <c r="I728" s="463">
        <f>(IF(AND('Entradas Rebanho'!$D$97="Pastagem degradada",'Entradas Rebanho'!$E$97="Vegetação natural"),Default!$C$293,0))</f>
        <v>0</v>
      </c>
      <c r="J728" s="463">
        <f>(IF(AND('Entradas Rebanho'!$D$97="Pastagem média produtividade",'Entradas Rebanho'!$E$97="Vegetação natural"),Default!$C$294,0))</f>
        <v>0</v>
      </c>
      <c r="K728" s="463">
        <f>(IF(AND('Entradas Rebanho'!$D$97="Pastagem alta produtividade",'Entradas Rebanho'!$E$97="Vegetação natural"),Default!$C$295,0))</f>
        <v>0</v>
      </c>
      <c r="L728" s="463">
        <f>(IF(AND('Entradas Rebanho'!$D$97="Cultura para ensilagem (1 safra e pousio) - Plantio convencional",'Entradas Rebanho'!$E$97="Vegetação natural"),Default!$C$296,0))</f>
        <v>0</v>
      </c>
      <c r="M728" s="463">
        <f>(IF(AND('Entradas Rebanho'!$D$97="Cultura para ensilagem (1 safra e pousio) - Plantio direto",'Entradas Rebanho'!$E$97="Vegetação natural"),Default!$C$297,0))</f>
        <v>0</v>
      </c>
      <c r="N728" s="463">
        <f>(IF(AND('Entradas Rebanho'!$D$97="Cultura para ensilagem (2 safras) - Plantio convencional",'Entradas Rebanho'!$E$97="Vegetação natural"),Default!$C$298,0))</f>
        <v>0</v>
      </c>
      <c r="O728" s="463">
        <f>(IF(AND('Entradas Rebanho'!$D$97="Cultura para ensilagem (2 safras) - Plantio direto",'Entradas Rebanho'!$E$97="Vegetação natural"),Default!$C$299,0))</f>
        <v>0</v>
      </c>
      <c r="P728" s="464">
        <f>(IF(AND('Entradas Rebanho'!$D$97="Sistemas integrados; Rotação de culturas com plantio direto; Plantas de cobertura na entresafra",'Entradas Rebanho'!$E$97="Vegetação natural"),Default!$C$300,0))</f>
        <v>0</v>
      </c>
      <c r="Q728" s="2"/>
      <c r="R728" s="2"/>
      <c r="S728" s="2"/>
      <c r="T728" s="2"/>
      <c r="U728" s="2"/>
      <c r="V728" s="2"/>
      <c r="W728" s="2"/>
      <c r="X728" s="2"/>
      <c r="Y728" s="2"/>
      <c r="Z728" s="2"/>
      <c r="AA728" s="2"/>
    </row>
    <row r="729" spans="1:27" ht="15.75" customHeight="1">
      <c r="A729" s="2"/>
      <c r="B729" s="430"/>
      <c r="C729" s="430"/>
      <c r="D729" s="430"/>
      <c r="E729" s="430"/>
      <c r="F729" s="2"/>
      <c r="G729" s="2"/>
      <c r="H729" s="462">
        <f>(IF(AND('Entradas Rebanho'!$D$97="Vegetação natural",'Entradas Rebanho'!$E$97="Pastagem degradada"),Default!$D$292,0))</f>
        <v>0</v>
      </c>
      <c r="I729" s="463">
        <f>(IF(AND('Entradas Rebanho'!$D$97="Pastagem degradada",'Entradas Rebanho'!$E$97="Pastagem degradada"),Default!$D$293,0))</f>
        <v>0</v>
      </c>
      <c r="J729" s="463">
        <f>(IF(AND('Entradas Rebanho'!$D$97="Pastagem média produtividade",'Entradas Rebanho'!$E$97="Pastagem degradada"),Default!$D$294,0))</f>
        <v>0</v>
      </c>
      <c r="K729" s="463">
        <f>(IF(AND('Entradas Rebanho'!$D$97="Pastagem alta produtividade",'Entradas Rebanho'!$E$97="Pastagem degradada"),Default!$D$295,0))</f>
        <v>0</v>
      </c>
      <c r="L729" s="463">
        <f>(IF(AND('Entradas Rebanho'!$D$97="Cultura para ensilagem (1 safra e pousio) - Plantio convencional",'Entradas Rebanho'!$E$97="Pastagem degradada"),Default!$D$296,0))</f>
        <v>0</v>
      </c>
      <c r="M729" s="463">
        <f>(IF(AND('Entradas Rebanho'!$D$97="Cultura para ensilagem (1 safra e pousio) - Plantio direto",'Entradas Rebanho'!$E$97="Pastagem degradada"),Default!$D$297,0))</f>
        <v>0</v>
      </c>
      <c r="N729" s="463">
        <f>(IF(AND('Entradas Rebanho'!$D$97="Cultura para ensilagem (2 safras) - Plantio convencional",'Entradas Rebanho'!$E$97="Pastagem degradada"),Default!$D$298,0))</f>
        <v>0</v>
      </c>
      <c r="O729" s="463">
        <f>(IF(AND('Entradas Rebanho'!$D$97="Cultura para ensilagem (2 safras) - Plantio direto",'Entradas Rebanho'!$E$97="Pastagem degradada"),Default!$D$299,0))</f>
        <v>0</v>
      </c>
      <c r="P729" s="464">
        <f>(IF(AND('Entradas Rebanho'!$D$97="Sistemas integrados; Rotação de culturas com plantio direto; Plantas de cobertura na entresafra",'Entradas Rebanho'!$E$97="Pastagem degradada"),Default!$D$300,0))</f>
        <v>0</v>
      </c>
      <c r="Q729" s="2"/>
      <c r="R729" s="2"/>
      <c r="S729" s="2"/>
      <c r="T729" s="2"/>
      <c r="U729" s="2"/>
      <c r="V729" s="2"/>
      <c r="W729" s="2"/>
      <c r="X729" s="2"/>
      <c r="Y729" s="2"/>
      <c r="Z729" s="2"/>
      <c r="AA729" s="2"/>
    </row>
    <row r="730" spans="1:27" ht="15.75" customHeight="1">
      <c r="A730" s="2"/>
      <c r="B730" s="430"/>
      <c r="C730" s="430"/>
      <c r="D730" s="430"/>
      <c r="E730" s="430"/>
      <c r="F730" s="2"/>
      <c r="G730" s="2"/>
      <c r="H730" s="462">
        <f>(IF(AND('Entradas Rebanho'!$D$97="Vegetação natural",'Entradas Rebanho'!$E$97="Pastagem média produtividade"),Default!$E$292,0))</f>
        <v>0</v>
      </c>
      <c r="I730" s="463">
        <f>(IF(AND('Entradas Rebanho'!$D$97="Pastagem degradada",'Entradas Rebanho'!$E$97="Pastagem média produtividade"),Default!$E$293,0))</f>
        <v>0</v>
      </c>
      <c r="J730" s="463">
        <f>(IF(AND('Entradas Rebanho'!$D$97="Pastagem média produtividade",'Entradas Rebanho'!$E$97="Pastagem média produtividade"),Default!$E$294,0))</f>
        <v>0</v>
      </c>
      <c r="K730" s="463">
        <f>(IF(AND('Entradas Rebanho'!$D$97="Pastagem alta produtividade",'Entradas Rebanho'!$E$97="Pastagem média produtividade"),Default!$E$295,0))</f>
        <v>0</v>
      </c>
      <c r="L730" s="463">
        <f>(IF(AND('Entradas Rebanho'!$D$97="Cultura para ensilagem (1 safra e pousio) - Plantio convencional",'Entradas Rebanho'!$E$97="Pastagem média produtividade"),Default!$E$296,0))</f>
        <v>0</v>
      </c>
      <c r="M730" s="463">
        <f>(IF(AND('Entradas Rebanho'!$D$97="Cultura para ensilagem (1 safra e pousio) - Plantio direto",'Entradas Rebanho'!$E$97="Pastagem média produtividade"),Default!$E$297,0))</f>
        <v>0</v>
      </c>
      <c r="N730" s="463">
        <f>(IF(AND('Entradas Rebanho'!$D$97="Cultura para ensilagem (2 safras) - Plantio convencional",'Entradas Rebanho'!$E$97="Pastagem média produtividade"),Default!$E$298,0))</f>
        <v>0</v>
      </c>
      <c r="O730" s="463">
        <f>(IF(AND('Entradas Rebanho'!$D$97="Cultura para ensilagem (2 safras) - Plantio direto",'Entradas Rebanho'!$E$97="Pastagem média produtividade"),Default!$E$299,0))</f>
        <v>0</v>
      </c>
      <c r="P730" s="464">
        <f>(IF(AND('Entradas Rebanho'!$D$97="Sistemas integrados; Rotação de culturas com plantio direto; Plantas de cobertura na entresafra",'Entradas Rebanho'!$E$97="Pastagem média produtividade"),Default!$E$300,0))</f>
        <v>0</v>
      </c>
      <c r="Q730" s="2"/>
      <c r="R730" s="2"/>
      <c r="S730" s="2"/>
      <c r="T730" s="2"/>
      <c r="U730" s="2"/>
      <c r="V730" s="2"/>
      <c r="W730" s="2"/>
      <c r="X730" s="2"/>
      <c r="Y730" s="2"/>
      <c r="Z730" s="2"/>
      <c r="AA730" s="2"/>
    </row>
    <row r="731" spans="1:27" ht="15.75" customHeight="1">
      <c r="A731" s="2"/>
      <c r="B731" s="430"/>
      <c r="C731" s="430"/>
      <c r="D731" s="430"/>
      <c r="E731" s="430"/>
      <c r="F731" s="2"/>
      <c r="G731" s="2"/>
      <c r="H731" s="462">
        <f>(IF(AND('Entradas Rebanho'!$D$97="Vegetação natural",'Entradas Rebanho'!$E$97="Pastagem alta produtividade"),Default!$F$292,0))</f>
        <v>0</v>
      </c>
      <c r="I731" s="463">
        <f>(IF(AND('Entradas Rebanho'!$D$97="Pastagem degradada",'Entradas Rebanho'!$E$97="Pastagem alta produtividade"),Default!$F$293,0))</f>
        <v>0</v>
      </c>
      <c r="J731" s="463">
        <f>(IF(AND('Entradas Rebanho'!$D$97="Pastagem média produtividade",'Entradas Rebanho'!$E$97="Pastagem alta produtividade"),Default!$F$294,0))</f>
        <v>0</v>
      </c>
      <c r="K731" s="463">
        <f>(IF(AND('Entradas Rebanho'!$D$97="Pastagem alta produtividade",'Entradas Rebanho'!$E$97="Pastagem alta produtividade"),Default!$F$295,0))</f>
        <v>0</v>
      </c>
      <c r="L731" s="463">
        <f>(IF(AND('Entradas Rebanho'!$D$97="Cultura para ensilagem (1 safra e pousio) - Plantio convencional",'Entradas Rebanho'!$E$97="Pastagem alta produtividade"),Default!$F$296,0))</f>
        <v>0</v>
      </c>
      <c r="M731" s="463">
        <f>(IF(AND('Entradas Rebanho'!$D$97="Cultura para ensilagem (1 safra e pousio) - Plantio direto",'Entradas Rebanho'!$E$97="Pastagem alta produtividade"),Default!$F$297,0))</f>
        <v>0</v>
      </c>
      <c r="N731" s="463">
        <f>(IF(AND('Entradas Rebanho'!$D$97="Cultura para ensilagem (2 safras) - Plantio convencional",'Entradas Rebanho'!$E$97="Pastagem alta produtividade"),Default!$F$298,0))</f>
        <v>0</v>
      </c>
      <c r="O731" s="463">
        <f>(IF(AND('Entradas Rebanho'!$D$97="Cultura para ensilagem (2 safras) - Plantio direto",'Entradas Rebanho'!$E$97="Pastagem alta produtividade"),Default!$F$299,0))</f>
        <v>0</v>
      </c>
      <c r="P731" s="464">
        <f>(IF(AND('Entradas Rebanho'!$D$97="Sistemas integrados; Rotação de culturas com plantio direto; Plantas de cobertura na entresafra",'Entradas Rebanho'!$E$97="Pastagem alta produtividade"),Default!$F$300,0))</f>
        <v>0</v>
      </c>
      <c r="Q731" s="2"/>
      <c r="R731" s="2"/>
      <c r="S731" s="2"/>
      <c r="T731" s="2"/>
      <c r="U731" s="2"/>
      <c r="V731" s="2"/>
      <c r="W731" s="2"/>
      <c r="X731" s="2"/>
      <c r="Y731" s="2"/>
      <c r="Z731" s="2"/>
      <c r="AA731" s="2"/>
    </row>
    <row r="732" spans="1:27" ht="15.75" customHeight="1">
      <c r="A732" s="2"/>
      <c r="B732" s="430"/>
      <c r="C732" s="430"/>
      <c r="D732" s="430"/>
      <c r="E732" s="430"/>
      <c r="F732" s="2"/>
      <c r="G732" s="2"/>
      <c r="H732" s="462">
        <f>(IF(AND('Entradas Rebanho'!$D$97="Vegetação natural",'Entradas Rebanho'!$E$97="Cultura para ensilagem (1 safra e pousio) - Plantio convencional"),Default!$G$292,0))</f>
        <v>0</v>
      </c>
      <c r="I732" s="463">
        <f>(IF(AND('Entradas Rebanho'!$D$97="Pastagem degradada",'Entradas Rebanho'!$E$97="Cultura para ensilagem (1 safra e pousio) - Plantio convencional"),Default!$G$293,0))</f>
        <v>0</v>
      </c>
      <c r="J732" s="463">
        <f>(IF(AND('Entradas Rebanho'!$D$97="Pastagem média produtividade",'Entradas Rebanho'!$E$97="Cultura para ensilagem (1 safra e pousio) - Plantio convencional"),Default!$G$294,0))</f>
        <v>0</v>
      </c>
      <c r="K732" s="463">
        <f>(IF(AND('Entradas Rebanho'!$D$97="Pastagem alta produtividade",'Entradas Rebanho'!$E$97="Cultura para ensilagem (1 safra e pousio) - Plantio convencional"),Default!$G$295,0))</f>
        <v>0</v>
      </c>
      <c r="L732" s="463">
        <f>(IF(AND('Entradas Rebanho'!$D$97="Cultura para ensilagem (1 safra e pousio) - Plantio convencional",'Entradas Rebanho'!$E$97="Cultura para ensilagem (1 safra e pousio) - Plantio convencional"),Default!$G$296,0))</f>
        <v>0</v>
      </c>
      <c r="M732" s="463">
        <f>(IF(AND('Entradas Rebanho'!$D$97="Cultura para ensilagem (1 safra e pousio) - Plantio direto",'Entradas Rebanho'!$E$97="Cultura para ensilagem (1 safra e pousio) - Plantio convencional"),Default!$G$297,0))</f>
        <v>0</v>
      </c>
      <c r="N732" s="463">
        <f>(IF(AND('Entradas Rebanho'!$D$97="Cultura para ensilagem (2 safras) - Plantio convencional",'Entradas Rebanho'!$E$97="Cultura para ensilagem (1 safra e pousio) - Plantio convencional"),Default!$G$298,0))</f>
        <v>0</v>
      </c>
      <c r="O732" s="463">
        <f>(IF(AND('Entradas Rebanho'!$D$97="Cultura para ensilagem (2 safras) - Plantio direto",'Entradas Rebanho'!$E$97="Cultura para ensilagem (1 safra e pousio) - Plantio convencional"),Default!$G$299,0))</f>
        <v>0</v>
      </c>
      <c r="P732" s="464">
        <f>(IF(AND('Entradas Rebanho'!$D$97="Sistemas integrados; Rotação de culturas com plantio direto; Plantas de cobertura na entresafra",'Entradas Rebanho'!$E$97="Cultura para ensilagem (1 safra e pousio) - Plantio convencional"),Default!$G$300,0))</f>
        <v>0</v>
      </c>
      <c r="Q732" s="2"/>
      <c r="R732" s="2"/>
      <c r="S732" s="2"/>
      <c r="T732" s="2"/>
      <c r="U732" s="2"/>
      <c r="V732" s="2"/>
      <c r="W732" s="2"/>
      <c r="X732" s="2"/>
      <c r="Y732" s="2"/>
      <c r="Z732" s="2"/>
      <c r="AA732" s="2"/>
    </row>
    <row r="733" spans="1:27" ht="15.75" customHeight="1">
      <c r="A733" s="2"/>
      <c r="B733" s="430"/>
      <c r="C733" s="430"/>
      <c r="D733" s="430"/>
      <c r="E733" s="430"/>
      <c r="F733" s="2"/>
      <c r="G733" s="2"/>
      <c r="H733" s="462">
        <f>(IF(AND('Entradas Rebanho'!$D$97="Vegetação natural",'Entradas Rebanho'!$E$97="Cultura para ensilagem (1 safra e pousio) - Plantio direto"),Default!$H$292,0))</f>
        <v>0</v>
      </c>
      <c r="I733" s="463">
        <f>(IF(AND('Entradas Rebanho'!$D$97="Pastagem degradada",'Entradas Rebanho'!$E$97="Cultura para ensilagem (1 safra e pousio) - Plantio direto"),Default!$H$293,0))</f>
        <v>0</v>
      </c>
      <c r="J733" s="463">
        <f>(IF(AND('Entradas Rebanho'!$D$97="Pastagem média produtividade",'Entradas Rebanho'!$E$97="Cultura para ensilagem (1 safra e pousio) - Plantio direto"),Default!$H$294,0))</f>
        <v>0</v>
      </c>
      <c r="K733" s="463">
        <f>(IF(AND('Entradas Rebanho'!$D$97="Pastagem alta produtividade",'Entradas Rebanho'!$E$97="Cultura para ensilagem (1 safra e pousio) - Plantio direto"),Default!$H$295,0))</f>
        <v>0</v>
      </c>
      <c r="L733" s="463">
        <f>(IF(AND('Entradas Rebanho'!$D$97="Cultura para ensilagem (1 safra e pousio) - Plantio convencional",'Entradas Rebanho'!$E$97="Cultura para ensilagem (1 safra e pousio) - Plantio direto"),Default!$H$296,0))</f>
        <v>0</v>
      </c>
      <c r="M733" s="463">
        <f>(IF(AND('Entradas Rebanho'!$D$97="Cultura para ensilagem (1 safra e pousio) - Plantio direto",'Entradas Rebanho'!$E$97="Cultura para ensilagem (1 safra e pousio) - Plantio direto"),Default!$H$297,0))</f>
        <v>0</v>
      </c>
      <c r="N733" s="463">
        <f>(IF(AND('Entradas Rebanho'!$D$97="Cultura para ensilagem (2 safras) - Plantio convencional",'Entradas Rebanho'!$E$97="Cultura para ensilagem (1 safra e pousio) - Plantio direto"),Default!$H$298,0))</f>
        <v>0</v>
      </c>
      <c r="O733" s="463">
        <f>(IF(AND('Entradas Rebanho'!$D$97="Cultura para ensilagem (2 safras) - Plantio direto",'Entradas Rebanho'!$E$97="Cultura para ensilagem (1 safra e pousio) - Plantio direto"),Default!$H$299,0))</f>
        <v>0</v>
      </c>
      <c r="P733" s="464">
        <f>(IF(AND('Entradas Rebanho'!$D$97="Sistemas integrados; Rotação de culturas com plantio direto; Plantas de cobertura na entresafra",'Entradas Rebanho'!$E$97="Cultura para ensilagem (1 safra e pousio) - Plantio direto"),Default!$H$300,0))</f>
        <v>0</v>
      </c>
      <c r="Q733" s="2"/>
      <c r="R733" s="2"/>
      <c r="S733" s="2"/>
      <c r="T733" s="2"/>
      <c r="U733" s="2"/>
      <c r="V733" s="2"/>
      <c r="W733" s="2"/>
      <c r="X733" s="2"/>
      <c r="Y733" s="2"/>
      <c r="Z733" s="2"/>
      <c r="AA733" s="2"/>
    </row>
    <row r="734" spans="1:27" ht="15.75" customHeight="1">
      <c r="A734" s="2"/>
      <c r="B734" s="430"/>
      <c r="C734" s="430"/>
      <c r="D734" s="430"/>
      <c r="E734" s="430"/>
      <c r="F734" s="2"/>
      <c r="G734" s="2"/>
      <c r="H734" s="462">
        <f>(IF(AND('Entradas Rebanho'!$D$97="Vegetação natural",'Entradas Rebanho'!$E$97="Cultura para ensilagem (2 safras) - Plantio convencional"),Default!$I$292,0))</f>
        <v>0</v>
      </c>
      <c r="I734" s="463">
        <f>(IF(AND('Entradas Rebanho'!$D$97="Pastagem degradada",'Entradas Rebanho'!$E$97="Cultura para ensilagem (2 safras) - Plantio convencional"),Default!$I$293,0))</f>
        <v>0</v>
      </c>
      <c r="J734" s="463">
        <f>(IF(AND('Entradas Rebanho'!$D$97="Pastagem média produtividade",'Entradas Rebanho'!$E$97="Cultura para ensilagem (2 safras) - Plantio convencional"),Default!$I$294,0))</f>
        <v>0</v>
      </c>
      <c r="K734" s="463">
        <f>(IF(AND('Entradas Rebanho'!$D$97="Pastagem alta produtividade",'Entradas Rebanho'!$E$97="Cultura para ensilagem (2 safras) - Plantio convencional"),Default!$I$295,0))</f>
        <v>0</v>
      </c>
      <c r="L734" s="463">
        <f>(IF(AND('Entradas Rebanho'!$D$97="Cultura para ensilagem (1 safra e pousio) - Plantio convencional",'Entradas Rebanho'!$E$97="Cultura para ensilagem (2 safras) - Plantio convencional"),Default!$I$296,0))</f>
        <v>0</v>
      </c>
      <c r="M734" s="463">
        <f>(IF(AND('Entradas Rebanho'!$D$97="Cultura para ensilagem (1 safra e pousio) - Plantio direto",'Entradas Rebanho'!$E$97="Cultura para ensilagem (2 safras) - Plantio convencional"),Default!$I$297,0))</f>
        <v>0</v>
      </c>
      <c r="N734" s="463">
        <f>(IF(AND('Entradas Rebanho'!$D$97="Cultura para ensilagem (2 safras) - Plantio convencional",'Entradas Rebanho'!$E$97="Cultura para ensilagem (2 safras) - Plantio convencional"),Default!$I$298,0))</f>
        <v>0</v>
      </c>
      <c r="O734" s="463">
        <f>(IF(AND('Entradas Rebanho'!$D$97="Cultura para ensilagem (2 safras) - Plantio direto",'Entradas Rebanho'!$E$97="Cultura para ensilagem (2 safras) - Plantio convencional"),Default!$I$299,0))</f>
        <v>0</v>
      </c>
      <c r="P734" s="464">
        <f>(IF(AND('Entradas Rebanho'!$D$97="Sistemas integrados; Rotação de culturas com plantio direto; Plantas de cobertura na entresafra",'Entradas Rebanho'!$E$97="Cultura para ensilagem (2 safras) - Plantio convencional"),Default!$I$300,0))</f>
        <v>0</v>
      </c>
      <c r="Q734" s="2"/>
      <c r="R734" s="2"/>
      <c r="S734" s="2"/>
      <c r="T734" s="2"/>
      <c r="U734" s="2"/>
      <c r="V734" s="2"/>
      <c r="W734" s="2"/>
      <c r="X734" s="2"/>
      <c r="Y734" s="2"/>
      <c r="Z734" s="2"/>
      <c r="AA734" s="2"/>
    </row>
    <row r="735" spans="1:27" ht="15.75" customHeight="1">
      <c r="A735" s="2"/>
      <c r="B735" s="430"/>
      <c r="C735" s="430"/>
      <c r="D735" s="430"/>
      <c r="E735" s="430"/>
      <c r="F735" s="2"/>
      <c r="G735" s="2"/>
      <c r="H735" s="462">
        <f>(IF(AND('Entradas Rebanho'!$D$97="Vegetação natural",'Entradas Rebanho'!$E$97="Cultura para ensilagem (2 safras) - Plantio direto"),Default!$J$292,0))</f>
        <v>0</v>
      </c>
      <c r="I735" s="463">
        <f>(IF(AND('Entradas Rebanho'!$D$97="Pastagem degradada",'Entradas Rebanho'!$E$97="Cultura para ensilagem (2 safras) - Plantio direto"),Default!$J$293,0))</f>
        <v>0</v>
      </c>
      <c r="J735" s="463">
        <f>(IF(AND('Entradas Rebanho'!$D$97="Pastagem média produtividade",'Entradas Rebanho'!$E$97="Cultura para ensilagem (2 safras) - Plantio direto"),Default!$J$294,0))</f>
        <v>0</v>
      </c>
      <c r="K735" s="463">
        <f>(IF(AND('Entradas Rebanho'!$D$97="Pastagem alta produtividade",'Entradas Rebanho'!$E$97="Cultura para ensilagem (2 safras) - Plantio direto"),Default!$J$295,0))</f>
        <v>0</v>
      </c>
      <c r="L735" s="463">
        <f>(IF(AND('Entradas Rebanho'!$D$97="Cultura para ensilagem (1 safra e pousio) - Plantio convencional",'Entradas Rebanho'!$E$97="Cultura para ensilagem (2 safras) - Plantio direto"),Default!$J$296,0))</f>
        <v>0</v>
      </c>
      <c r="M735" s="463">
        <f>(IF(AND('Entradas Rebanho'!$D$97="Cultura para ensilagem (1 safra e pousio) - Plantio direto",'Entradas Rebanho'!$E$97="Cultura para ensilagem (2 safras) - Plantio direto"),Default!$J$297,0))</f>
        <v>0</v>
      </c>
      <c r="N735" s="463">
        <f>(IF(AND('Entradas Rebanho'!$D$97="Cultura para ensilagem (2 safras) - Plantio convencional",'Entradas Rebanho'!$E$97="Cultura para ensilagem (2 safras) - Plantio direto"),Default!$J$298,0))</f>
        <v>0</v>
      </c>
      <c r="O735" s="463">
        <f>(IF(AND('Entradas Rebanho'!$D$97="Cultura para ensilagem (2 safras) - Plantio direto",'Entradas Rebanho'!$E$97="Cultura para ensilagem (2 safras) - Plantio direto"),Default!$J$299,0))</f>
        <v>0</v>
      </c>
      <c r="P735" s="464">
        <f>(IF(AND('Entradas Rebanho'!$D$97="Sistemas integrados; Rotação de culturas com plantio direto; Plantas de cobertura na entresafra",'Entradas Rebanho'!$E$97="Cultura para ensilagem (2 safras) - Plantio direto"),Default!$J$300,0))</f>
        <v>0</v>
      </c>
      <c r="Q735" s="2"/>
      <c r="R735" s="2"/>
      <c r="S735" s="2"/>
      <c r="T735" s="2"/>
      <c r="U735" s="2"/>
      <c r="V735" s="2"/>
      <c r="W735" s="2"/>
      <c r="X735" s="2"/>
      <c r="Y735" s="2"/>
      <c r="Z735" s="2"/>
      <c r="AA735" s="2"/>
    </row>
    <row r="736" spans="1:27" ht="15.75" customHeight="1" thickBot="1">
      <c r="A736" s="2"/>
      <c r="B736" s="430"/>
      <c r="C736" s="430"/>
      <c r="D736" s="430"/>
      <c r="E736" s="430"/>
      <c r="F736" s="2"/>
      <c r="G736" s="2"/>
      <c r="H736" s="465">
        <f>(IF(AND('Entradas Rebanho'!$D$97="Vegetação natural",'Entradas Rebanho'!$E$97="Sistemas integrados; Rotação de culturas com plantio direto; Plantas de cobertura na entresafra"),Default!$K$292,0))</f>
        <v>0</v>
      </c>
      <c r="I736" s="466">
        <f>(IF(AND('Entradas Rebanho'!$D$97="Pastagem degradada",'Entradas Rebanho'!$E$97="Sistemas integrados; Rotação de culturas com plantio direto; Plantas de cobertura na entresafra"),Default!$K$293,0))</f>
        <v>0</v>
      </c>
      <c r="J736" s="466">
        <f>(IF(AND('Entradas Rebanho'!$D$97="Pastagem média produtividade",'Entradas Rebanho'!$E$97="Sistemas integrados; Rotação de culturas com plantio direto; Plantas de cobertura na entresafra"),Default!$K$294,0))</f>
        <v>0</v>
      </c>
      <c r="K736" s="466">
        <f>(IF(AND('Entradas Rebanho'!$D$97="Pastagem alta produtividade",'Entradas Rebanho'!$E$97="Sistemas integrados; Rotação de culturas com plantio direto; Plantas de cobertura na entresafra"),Default!$K$295,0))</f>
        <v>0</v>
      </c>
      <c r="L736" s="466">
        <f>(IF(AND('Entradas Rebanho'!$D$97="Cultura para ensilagem (1 safra e pousio) - Plantio convencional",'Entradas Rebanho'!$E$97="Sistemas integrados; Rotação de culturas com plantio direto; Plantas de cobertura na entresafra"),Default!$K$296,0))</f>
        <v>0</v>
      </c>
      <c r="M736" s="466">
        <f>(IF(AND('Entradas Rebanho'!$D$97="Cultura para ensilagem (1 safra e pousio) - Plantio direto",'Entradas Rebanho'!$E$97="Sistemas integrados; Rotação de culturas com plantio direto; Plantas de cobertura na entresafra"),Default!$K$297,0))</f>
        <v>0</v>
      </c>
      <c r="N736" s="466">
        <f>(IF(AND('Entradas Rebanho'!$D$97="Cultura para ensilagem (2 safras) - Plantio convencional",'Entradas Rebanho'!$E$97="Sistemas integrados; Rotação de culturas com plantio direto; Plantas de cobertura na entresafra"),Default!$K$298,0))</f>
        <v>0</v>
      </c>
      <c r="O736" s="466">
        <f>(IF(AND('Entradas Rebanho'!$D$97="Cultura para ensilagem (2 safras) - Plantio direto",'Entradas Rebanho'!$E$97="Sistemas integrados; Rotação de culturas com plantio direto; Plantas de cobertura na entresafra"),Default!$K$299,0))</f>
        <v>0</v>
      </c>
      <c r="P736" s="467">
        <f>(IF(AND('Entradas Rebanho'!$D$97="Sistemas integrados; Rotação de culturas com plantio direto; Plantas de cobertura na entresafra",'Entradas Rebanho'!$E$97="Sistemas integrados; Rotação de culturas com plantio direto; Plantas de cobertura na entresafra"),Default!$K$300,0))</f>
        <v>0</v>
      </c>
      <c r="Q736" s="2"/>
      <c r="R736" s="2"/>
      <c r="S736" s="2"/>
      <c r="T736" s="2"/>
      <c r="U736" s="2"/>
      <c r="V736" s="2"/>
      <c r="W736" s="2"/>
      <c r="X736" s="2"/>
      <c r="Y736" s="2"/>
      <c r="Z736" s="2"/>
      <c r="AA736" s="2"/>
    </row>
    <row r="737" spans="1:27" ht="15.75" customHeight="1" thickBot="1">
      <c r="A737" s="2"/>
      <c r="B737" s="430"/>
      <c r="C737" s="430"/>
      <c r="D737" s="430"/>
      <c r="E737" s="430"/>
      <c r="F737" s="2"/>
      <c r="G737" s="2"/>
      <c r="H737" s="2"/>
      <c r="I737" s="2"/>
      <c r="J737" s="2"/>
      <c r="K737" s="2"/>
      <c r="L737" s="2"/>
      <c r="M737" s="2"/>
      <c r="N737" s="2"/>
      <c r="O737" s="2"/>
      <c r="P737" s="2"/>
      <c r="Q737" s="2"/>
      <c r="R737" s="2"/>
      <c r="S737" s="2"/>
      <c r="T737" s="2"/>
      <c r="U737" s="2"/>
      <c r="V737" s="2"/>
      <c r="W737" s="2"/>
      <c r="X737" s="2"/>
      <c r="Y737" s="2"/>
      <c r="Z737" s="2"/>
      <c r="AA737" s="2"/>
    </row>
    <row r="738" spans="1:27" ht="15.75" customHeight="1">
      <c r="A738" s="2"/>
      <c r="B738" s="430"/>
      <c r="C738" s="430"/>
      <c r="D738" s="430"/>
      <c r="E738" s="430"/>
      <c r="F738" s="2"/>
      <c r="G738" s="2">
        <v>6</v>
      </c>
      <c r="H738" s="459" t="s">
        <v>56</v>
      </c>
      <c r="I738" s="460" t="s">
        <v>290</v>
      </c>
      <c r="J738" s="460" t="s">
        <v>130</v>
      </c>
      <c r="K738" s="460" t="s">
        <v>133</v>
      </c>
      <c r="L738" s="460" t="s">
        <v>1099</v>
      </c>
      <c r="M738" s="460" t="s">
        <v>1100</v>
      </c>
      <c r="N738" s="460" t="s">
        <v>1101</v>
      </c>
      <c r="O738" s="460" t="s">
        <v>1102</v>
      </c>
      <c r="P738" s="461" t="s">
        <v>1103</v>
      </c>
      <c r="Q738" s="2"/>
      <c r="R738" s="2"/>
      <c r="S738" s="2"/>
      <c r="T738" s="2"/>
      <c r="U738" s="2"/>
      <c r="V738" s="2"/>
      <c r="W738" s="2"/>
      <c r="X738" s="2"/>
      <c r="Y738" s="2"/>
      <c r="Z738" s="2"/>
      <c r="AA738" s="2"/>
    </row>
    <row r="739" spans="1:27" ht="15.75" customHeight="1">
      <c r="A739" s="2"/>
      <c r="B739" s="430"/>
      <c r="C739" s="430"/>
      <c r="D739" s="430"/>
      <c r="E739" s="430"/>
      <c r="F739" s="2"/>
      <c r="G739" s="2"/>
      <c r="H739" s="462">
        <f>(IF(AND('Entradas Rebanho'!$D$98="Vegetação natural",'Entradas Rebanho'!$E$98="Vegetação natural"),Default!$C$292,0))</f>
        <v>0</v>
      </c>
      <c r="I739" s="463">
        <f>(IF(AND('Entradas Rebanho'!$D$98="Pastagem degradada",'Entradas Rebanho'!$E$98="Vegetação natural"),Default!$C$293,0))</f>
        <v>0</v>
      </c>
      <c r="J739" s="463">
        <f>(IF(AND('Entradas Rebanho'!$D$98="Pastagem média produtividade",'Entradas Rebanho'!$E$98="Vegetação natural"),Default!$C$294,0))</f>
        <v>0</v>
      </c>
      <c r="K739" s="463">
        <f>(IF(AND('Entradas Rebanho'!$D$98="Pastagem alta produtividade",'Entradas Rebanho'!$E$98="Vegetação natural"),Default!$C$295,0))</f>
        <v>0</v>
      </c>
      <c r="L739" s="463">
        <f>(IF(AND('Entradas Rebanho'!$D$98="Cultura para ensilagem (1 safra e pousio) - Plantio convencional",'Entradas Rebanho'!$E$98="Vegetação natural"),Default!$C$296,0))</f>
        <v>0</v>
      </c>
      <c r="M739" s="463">
        <f>(IF(AND('Entradas Rebanho'!$D$98="Cultura para ensilagem (1 safra e pousio) - Plantio direto",'Entradas Rebanho'!$E$98="Vegetação natural"),Default!$C$297,0))</f>
        <v>0</v>
      </c>
      <c r="N739" s="463">
        <f>(IF(AND('Entradas Rebanho'!$D$98="Cultura para ensilagem (2 safras) - Plantio convencional",'Entradas Rebanho'!$E$98="Vegetação natural"),Default!$C$298,0))</f>
        <v>0</v>
      </c>
      <c r="O739" s="463">
        <f>(IF(AND('Entradas Rebanho'!$D$98="Cultura para ensilagem (2 safras) - Plantio direto",'Entradas Rebanho'!$E$98="Vegetação natural"),Default!$C$299,0))</f>
        <v>0</v>
      </c>
      <c r="P739" s="464">
        <f>(IF(AND('Entradas Rebanho'!$D$98="Sistemas integrados; Rotação de culturas com plantio direto; Plantas de cobertura na entresafra",'Entradas Rebanho'!$E$98="Vegetação natural"),Default!$C$300,0))</f>
        <v>0</v>
      </c>
      <c r="Q739" s="2"/>
      <c r="R739" s="2"/>
      <c r="S739" s="2"/>
      <c r="T739" s="2"/>
      <c r="U739" s="2"/>
      <c r="V739" s="2"/>
      <c r="W739" s="2"/>
      <c r="X739" s="2"/>
      <c r="Y739" s="2"/>
      <c r="Z739" s="2"/>
      <c r="AA739" s="2"/>
    </row>
    <row r="740" spans="1:27" ht="15.75" customHeight="1">
      <c r="A740" s="2"/>
      <c r="B740" s="430"/>
      <c r="C740" s="430"/>
      <c r="D740" s="430"/>
      <c r="E740" s="430"/>
      <c r="F740" s="2"/>
      <c r="G740" s="2"/>
      <c r="H740" s="462">
        <f>(IF(AND('Entradas Rebanho'!$D$98="Vegetação natural",'Entradas Rebanho'!$E$98="Pastagem degradada"),Default!$D$292,0))</f>
        <v>0</v>
      </c>
      <c r="I740" s="463">
        <f>(IF(AND('Entradas Rebanho'!$D$98="Pastagem degradada",'Entradas Rebanho'!$E$98="Pastagem degradada"),Default!$D$293,0))</f>
        <v>0</v>
      </c>
      <c r="J740" s="463">
        <f>(IF(AND('Entradas Rebanho'!$D$98="Pastagem média produtividade",'Entradas Rebanho'!$E$98="Pastagem degradada"),Default!$D$294,0))</f>
        <v>0</v>
      </c>
      <c r="K740" s="463">
        <f>(IF(AND('Entradas Rebanho'!$D$98="Pastagem alta produtividade",'Entradas Rebanho'!$E$98="Pastagem degradada"),Default!$D$295,0))</f>
        <v>0</v>
      </c>
      <c r="L740" s="463">
        <f>(IF(AND('Entradas Rebanho'!$D$98="Cultura para ensilagem (1 safra e pousio) - Plantio convencional",'Entradas Rebanho'!$E$98="Pastagem degradada"),Default!$D$296,0))</f>
        <v>0</v>
      </c>
      <c r="M740" s="463">
        <f>(IF(AND('Entradas Rebanho'!$D$98="Cultura para ensilagem (1 safra e pousio) - Plantio direto",'Entradas Rebanho'!$E$98="Pastagem degradada"),Default!$D$297,0))</f>
        <v>0</v>
      </c>
      <c r="N740" s="463">
        <f>(IF(AND('Entradas Rebanho'!$D$98="Cultura para ensilagem (2 safras) - Plantio convencional",'Entradas Rebanho'!$E$98="Pastagem degradada"),Default!$D$298,0))</f>
        <v>0</v>
      </c>
      <c r="O740" s="463">
        <f>(IF(AND('Entradas Rebanho'!$D$98="Cultura para ensilagem (2 safras) - Plantio direto",'Entradas Rebanho'!$E$98="Pastagem degradada"),Default!$D$299,0))</f>
        <v>0</v>
      </c>
      <c r="P740" s="464">
        <f>(IF(AND('Entradas Rebanho'!$D$98="Sistemas integrados; Rotação de culturas com plantio direto; Plantas de cobertura na entresafra",'Entradas Rebanho'!$E$98="Pastagem degradada"),Default!$D$300,0))</f>
        <v>0</v>
      </c>
      <c r="Q740" s="2"/>
      <c r="R740" s="2"/>
      <c r="S740" s="2"/>
      <c r="T740" s="2"/>
      <c r="U740" s="2"/>
      <c r="V740" s="2"/>
      <c r="W740" s="2"/>
      <c r="X740" s="2"/>
      <c r="Y740" s="2"/>
      <c r="Z740" s="2"/>
      <c r="AA740" s="2"/>
    </row>
    <row r="741" spans="1:27" ht="15.75" customHeight="1">
      <c r="A741" s="2"/>
      <c r="B741" s="430"/>
      <c r="C741" s="430"/>
      <c r="D741" s="430"/>
      <c r="E741" s="430"/>
      <c r="F741" s="2"/>
      <c r="G741" s="2"/>
      <c r="H741" s="462">
        <f>(IF(AND('Entradas Rebanho'!$D$98="Vegetação natural",'Entradas Rebanho'!$E$98="Pastagem média produtividade"),Default!$E$292,0))</f>
        <v>0</v>
      </c>
      <c r="I741" s="463">
        <f>(IF(AND('Entradas Rebanho'!$D$98="Pastagem degradada",'Entradas Rebanho'!$E$98="Pastagem média produtividade"),Default!$E$293,0))</f>
        <v>0</v>
      </c>
      <c r="J741" s="463">
        <f>(IF(AND('Entradas Rebanho'!$D$98="Pastagem média produtividade",'Entradas Rebanho'!$E$98="Pastagem média produtividade"),Default!$E$294,0))</f>
        <v>0</v>
      </c>
      <c r="K741" s="463">
        <f>(IF(AND('Entradas Rebanho'!$D$98="Pastagem alta produtividade",'Entradas Rebanho'!$E$98="Pastagem média produtividade"),Default!$E$295,0))</f>
        <v>0</v>
      </c>
      <c r="L741" s="463">
        <f>(IF(AND('Entradas Rebanho'!$D$98="Cultura para ensilagem (1 safra e pousio) - Plantio convencional",'Entradas Rebanho'!$E$98="Pastagem média produtividade"),Default!$E$296,0))</f>
        <v>0</v>
      </c>
      <c r="M741" s="463">
        <f>(IF(AND('Entradas Rebanho'!$D$98="Cultura para ensilagem (1 safra e pousio) - Plantio direto",'Entradas Rebanho'!$E$98="Pastagem média produtividade"),Default!$E$297,0))</f>
        <v>0</v>
      </c>
      <c r="N741" s="463">
        <f>(IF(AND('Entradas Rebanho'!$D$98="Cultura para ensilagem (2 safras) - Plantio convencional",'Entradas Rebanho'!$E$98="Pastagem média produtividade"),Default!$E$298,0))</f>
        <v>0</v>
      </c>
      <c r="O741" s="463">
        <f>(IF(AND('Entradas Rebanho'!$D$98="Cultura para ensilagem (2 safras) - Plantio direto",'Entradas Rebanho'!$E$98="Pastagem média produtividade"),Default!$E$299,0))</f>
        <v>0</v>
      </c>
      <c r="P741" s="464">
        <f>(IF(AND('Entradas Rebanho'!$D$98="Sistemas integrados; Rotação de culturas com plantio direto; Plantas de cobertura na entresafra",'Entradas Rebanho'!$E$98="Pastagem média produtividade"),Default!$E$300,0))</f>
        <v>0</v>
      </c>
      <c r="Q741" s="2"/>
      <c r="R741" s="2"/>
      <c r="S741" s="2"/>
      <c r="T741" s="2"/>
      <c r="U741" s="2"/>
      <c r="V741" s="2"/>
      <c r="W741" s="2"/>
      <c r="X741" s="2"/>
      <c r="Y741" s="2"/>
      <c r="Z741" s="2"/>
      <c r="AA741" s="2"/>
    </row>
    <row r="742" spans="1:27" ht="15.75" customHeight="1">
      <c r="A742" s="2"/>
      <c r="B742" s="430"/>
      <c r="C742" s="430"/>
      <c r="D742" s="430"/>
      <c r="E742" s="430"/>
      <c r="F742" s="2"/>
      <c r="G742" s="2"/>
      <c r="H742" s="462">
        <f>(IF(AND('Entradas Rebanho'!$D$98="Vegetação natural",'Entradas Rebanho'!$E$98="Pastagem alta produtividade"),Default!$F$292,0))</f>
        <v>0</v>
      </c>
      <c r="I742" s="463">
        <f>(IF(AND('Entradas Rebanho'!$D$98="Pastagem degradada",'Entradas Rebanho'!$E$98="Pastagem alta produtividade"),Default!$F$293,0))</f>
        <v>0</v>
      </c>
      <c r="J742" s="463">
        <f>(IF(AND('Entradas Rebanho'!$D$98="Pastagem média produtividade",'Entradas Rebanho'!$E$98="Pastagem alta produtividade"),Default!$F$294,0))</f>
        <v>0</v>
      </c>
      <c r="K742" s="463">
        <f>(IF(AND('Entradas Rebanho'!$D$98="Pastagem alta produtividade",'Entradas Rebanho'!$E$98="Pastagem alta produtividade"),Default!$F$295,0))</f>
        <v>0</v>
      </c>
      <c r="L742" s="463">
        <f>(IF(AND('Entradas Rebanho'!$D$98="Cultura para ensilagem (1 safra e pousio) - Plantio convencional",'Entradas Rebanho'!$E$98="Pastagem alta produtividade"),Default!$F$296,0))</f>
        <v>0</v>
      </c>
      <c r="M742" s="463">
        <f>(IF(AND('Entradas Rebanho'!$D$98="Cultura para ensilagem (1 safra e pousio) - Plantio direto",'Entradas Rebanho'!$E$98="Pastagem alta produtividade"),Default!$F$297,0))</f>
        <v>0</v>
      </c>
      <c r="N742" s="463">
        <f>(IF(AND('Entradas Rebanho'!$D$98="Cultura para ensilagem (2 safras) - Plantio convencional",'Entradas Rebanho'!$E$98="Pastagem alta produtividade"),Default!$F$298,0))</f>
        <v>0</v>
      </c>
      <c r="O742" s="463">
        <f>(IF(AND('Entradas Rebanho'!$D$98="Cultura para ensilagem (2 safras) - Plantio direto",'Entradas Rebanho'!$E$98="Pastagem alta produtividade"),Default!$F$299,0))</f>
        <v>0</v>
      </c>
      <c r="P742" s="464">
        <f>(IF(AND('Entradas Rebanho'!$D$98="Sistemas integrados; Rotação de culturas com plantio direto; Plantas de cobertura na entresafra",'Entradas Rebanho'!$E$98="Pastagem alta produtividade"),Default!$F$300,0))</f>
        <v>0</v>
      </c>
      <c r="Q742" s="2"/>
      <c r="R742" s="2"/>
      <c r="S742" s="2"/>
      <c r="T742" s="2"/>
      <c r="U742" s="2"/>
      <c r="V742" s="2"/>
      <c r="W742" s="2"/>
      <c r="X742" s="2"/>
      <c r="Y742" s="2"/>
      <c r="Z742" s="2"/>
      <c r="AA742" s="2"/>
    </row>
    <row r="743" spans="1:27" ht="15.75" customHeight="1">
      <c r="A743" s="2"/>
      <c r="B743" s="430"/>
      <c r="C743" s="430"/>
      <c r="D743" s="430"/>
      <c r="E743" s="430"/>
      <c r="F743" s="2"/>
      <c r="G743" s="2"/>
      <c r="H743" s="462">
        <f>(IF(AND('Entradas Rebanho'!$D$98="Vegetação natural",'Entradas Rebanho'!$E$98="Cultura para ensilagem (1 safra e pousio) - Plantio convencional"),Default!$G$292,0))</f>
        <v>0</v>
      </c>
      <c r="I743" s="463">
        <f>(IF(AND('Entradas Rebanho'!$D$98="Pastagem degradada",'Entradas Rebanho'!$E$98="Cultura para ensilagem (1 safra e pousio) - Plantio convencional"),Default!$G$293,0))</f>
        <v>0</v>
      </c>
      <c r="J743" s="463">
        <f>(IF(AND('Entradas Rebanho'!$D$98="Pastagem média produtividade",'Entradas Rebanho'!$E$98="Cultura para ensilagem (1 safra e pousio) - Plantio convencional"),Default!$G$294,0))</f>
        <v>0</v>
      </c>
      <c r="K743" s="463">
        <f>(IF(AND('Entradas Rebanho'!$D$98="Pastagem alta produtividade",'Entradas Rebanho'!$E$98="Cultura para ensilagem (1 safra e pousio) - Plantio convencional"),Default!$G$295,0))</f>
        <v>0</v>
      </c>
      <c r="L743" s="463">
        <f>(IF(AND('Entradas Rebanho'!$D$98="Cultura para ensilagem (1 safra e pousio) - Plantio convencional",'Entradas Rebanho'!$E$98="Cultura para ensilagem (1 safra e pousio) - Plantio convencional"),Default!$G$296,0))</f>
        <v>0</v>
      </c>
      <c r="M743" s="463">
        <f>(IF(AND('Entradas Rebanho'!$D$98="Cultura para ensilagem (1 safra e pousio) - Plantio direto",'Entradas Rebanho'!$E$98="Cultura para ensilagem (1 safra e pousio) - Plantio convencional"),Default!$G$297,0))</f>
        <v>0</v>
      </c>
      <c r="N743" s="463">
        <f>(IF(AND('Entradas Rebanho'!$D$98="Cultura para ensilagem (2 safras) - Plantio convencional",'Entradas Rebanho'!$E$98="Cultura para ensilagem (1 safra e pousio) - Plantio convencional"),Default!$G$298,0))</f>
        <v>0</v>
      </c>
      <c r="O743" s="463">
        <f>(IF(AND('Entradas Rebanho'!$D$98="Cultura para ensilagem (2 safras) - Plantio direto",'Entradas Rebanho'!$E$98="Cultura para ensilagem (1 safra e pousio) - Plantio convencional"),Default!$G$299,0))</f>
        <v>0</v>
      </c>
      <c r="P743" s="464">
        <f>(IF(AND('Entradas Rebanho'!$D$98="Sistemas integrados; Rotação de culturas com plantio direto; Plantas de cobertura na entresafra",'Entradas Rebanho'!$E$98="Cultura para ensilagem (1 safra e pousio) - Plantio convencional"),Default!$G$300,0))</f>
        <v>0</v>
      </c>
      <c r="Q743" s="2"/>
      <c r="R743" s="2"/>
      <c r="S743" s="2"/>
      <c r="T743" s="2"/>
      <c r="U743" s="2"/>
      <c r="V743" s="2"/>
      <c r="W743" s="2"/>
      <c r="X743" s="2"/>
      <c r="Y743" s="2"/>
      <c r="Z743" s="2"/>
      <c r="AA743" s="2"/>
    </row>
    <row r="744" spans="1:27" ht="15.75" customHeight="1">
      <c r="A744" s="2"/>
      <c r="B744" s="430"/>
      <c r="C744" s="430"/>
      <c r="D744" s="430"/>
      <c r="E744" s="430"/>
      <c r="F744" s="2"/>
      <c r="G744" s="2"/>
      <c r="H744" s="462">
        <f>(IF(AND('Entradas Rebanho'!$D$98="Vegetação natural",'Entradas Rebanho'!$E$98="Cultura para ensilagem (1 safra e pousio) - Plantio direto"),Default!$H$292,0))</f>
        <v>0</v>
      </c>
      <c r="I744" s="463">
        <f>(IF(AND('Entradas Rebanho'!$D$98="Pastagem degradada",'Entradas Rebanho'!$E$98="Cultura para ensilagem (1 safra e pousio) - Plantio direto"),Default!$H$293,0))</f>
        <v>0</v>
      </c>
      <c r="J744" s="463">
        <f>(IF(AND('Entradas Rebanho'!$D$98="Pastagem média produtividade",'Entradas Rebanho'!$E$98="Cultura para ensilagem (1 safra e pousio) - Plantio direto"),Default!$H$294,0))</f>
        <v>0</v>
      </c>
      <c r="K744" s="463">
        <f>(IF(AND('Entradas Rebanho'!$D$98="Pastagem alta produtividade",'Entradas Rebanho'!$E$98="Cultura para ensilagem (1 safra e pousio) - Plantio direto"),Default!$H$295,0))</f>
        <v>0</v>
      </c>
      <c r="L744" s="463">
        <f>(IF(AND('Entradas Rebanho'!$D$98="Cultura para ensilagem (1 safra e pousio) - Plantio convencional",'Entradas Rebanho'!$E$98="Cultura para ensilagem (1 safra e pousio) - Plantio direto"),Default!$H$296,0))</f>
        <v>0</v>
      </c>
      <c r="M744" s="463">
        <f>(IF(AND('Entradas Rebanho'!$D$98="Cultura para ensilagem (1 safra e pousio) - Plantio direto",'Entradas Rebanho'!$E$98="Cultura para ensilagem (1 safra e pousio) - Plantio direto"),Default!$H$297,0))</f>
        <v>0</v>
      </c>
      <c r="N744" s="463">
        <f>(IF(AND('Entradas Rebanho'!$D$98="Cultura para ensilagem (2 safras) - Plantio convencional",'Entradas Rebanho'!$E$98="Cultura para ensilagem (1 safra e pousio) - Plantio direto"),Default!$H$298,0))</f>
        <v>0</v>
      </c>
      <c r="O744" s="463">
        <f>(IF(AND('Entradas Rebanho'!$D$98="Cultura para ensilagem (2 safras) - Plantio direto",'Entradas Rebanho'!$E$98="Cultura para ensilagem (1 safra e pousio) - Plantio direto"),Default!$H$299,0))</f>
        <v>0</v>
      </c>
      <c r="P744" s="464">
        <f>(IF(AND('Entradas Rebanho'!$D$98="Sistemas integrados; Rotação de culturas com plantio direto; Plantas de cobertura na entresafra",'Entradas Rebanho'!$E$98="Cultura para ensilagem (1 safra e pousio) - Plantio direto"),Default!$H$300,0))</f>
        <v>0</v>
      </c>
      <c r="Q744" s="2"/>
      <c r="R744" s="2"/>
      <c r="S744" s="2"/>
      <c r="T744" s="2"/>
      <c r="U744" s="2"/>
      <c r="V744" s="2"/>
      <c r="W744" s="2"/>
      <c r="X744" s="2"/>
      <c r="Y744" s="2"/>
      <c r="Z744" s="2"/>
      <c r="AA744" s="2"/>
    </row>
    <row r="745" spans="1:27" ht="15.75" customHeight="1">
      <c r="A745" s="2"/>
      <c r="B745" s="430"/>
      <c r="C745" s="430"/>
      <c r="D745" s="430"/>
      <c r="E745" s="430"/>
      <c r="F745" s="2"/>
      <c r="G745" s="2"/>
      <c r="H745" s="462">
        <f>(IF(AND('Entradas Rebanho'!$D$98="Vegetação natural",'Entradas Rebanho'!$E$98="Cultura para ensilagem (2 safras) - Plantio convencional"),Default!$I$292,0))</f>
        <v>0</v>
      </c>
      <c r="I745" s="463">
        <f>(IF(AND('Entradas Rebanho'!$D$98="Pastagem degradada",'Entradas Rebanho'!$E$98="Cultura para ensilagem (2 safras) - Plantio convencional"),Default!$I$293,0))</f>
        <v>0</v>
      </c>
      <c r="J745" s="463">
        <f>(IF(AND('Entradas Rebanho'!$D$98="Pastagem média produtividade",'Entradas Rebanho'!$E$98="Cultura para ensilagem (2 safras) - Plantio convencional"),Default!$I$294,0))</f>
        <v>0</v>
      </c>
      <c r="K745" s="463">
        <f>(IF(AND('Entradas Rebanho'!$D$98="Pastagem alta produtividade",'Entradas Rebanho'!$E$98="Cultura para ensilagem (2 safras) - Plantio convencional"),Default!$I$295,0))</f>
        <v>0</v>
      </c>
      <c r="L745" s="463">
        <f>(IF(AND('Entradas Rebanho'!$D$98="Cultura para ensilagem (1 safra e pousio) - Plantio convencional",'Entradas Rebanho'!$E$98="Cultura para ensilagem (2 safras) - Plantio convencional"),Default!$I$296,0))</f>
        <v>0</v>
      </c>
      <c r="M745" s="463">
        <f>(IF(AND('Entradas Rebanho'!$D$98="Cultura para ensilagem (1 safra e pousio) - Plantio direto",'Entradas Rebanho'!$E$98="Cultura para ensilagem (2 safras) - Plantio convencional"),Default!$I$297,0))</f>
        <v>0</v>
      </c>
      <c r="N745" s="463">
        <f>(IF(AND('Entradas Rebanho'!$D$98="Cultura para ensilagem (2 safras) - Plantio convencional",'Entradas Rebanho'!$E$98="Cultura para ensilagem (2 safras) - Plantio convencional"),Default!$I$298,0))</f>
        <v>0</v>
      </c>
      <c r="O745" s="463">
        <f>(IF(AND('Entradas Rebanho'!$D$98="Cultura para ensilagem (2 safras) - Plantio direto",'Entradas Rebanho'!$E$98="Cultura para ensilagem (2 safras) - Plantio convencional"),Default!$I$299,0))</f>
        <v>0</v>
      </c>
      <c r="P745" s="464">
        <f>(IF(AND('Entradas Rebanho'!$D$98="Sistemas integrados; Rotação de culturas com plantio direto; Plantas de cobertura na entresafra",'Entradas Rebanho'!$E$98="Cultura para ensilagem (2 safras) - Plantio convencional"),Default!$I$300,0))</f>
        <v>0</v>
      </c>
      <c r="Q745" s="2"/>
      <c r="R745" s="2"/>
      <c r="S745" s="2"/>
      <c r="T745" s="2"/>
      <c r="U745" s="2"/>
      <c r="V745" s="2"/>
      <c r="W745" s="2"/>
      <c r="X745" s="2"/>
      <c r="Y745" s="2"/>
      <c r="Z745" s="2"/>
      <c r="AA745" s="2"/>
    </row>
    <row r="746" spans="1:27" ht="15.75" customHeight="1">
      <c r="A746" s="2"/>
      <c r="B746" s="430"/>
      <c r="C746" s="430"/>
      <c r="D746" s="430"/>
      <c r="E746" s="430"/>
      <c r="F746" s="2"/>
      <c r="G746" s="2"/>
      <c r="H746" s="462">
        <f>(IF(AND('Entradas Rebanho'!$D$98="Vegetação natural",'Entradas Rebanho'!$E$98="Cultura para ensilagem (2 safras) - Plantio direto"),Default!$J$292,0))</f>
        <v>0</v>
      </c>
      <c r="I746" s="463">
        <f>(IF(AND('Entradas Rebanho'!$D$98="Pastagem degradada",'Entradas Rebanho'!$E$98="Cultura para ensilagem (2 safras) - Plantio direto"),Default!$J$293,0))</f>
        <v>0</v>
      </c>
      <c r="J746" s="463">
        <f>(IF(AND('Entradas Rebanho'!$D$98="Pastagem média produtividade",'Entradas Rebanho'!$E$98="Cultura para ensilagem (2 safras) - Plantio direto"),Default!$J$294,0))</f>
        <v>0</v>
      </c>
      <c r="K746" s="463">
        <f>(IF(AND('Entradas Rebanho'!$D$98="Pastagem alta produtividade",'Entradas Rebanho'!$E$98="Cultura para ensilagem (2 safras) - Plantio direto"),Default!$J$295,0))</f>
        <v>0</v>
      </c>
      <c r="L746" s="463">
        <f>(IF(AND('Entradas Rebanho'!$D$98="Cultura para ensilagem (1 safra e pousio) - Plantio convencional",'Entradas Rebanho'!$E$98="Cultura para ensilagem (2 safras) - Plantio direto"),Default!$J$296,0))</f>
        <v>0</v>
      </c>
      <c r="M746" s="463">
        <f>(IF(AND('Entradas Rebanho'!$D$98="Cultura para ensilagem (1 safra e pousio) - Plantio direto",'Entradas Rebanho'!$E$98="Cultura para ensilagem (2 safras) - Plantio direto"),Default!$J$297,0))</f>
        <v>0</v>
      </c>
      <c r="N746" s="463">
        <f>(IF(AND('Entradas Rebanho'!$D$98="Cultura para ensilagem (2 safras) - Plantio convencional",'Entradas Rebanho'!$E$98="Cultura para ensilagem (2 safras) - Plantio direto"),Default!$J$298,0))</f>
        <v>0</v>
      </c>
      <c r="O746" s="463">
        <f>(IF(AND('Entradas Rebanho'!$D$98="Cultura para ensilagem (2 safras) - Plantio direto",'Entradas Rebanho'!$E$98="Cultura para ensilagem (2 safras) - Plantio direto"),Default!$J$299,0))</f>
        <v>0</v>
      </c>
      <c r="P746" s="464">
        <f>(IF(AND('Entradas Rebanho'!$D$98="Sistemas integrados; Rotação de culturas com plantio direto; Plantas de cobertura na entresafra",'Entradas Rebanho'!$E$98="Cultura para ensilagem (2 safras) - Plantio direto"),Default!$J$300,0))</f>
        <v>0</v>
      </c>
      <c r="Q746" s="2"/>
      <c r="R746" s="2"/>
      <c r="S746" s="2"/>
      <c r="T746" s="2"/>
      <c r="U746" s="2"/>
      <c r="V746" s="2"/>
      <c r="W746" s="2"/>
      <c r="X746" s="2"/>
      <c r="Y746" s="2"/>
      <c r="Z746" s="2"/>
      <c r="AA746" s="2"/>
    </row>
    <row r="747" spans="1:27" ht="15.75" customHeight="1" thickBot="1">
      <c r="A747" s="2"/>
      <c r="B747" s="430"/>
      <c r="C747" s="430"/>
      <c r="D747" s="430"/>
      <c r="E747" s="430"/>
      <c r="F747" s="2"/>
      <c r="G747" s="2"/>
      <c r="H747" s="465">
        <f>(IF(AND('Entradas Rebanho'!$D$98="Vegetação natural",'Entradas Rebanho'!$E$98="Sistemas integrados; Rotação de culturas com plantio direto; Plantas de cobertura na entresafra"),Default!$K$292,0))</f>
        <v>0</v>
      </c>
      <c r="I747" s="466">
        <f>(IF(AND('Entradas Rebanho'!$D$98="Pastagem degradada",'Entradas Rebanho'!$E$98="Sistemas integrados; Rotação de culturas com plantio direto; Plantas de cobertura na entresafra"),Default!$K$293,0))</f>
        <v>0</v>
      </c>
      <c r="J747" s="466">
        <f>(IF(AND('Entradas Rebanho'!$D$98="Pastagem média produtividade",'Entradas Rebanho'!$E$98="Sistemas integrados; Rotação de culturas com plantio direto; Plantas de cobertura na entresafra"),Default!$K$294,0))</f>
        <v>0</v>
      </c>
      <c r="K747" s="466">
        <f>(IF(AND('Entradas Rebanho'!$D$98="Pastagem alta produtividade",'Entradas Rebanho'!$E$98="Sistemas integrados; Rotação de culturas com plantio direto; Plantas de cobertura na entresafra"),Default!$K$295,0))</f>
        <v>0</v>
      </c>
      <c r="L747" s="466">
        <f>(IF(AND('Entradas Rebanho'!$D$98="Cultura para ensilagem (1 safra e pousio) - Plantio convencional",'Entradas Rebanho'!$E$98="Sistemas integrados; Rotação de culturas com plantio direto; Plantas de cobertura na entresafra"),Default!$K$296,0))</f>
        <v>0</v>
      </c>
      <c r="M747" s="466">
        <f>(IF(AND('Entradas Rebanho'!$D$98="Cultura para ensilagem (1 safra e pousio) - Plantio direto",'Entradas Rebanho'!$E$98="Sistemas integrados; Rotação de culturas com plantio direto; Plantas de cobertura na entresafra"),Default!$K$297,0))</f>
        <v>0</v>
      </c>
      <c r="N747" s="466">
        <f>(IF(AND('Entradas Rebanho'!$D$98="Cultura para ensilagem (2 safras) - Plantio convencional",'Entradas Rebanho'!$E$98="Sistemas integrados; Rotação de culturas com plantio direto; Plantas de cobertura na entresafra"),Default!$K$298,0))</f>
        <v>0</v>
      </c>
      <c r="O747" s="466">
        <f>(IF(AND('Entradas Rebanho'!$D$98="Cultura para ensilagem (2 safras) - Plantio direto",'Entradas Rebanho'!$E$98="Sistemas integrados; Rotação de culturas com plantio direto; Plantas de cobertura na entresafra"),Default!$K$299,0))</f>
        <v>0</v>
      </c>
      <c r="P747" s="467">
        <f>(IF(AND('Entradas Rebanho'!$D$98="Sistemas integrados; Rotação de culturas com plantio direto; Plantas de cobertura na entresafra",'Entradas Rebanho'!$E$98="Sistemas integrados; Rotação de culturas com plantio direto; Plantas de cobertura na entresafra"),Default!$K$300,0))</f>
        <v>0</v>
      </c>
      <c r="Q747" s="2"/>
      <c r="R747" s="2"/>
      <c r="S747" s="2"/>
      <c r="T747" s="2"/>
      <c r="U747" s="2"/>
      <c r="V747" s="2"/>
      <c r="W747" s="2"/>
      <c r="X747" s="2"/>
      <c r="Y747" s="2"/>
      <c r="Z747" s="2"/>
      <c r="AA747" s="2"/>
    </row>
    <row r="748" spans="1:27" ht="15.75" customHeight="1">
      <c r="A748" s="2"/>
      <c r="B748" s="430"/>
      <c r="C748" s="430"/>
      <c r="D748" s="430"/>
      <c r="E748" s="430"/>
      <c r="F748" s="2"/>
      <c r="G748" s="2"/>
      <c r="H748" s="2"/>
      <c r="I748" s="2"/>
      <c r="J748" s="2"/>
      <c r="K748" s="2"/>
      <c r="L748" s="2"/>
      <c r="M748" s="2"/>
      <c r="N748" s="2"/>
      <c r="O748" s="2"/>
      <c r="P748" s="2"/>
      <c r="Q748" s="2"/>
      <c r="R748" s="2"/>
      <c r="S748" s="2"/>
      <c r="T748" s="2"/>
      <c r="U748" s="2"/>
      <c r="V748" s="2"/>
      <c r="W748" s="2"/>
      <c r="X748" s="2"/>
      <c r="Y748" s="2"/>
      <c r="Z748" s="2"/>
      <c r="AA748" s="2"/>
    </row>
    <row r="749" spans="1:27" ht="15.75" customHeight="1">
      <c r="A749" s="2"/>
      <c r="B749" s="430"/>
      <c r="C749" s="430"/>
      <c r="D749" s="430"/>
      <c r="E749" s="430"/>
      <c r="F749" s="2"/>
      <c r="G749" s="2"/>
      <c r="H749" s="2"/>
      <c r="I749" s="2"/>
      <c r="J749" s="2"/>
      <c r="K749" s="2"/>
      <c r="L749" s="2"/>
      <c r="M749" s="2"/>
      <c r="N749" s="2"/>
      <c r="O749" s="2"/>
      <c r="P749" s="2"/>
      <c r="Q749" s="2"/>
      <c r="R749" s="2"/>
      <c r="S749" s="2"/>
      <c r="T749" s="2"/>
      <c r="U749" s="2"/>
      <c r="V749" s="2"/>
      <c r="W749" s="2"/>
      <c r="X749" s="2"/>
      <c r="Y749" s="2"/>
      <c r="Z749" s="2"/>
      <c r="AA749" s="2"/>
    </row>
    <row r="750" spans="1:27" ht="15.75" customHeight="1">
      <c r="A750" s="2"/>
      <c r="B750" s="430"/>
      <c r="C750" s="430"/>
      <c r="D750" s="430"/>
      <c r="E750" s="430"/>
      <c r="F750" s="2"/>
      <c r="G750" s="2"/>
      <c r="H750" s="2"/>
      <c r="I750" s="2"/>
      <c r="J750" s="2"/>
      <c r="K750" s="2"/>
      <c r="L750" s="2"/>
      <c r="M750" s="2"/>
      <c r="N750" s="2"/>
      <c r="O750" s="2"/>
      <c r="P750" s="2"/>
      <c r="Q750" s="2"/>
      <c r="R750" s="2"/>
      <c r="S750" s="2"/>
      <c r="T750" s="2"/>
      <c r="U750" s="2"/>
      <c r="V750" s="2"/>
      <c r="W750" s="2"/>
      <c r="X750" s="2"/>
      <c r="Y750" s="2"/>
      <c r="Z750" s="2"/>
      <c r="AA750" s="2"/>
    </row>
    <row r="751" spans="1:27" ht="15.75" customHeight="1">
      <c r="A751" s="2"/>
      <c r="B751" s="430"/>
      <c r="C751" s="430"/>
      <c r="D751" s="430"/>
      <c r="E751" s="430"/>
      <c r="F751" s="2"/>
      <c r="G751" s="2"/>
      <c r="H751" s="2"/>
      <c r="I751" s="2"/>
      <c r="J751" s="2"/>
      <c r="K751" s="2"/>
      <c r="L751" s="2"/>
      <c r="M751" s="2"/>
      <c r="N751" s="2"/>
      <c r="O751" s="2"/>
      <c r="P751" s="2"/>
      <c r="Q751" s="2"/>
      <c r="R751" s="2"/>
      <c r="S751" s="2"/>
      <c r="T751" s="2"/>
      <c r="U751" s="2"/>
      <c r="V751" s="2"/>
      <c r="W751" s="2"/>
      <c r="X751" s="2"/>
      <c r="Y751" s="2"/>
      <c r="Z751" s="2"/>
      <c r="AA751" s="2"/>
    </row>
    <row r="752" spans="1:27" ht="15.75" customHeight="1">
      <c r="A752" s="2"/>
      <c r="B752" s="430"/>
      <c r="C752" s="430"/>
      <c r="D752" s="430"/>
      <c r="E752" s="430"/>
      <c r="F752" s="2"/>
      <c r="G752" s="2"/>
      <c r="H752" s="2"/>
      <c r="I752" s="2"/>
      <c r="J752" s="2"/>
      <c r="K752" s="2"/>
      <c r="L752" s="2"/>
      <c r="M752" s="2"/>
      <c r="N752" s="2"/>
      <c r="O752" s="2"/>
      <c r="P752" s="2"/>
      <c r="Q752" s="2"/>
      <c r="R752" s="2"/>
      <c r="S752" s="2"/>
      <c r="T752" s="2"/>
      <c r="U752" s="2"/>
      <c r="V752" s="2"/>
      <c r="W752" s="2"/>
      <c r="X752" s="2"/>
      <c r="Y752" s="2"/>
      <c r="Z752" s="2"/>
      <c r="AA752" s="2"/>
    </row>
    <row r="753" spans="1:27" ht="15.75" customHeight="1">
      <c r="A753" s="2"/>
      <c r="B753" s="430"/>
      <c r="C753" s="430"/>
      <c r="D753" s="430"/>
      <c r="E753" s="430"/>
      <c r="F753" s="2"/>
      <c r="G753" s="2"/>
      <c r="H753" s="2"/>
      <c r="I753" s="2"/>
      <c r="J753" s="2"/>
      <c r="K753" s="2"/>
      <c r="L753" s="2"/>
      <c r="M753" s="2"/>
      <c r="N753" s="2"/>
      <c r="O753" s="2"/>
      <c r="P753" s="2"/>
      <c r="Q753" s="2"/>
      <c r="R753" s="2"/>
      <c r="S753" s="2"/>
      <c r="T753" s="2"/>
      <c r="U753" s="2"/>
      <c r="V753" s="2"/>
      <c r="W753" s="2"/>
      <c r="X753" s="2"/>
      <c r="Y753" s="2"/>
      <c r="Z753" s="2"/>
      <c r="AA753" s="2"/>
    </row>
    <row r="754" spans="1:27" ht="15.75" customHeight="1">
      <c r="A754" s="2"/>
      <c r="B754" s="430"/>
      <c r="C754" s="430"/>
      <c r="D754" s="430"/>
      <c r="E754" s="430"/>
      <c r="F754" s="2"/>
      <c r="G754" s="2"/>
      <c r="H754" s="2"/>
      <c r="I754" s="2"/>
      <c r="J754" s="2"/>
      <c r="K754" s="2"/>
      <c r="L754" s="2"/>
      <c r="M754" s="2"/>
      <c r="N754" s="2"/>
      <c r="O754" s="2"/>
      <c r="P754" s="2"/>
      <c r="Q754" s="2"/>
      <c r="R754" s="2"/>
      <c r="S754" s="2"/>
      <c r="T754" s="2"/>
      <c r="U754" s="2"/>
      <c r="V754" s="2"/>
      <c r="W754" s="2"/>
      <c r="X754" s="2"/>
      <c r="Y754" s="2"/>
      <c r="Z754" s="2"/>
      <c r="AA754" s="2"/>
    </row>
    <row r="755" spans="1:27" ht="15.75" customHeight="1">
      <c r="A755" s="2"/>
      <c r="B755" s="430"/>
      <c r="C755" s="430"/>
      <c r="D755" s="430"/>
      <c r="E755" s="430"/>
      <c r="F755" s="2"/>
      <c r="G755" s="2"/>
      <c r="H755" s="2"/>
      <c r="I755" s="2"/>
      <c r="J755" s="2"/>
      <c r="K755" s="2"/>
      <c r="L755" s="2"/>
      <c r="M755" s="2"/>
      <c r="N755" s="2"/>
      <c r="O755" s="2"/>
      <c r="P755" s="2"/>
      <c r="Q755" s="2"/>
      <c r="R755" s="2"/>
      <c r="S755" s="2"/>
      <c r="T755" s="2"/>
      <c r="U755" s="2"/>
      <c r="V755" s="2"/>
      <c r="W755" s="2"/>
      <c r="X755" s="2"/>
      <c r="Y755" s="2"/>
      <c r="Z755" s="2"/>
      <c r="AA755" s="2"/>
    </row>
    <row r="756" spans="1:27" ht="15.75" customHeight="1">
      <c r="A756" s="2"/>
      <c r="B756" s="430"/>
      <c r="C756" s="430"/>
      <c r="D756" s="430"/>
      <c r="E756" s="430"/>
      <c r="F756" s="2"/>
      <c r="G756" s="2"/>
      <c r="H756" s="2"/>
      <c r="I756" s="2"/>
      <c r="J756" s="2"/>
      <c r="K756" s="2"/>
      <c r="L756" s="2"/>
      <c r="M756" s="2"/>
      <c r="N756" s="2"/>
      <c r="O756" s="2"/>
      <c r="P756" s="2"/>
      <c r="Q756" s="2"/>
      <c r="R756" s="2"/>
      <c r="S756" s="2"/>
      <c r="T756" s="2"/>
      <c r="U756" s="2"/>
      <c r="V756" s="2"/>
      <c r="W756" s="2"/>
      <c r="X756" s="2"/>
      <c r="Y756" s="2"/>
      <c r="Z756" s="2"/>
      <c r="AA756" s="2"/>
    </row>
    <row r="757" spans="1:27" ht="15.75" customHeight="1">
      <c r="A757" s="2"/>
      <c r="B757" s="430"/>
      <c r="C757" s="430"/>
      <c r="D757" s="430"/>
      <c r="E757" s="430"/>
      <c r="F757" s="2"/>
      <c r="G757" s="2"/>
      <c r="H757" s="2"/>
      <c r="I757" s="2"/>
      <c r="J757" s="2"/>
      <c r="K757" s="2"/>
      <c r="L757" s="2"/>
      <c r="M757" s="2"/>
      <c r="N757" s="2"/>
      <c r="O757" s="2"/>
      <c r="P757" s="2"/>
      <c r="Q757" s="2"/>
      <c r="R757" s="2"/>
      <c r="S757" s="2"/>
      <c r="T757" s="2"/>
      <c r="U757" s="2"/>
      <c r="V757" s="2"/>
      <c r="W757" s="2"/>
      <c r="X757" s="2"/>
      <c r="Y757" s="2"/>
      <c r="Z757" s="2"/>
      <c r="AA757" s="2"/>
    </row>
    <row r="758" spans="1:27" ht="15.75" customHeight="1">
      <c r="A758" s="2"/>
      <c r="B758" s="430"/>
      <c r="C758" s="430"/>
      <c r="D758" s="430"/>
      <c r="E758" s="430"/>
      <c r="F758" s="2"/>
      <c r="G758" s="2"/>
      <c r="H758" s="2"/>
      <c r="I758" s="2"/>
      <c r="J758" s="2"/>
      <c r="K758" s="2"/>
      <c r="L758" s="2"/>
      <c r="M758" s="2"/>
      <c r="N758" s="2"/>
      <c r="O758" s="2"/>
      <c r="P758" s="2"/>
      <c r="Q758" s="2"/>
      <c r="R758" s="2"/>
      <c r="S758" s="2"/>
      <c r="T758" s="2"/>
      <c r="U758" s="2"/>
      <c r="V758" s="2"/>
      <c r="W758" s="2"/>
      <c r="X758" s="2"/>
      <c r="Y758" s="2"/>
      <c r="Z758" s="2"/>
      <c r="AA758" s="2"/>
    </row>
    <row r="759" spans="1:27" ht="15.75" customHeight="1">
      <c r="A759" s="2"/>
      <c r="B759" s="430"/>
      <c r="C759" s="430"/>
      <c r="D759" s="430"/>
      <c r="E759" s="430"/>
      <c r="F759" s="2"/>
      <c r="G759" s="2"/>
      <c r="H759" s="2"/>
      <c r="I759" s="2"/>
      <c r="J759" s="2"/>
      <c r="K759" s="2"/>
      <c r="L759" s="2"/>
      <c r="M759" s="2"/>
      <c r="N759" s="2"/>
      <c r="O759" s="2"/>
      <c r="P759" s="2"/>
      <c r="Q759" s="2"/>
      <c r="R759" s="2"/>
      <c r="S759" s="2"/>
      <c r="T759" s="2"/>
      <c r="U759" s="2"/>
      <c r="V759" s="2"/>
      <c r="W759" s="2"/>
      <c r="X759" s="2"/>
      <c r="Y759" s="2"/>
      <c r="Z759" s="2"/>
      <c r="AA759" s="2"/>
    </row>
    <row r="760" spans="1:27"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5.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5.7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5.7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5.7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5.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row r="1010" spans="1:27" ht="15.7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row>
    <row r="1011" spans="1:27" ht="15.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row>
    <row r="1012" spans="1:27" ht="15.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row>
    <row r="1013" spans="1:27" ht="15.75" customHeigh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row>
    <row r="1014" spans="1:27" ht="15.75" customHeigh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row>
    <row r="1015" spans="1:27" ht="15.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row>
    <row r="1016" spans="1:27" ht="15.75" customHeigh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row>
    <row r="1017" spans="1:27" ht="15.75" customHeigh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row>
    <row r="1018" spans="1:27" ht="15.75" customHeigh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row>
    <row r="1019" spans="1:27" ht="15.75" customHeigh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row>
  </sheetData>
  <mergeCells count="83">
    <mergeCell ref="B371:D371"/>
    <mergeCell ref="B390:D390"/>
    <mergeCell ref="B393:D393"/>
    <mergeCell ref="B394:D394"/>
    <mergeCell ref="B330:D330"/>
    <mergeCell ref="B331:D331"/>
    <mergeCell ref="B350:D350"/>
    <mergeCell ref="B351:D351"/>
    <mergeCell ref="B370:D370"/>
    <mergeCell ref="B317:D317"/>
    <mergeCell ref="B318:D318"/>
    <mergeCell ref="B325:D325"/>
    <mergeCell ref="B326:D326"/>
    <mergeCell ref="B327:D327"/>
    <mergeCell ref="B258:D258"/>
    <mergeCell ref="B277:D277"/>
    <mergeCell ref="B278:D278"/>
    <mergeCell ref="B297:D297"/>
    <mergeCell ref="B298:D298"/>
    <mergeCell ref="B244:D244"/>
    <mergeCell ref="B245:D245"/>
    <mergeCell ref="B253:D253"/>
    <mergeCell ref="B254:D254"/>
    <mergeCell ref="B257:D257"/>
    <mergeCell ref="B165:D165"/>
    <mergeCell ref="B166:D166"/>
    <mergeCell ref="B208:D208"/>
    <mergeCell ref="B209:D209"/>
    <mergeCell ref="B188:D188"/>
    <mergeCell ref="B189:D189"/>
    <mergeCell ref="B185:D185"/>
    <mergeCell ref="B106:D106"/>
    <mergeCell ref="B125:D125"/>
    <mergeCell ref="B126:D126"/>
    <mergeCell ref="B145:D145"/>
    <mergeCell ref="B146:D146"/>
    <mergeCell ref="B683:E683"/>
    <mergeCell ref="B660:D660"/>
    <mergeCell ref="B691:D691"/>
    <mergeCell ref="B1:D1"/>
    <mergeCell ref="B2:D2"/>
    <mergeCell ref="B5:D5"/>
    <mergeCell ref="B6:D6"/>
    <mergeCell ref="B25:D25"/>
    <mergeCell ref="B26:D26"/>
    <mergeCell ref="B45:D45"/>
    <mergeCell ref="B46:D46"/>
    <mergeCell ref="B65:D65"/>
    <mergeCell ref="B66:D66"/>
    <mergeCell ref="B85:D85"/>
    <mergeCell ref="B86:D86"/>
    <mergeCell ref="B105:D105"/>
    <mergeCell ref="B678:D678"/>
    <mergeCell ref="B537:D537"/>
    <mergeCell ref="B556:D556"/>
    <mergeCell ref="B557:D557"/>
    <mergeCell ref="B576:D576"/>
    <mergeCell ref="B577:D577"/>
    <mergeCell ref="B596:D596"/>
    <mergeCell ref="B597:D597"/>
    <mergeCell ref="B617:D617"/>
    <mergeCell ref="B638:D638"/>
    <mergeCell ref="B639:D639"/>
    <mergeCell ref="B513:D513"/>
    <mergeCell ref="B516:D516"/>
    <mergeCell ref="B517:D517"/>
    <mergeCell ref="B536:D536"/>
    <mergeCell ref="B616:D616"/>
    <mergeCell ref="B454:D454"/>
    <mergeCell ref="B473:D473"/>
    <mergeCell ref="B474:D474"/>
    <mergeCell ref="B493:D493"/>
    <mergeCell ref="B494:D494"/>
    <mergeCell ref="B413:D413"/>
    <mergeCell ref="B414:D414"/>
    <mergeCell ref="B433:D433"/>
    <mergeCell ref="B434:D434"/>
    <mergeCell ref="B453:D453"/>
    <mergeCell ref="B692:D692"/>
    <mergeCell ref="B703:D703"/>
    <mergeCell ref="B694:E694"/>
    <mergeCell ref="B702:D702"/>
    <mergeCell ref="B704:D704"/>
  </mergeCells>
  <pageMargins left="0.511811024" right="0.511811024" top="0.78740157499999996" bottom="0.78740157499999996" header="0" footer="0"/>
  <pageSetup paperSize="9"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000"/>
  <sheetViews>
    <sheetView topLeftCell="A252" workbookViewId="0">
      <selection activeCell="C263" sqref="C263"/>
    </sheetView>
  </sheetViews>
  <sheetFormatPr defaultColWidth="14.42578125" defaultRowHeight="15" customHeight="1"/>
  <cols>
    <col min="1" max="1" width="47.42578125" customWidth="1"/>
    <col min="2" max="2" width="39.5703125" customWidth="1"/>
    <col min="3" max="3" width="35.140625" customWidth="1"/>
    <col min="4" max="4" width="27.42578125" customWidth="1"/>
    <col min="5" max="5" width="32.5703125" customWidth="1"/>
    <col min="6" max="6" width="20.140625" customWidth="1"/>
    <col min="7" max="7" width="21.85546875" customWidth="1"/>
    <col min="8" max="8" width="20.85546875" customWidth="1"/>
    <col min="9" max="9" width="19" customWidth="1"/>
    <col min="10" max="10" width="21.7109375" customWidth="1"/>
    <col min="11" max="11" width="12.85546875" customWidth="1"/>
    <col min="12" max="19" width="8.7109375" customWidth="1"/>
    <col min="20" max="20" width="12.140625" customWidth="1"/>
    <col min="21" max="26" width="8.7109375" customWidth="1"/>
  </cols>
  <sheetData>
    <row r="1" spans="1:31">
      <c r="A1" s="975" t="s">
        <v>300</v>
      </c>
      <c r="B1" s="875"/>
      <c r="C1" s="875"/>
      <c r="D1" s="875"/>
      <c r="E1" s="875"/>
      <c r="F1" s="875"/>
      <c r="G1" s="875"/>
      <c r="H1" s="875"/>
      <c r="I1" s="875"/>
      <c r="J1" s="875"/>
      <c r="K1" s="875"/>
      <c r="L1" s="875"/>
      <c r="M1" s="875"/>
      <c r="N1" s="875"/>
      <c r="O1" s="875"/>
      <c r="P1" s="875"/>
      <c r="Q1" s="875"/>
      <c r="R1" s="875"/>
      <c r="S1" s="875"/>
      <c r="T1" s="875"/>
      <c r="U1" s="858"/>
      <c r="V1" s="133"/>
      <c r="W1" s="133"/>
      <c r="X1" s="133"/>
      <c r="Y1" s="133"/>
      <c r="Z1" s="133"/>
      <c r="AA1" s="134"/>
      <c r="AB1" s="134"/>
      <c r="AC1" s="134"/>
      <c r="AD1" s="134"/>
      <c r="AE1" s="134"/>
    </row>
    <row r="2" spans="1:31">
      <c r="A2" s="976" t="s">
        <v>301</v>
      </c>
      <c r="B2" s="977"/>
      <c r="C2" s="977"/>
      <c r="D2" s="977"/>
      <c r="E2" s="977"/>
      <c r="F2" s="977"/>
      <c r="G2" s="977"/>
      <c r="H2" s="977"/>
      <c r="I2" s="977"/>
      <c r="J2" s="977"/>
      <c r="K2" s="977"/>
      <c r="L2" s="977"/>
      <c r="M2" s="977"/>
      <c r="N2" s="977"/>
      <c r="O2" s="977"/>
      <c r="P2" s="977"/>
      <c r="Q2" s="977"/>
      <c r="R2" s="977"/>
      <c r="S2" s="977"/>
      <c r="T2" s="977"/>
      <c r="U2" s="978"/>
      <c r="V2" s="135"/>
      <c r="W2" s="135"/>
      <c r="X2" s="135"/>
      <c r="Y2" s="135"/>
      <c r="Z2" s="135"/>
      <c r="AA2" s="136"/>
      <c r="AB2" s="136"/>
      <c r="AC2" s="136"/>
      <c r="AD2" s="136"/>
      <c r="AE2" s="136"/>
    </row>
    <row r="3" spans="1:31">
      <c r="A3" s="979" t="s">
        <v>302</v>
      </c>
      <c r="B3" s="867"/>
      <c r="C3" s="867"/>
      <c r="D3" s="867"/>
      <c r="E3" s="867"/>
      <c r="F3" s="867"/>
      <c r="G3" s="867"/>
      <c r="H3" s="867"/>
      <c r="I3" s="867"/>
      <c r="J3" s="867"/>
      <c r="K3" s="867"/>
      <c r="L3" s="867"/>
      <c r="M3" s="867"/>
      <c r="N3" s="867"/>
      <c r="O3" s="867"/>
      <c r="P3" s="867"/>
      <c r="Q3" s="867"/>
      <c r="R3" s="867"/>
      <c r="S3" s="867"/>
      <c r="T3" s="867"/>
      <c r="U3" s="868"/>
      <c r="V3" s="137"/>
      <c r="W3" s="137"/>
      <c r="X3" s="137"/>
      <c r="Y3" s="137"/>
      <c r="Z3" s="137"/>
      <c r="AA3" s="136"/>
      <c r="AB3" s="136"/>
      <c r="AC3" s="136"/>
      <c r="AD3" s="136"/>
      <c r="AE3" s="136"/>
    </row>
    <row r="4" spans="1:31">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row>
    <row r="5" spans="1:31">
      <c r="A5" s="530" t="s">
        <v>303</v>
      </c>
      <c r="B5" s="531" t="s">
        <v>174</v>
      </c>
      <c r="C5" s="138"/>
      <c r="D5" s="138"/>
      <c r="E5" s="138"/>
      <c r="F5" s="138"/>
      <c r="G5" s="138"/>
      <c r="H5" s="138"/>
      <c r="I5" s="138"/>
      <c r="J5" s="138"/>
      <c r="K5" s="138"/>
      <c r="L5" s="138"/>
      <c r="M5" s="138"/>
      <c r="N5" s="138"/>
      <c r="O5" s="138"/>
      <c r="P5" s="138"/>
      <c r="Q5" s="138"/>
      <c r="R5" s="138"/>
      <c r="S5" s="138"/>
      <c r="T5" s="138"/>
      <c r="U5" s="138"/>
      <c r="V5" s="138"/>
      <c r="W5" s="138"/>
      <c r="X5" s="138"/>
      <c r="Y5" s="138"/>
      <c r="Z5" s="138"/>
    </row>
    <row r="6" spans="1:31">
      <c r="A6" s="532" t="s">
        <v>177</v>
      </c>
      <c r="B6" s="533" t="s">
        <v>22</v>
      </c>
      <c r="C6" s="138"/>
      <c r="D6" s="138"/>
      <c r="E6" s="138"/>
      <c r="F6" s="138"/>
      <c r="G6" s="138"/>
      <c r="H6" s="138"/>
      <c r="I6" s="138"/>
      <c r="J6" s="138"/>
      <c r="K6" s="138"/>
      <c r="L6" s="138"/>
      <c r="M6" s="138"/>
      <c r="N6" s="138"/>
      <c r="O6" s="138"/>
      <c r="P6" s="138"/>
      <c r="Q6" s="138"/>
      <c r="R6" s="138"/>
      <c r="S6" s="138"/>
      <c r="T6" s="138"/>
      <c r="U6" s="138"/>
      <c r="V6" s="138"/>
      <c r="W6" s="138"/>
      <c r="X6" s="138"/>
      <c r="Y6" s="138"/>
      <c r="Z6" s="138"/>
    </row>
    <row r="7" spans="1:31">
      <c r="A7" s="532" t="s">
        <v>179</v>
      </c>
      <c r="B7" s="533" t="s">
        <v>23</v>
      </c>
      <c r="C7" s="138"/>
      <c r="D7" s="138"/>
      <c r="E7" s="138"/>
      <c r="F7" s="138"/>
      <c r="G7" s="138"/>
      <c r="H7" s="138"/>
      <c r="I7" s="138"/>
      <c r="J7" s="138"/>
      <c r="K7" s="138"/>
      <c r="L7" s="138"/>
      <c r="M7" s="138"/>
      <c r="N7" s="138"/>
      <c r="O7" s="138"/>
      <c r="P7" s="138"/>
      <c r="Q7" s="138"/>
      <c r="R7" s="138"/>
      <c r="S7" s="138"/>
      <c r="T7" s="138"/>
      <c r="U7" s="138"/>
      <c r="V7" s="138"/>
      <c r="W7" s="138"/>
      <c r="X7" s="138"/>
      <c r="Y7" s="138"/>
      <c r="Z7" s="138"/>
    </row>
    <row r="8" spans="1:31">
      <c r="A8" s="532" t="s">
        <v>180</v>
      </c>
      <c r="B8" s="533" t="s">
        <v>24</v>
      </c>
      <c r="C8" s="138"/>
      <c r="D8" s="138"/>
      <c r="E8" s="138"/>
      <c r="F8" s="138"/>
      <c r="G8" s="138"/>
      <c r="H8" s="138"/>
      <c r="I8" s="138"/>
      <c r="J8" s="138"/>
      <c r="K8" s="138"/>
      <c r="L8" s="138"/>
      <c r="M8" s="138"/>
      <c r="N8" s="138"/>
      <c r="O8" s="138"/>
      <c r="P8" s="138"/>
      <c r="Q8" s="138"/>
      <c r="R8" s="138"/>
      <c r="S8" s="138"/>
      <c r="T8" s="138"/>
      <c r="U8" s="138"/>
      <c r="V8" s="138"/>
      <c r="W8" s="138"/>
      <c r="X8" s="138"/>
      <c r="Y8" s="138"/>
      <c r="Z8" s="138"/>
    </row>
    <row r="9" spans="1:31">
      <c r="A9" s="534" t="s">
        <v>181</v>
      </c>
      <c r="B9" s="533" t="s">
        <v>25</v>
      </c>
      <c r="C9" s="138"/>
      <c r="D9" s="138"/>
      <c r="E9" s="138"/>
      <c r="F9" s="138"/>
      <c r="G9" s="138"/>
      <c r="H9" s="138"/>
      <c r="I9" s="138"/>
      <c r="J9" s="138"/>
      <c r="K9" s="138"/>
      <c r="L9" s="138"/>
      <c r="M9" s="138"/>
      <c r="N9" s="138"/>
      <c r="O9" s="138"/>
      <c r="P9" s="138"/>
      <c r="Q9" s="138"/>
      <c r="R9" s="138"/>
      <c r="S9" s="138"/>
      <c r="T9" s="138"/>
      <c r="U9" s="138"/>
      <c r="V9" s="138"/>
      <c r="W9" s="138"/>
      <c r="X9" s="138"/>
      <c r="Y9" s="138"/>
      <c r="Z9" s="138"/>
    </row>
    <row r="10" spans="1:31">
      <c r="A10" s="534" t="s">
        <v>182</v>
      </c>
      <c r="B10" s="533" t="s">
        <v>26</v>
      </c>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row>
    <row r="11" spans="1:31">
      <c r="A11" s="534" t="s">
        <v>183</v>
      </c>
      <c r="B11" s="533" t="s">
        <v>27</v>
      </c>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row>
    <row r="12" spans="1:31">
      <c r="A12" s="534" t="s">
        <v>184</v>
      </c>
      <c r="B12" s="533" t="s">
        <v>28</v>
      </c>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row>
    <row r="13" spans="1:31">
      <c r="A13" s="534" t="s">
        <v>185</v>
      </c>
      <c r="B13" s="533" t="s">
        <v>29</v>
      </c>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row>
    <row r="14" spans="1:31">
      <c r="A14" s="534" t="s">
        <v>186</v>
      </c>
      <c r="B14" s="533" t="s">
        <v>30</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row>
    <row r="15" spans="1:31">
      <c r="A15" s="534" t="s">
        <v>187</v>
      </c>
      <c r="B15" s="533" t="s">
        <v>31</v>
      </c>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row>
    <row r="16" spans="1:31">
      <c r="A16" s="534" t="s">
        <v>188</v>
      </c>
      <c r="B16" s="533" t="s">
        <v>32</v>
      </c>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row>
    <row r="17" spans="1:31">
      <c r="A17" s="534" t="s">
        <v>189</v>
      </c>
      <c r="B17" s="533" t="s">
        <v>33</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row>
    <row r="18" spans="1:31">
      <c r="A18" s="534" t="s">
        <v>190</v>
      </c>
      <c r="B18" s="533" t="s">
        <v>34</v>
      </c>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row>
    <row r="19" spans="1:31">
      <c r="A19" s="534" t="s">
        <v>191</v>
      </c>
      <c r="B19" s="533" t="s">
        <v>35</v>
      </c>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row>
    <row r="20" spans="1:31">
      <c r="A20" s="535" t="s">
        <v>192</v>
      </c>
      <c r="B20" s="536" t="s">
        <v>36</v>
      </c>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row>
    <row r="21" spans="1:31" ht="15.75" customHeight="1">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row>
    <row r="22" spans="1:31" s="508" customFormat="1" ht="15.75" customHeight="1">
      <c r="A22" s="526"/>
      <c r="B22" s="527"/>
      <c r="C22" s="528" t="s">
        <v>170</v>
      </c>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9"/>
      <c r="AC22" s="529"/>
      <c r="AD22" s="529"/>
      <c r="AE22" s="529"/>
    </row>
    <row r="23" spans="1:31" ht="15.75" customHeight="1">
      <c r="A23" s="980" t="s">
        <v>171</v>
      </c>
      <c r="B23" s="981"/>
      <c r="C23" s="981"/>
      <c r="D23" s="981"/>
      <c r="E23" s="981"/>
      <c r="F23" s="981"/>
      <c r="G23" s="981"/>
      <c r="H23" s="981"/>
      <c r="I23" s="981"/>
      <c r="J23" s="981"/>
      <c r="K23" s="981"/>
      <c r="L23" s="981"/>
      <c r="M23" s="981"/>
      <c r="N23" s="981"/>
      <c r="O23" s="981"/>
      <c r="P23" s="981"/>
      <c r="Q23" s="981"/>
      <c r="R23" s="981"/>
      <c r="S23" s="981"/>
      <c r="T23" s="981"/>
      <c r="U23" s="982"/>
      <c r="V23" s="139"/>
      <c r="W23" s="139"/>
      <c r="X23" s="139"/>
      <c r="Y23" s="139"/>
      <c r="Z23" s="139"/>
      <c r="AA23" s="140"/>
      <c r="AB23" s="141"/>
      <c r="AC23" s="141"/>
      <c r="AD23" s="141"/>
      <c r="AE23" s="141"/>
    </row>
    <row r="24" spans="1:31" ht="15.75" customHeight="1">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row>
    <row r="25" spans="1:31" ht="15.75" customHeight="1">
      <c r="A25" s="58"/>
      <c r="B25" s="142"/>
      <c r="C25" s="143"/>
      <c r="D25" s="142"/>
      <c r="E25" s="144"/>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row>
    <row r="26" spans="1:31" ht="30" customHeight="1">
      <c r="A26" s="983" t="s">
        <v>304</v>
      </c>
      <c r="B26" s="984"/>
      <c r="C26" s="985"/>
      <c r="D26" s="58"/>
      <c r="E26" s="144"/>
      <c r="F26" s="58"/>
      <c r="G26" s="58"/>
      <c r="H26" s="58"/>
      <c r="I26" s="58"/>
      <c r="J26" s="58"/>
    </row>
    <row r="27" spans="1:31" ht="21" customHeight="1">
      <c r="A27" s="145" t="s">
        <v>305</v>
      </c>
      <c r="B27" s="146" t="s">
        <v>306</v>
      </c>
      <c r="C27" s="147" t="s">
        <v>307</v>
      </c>
      <c r="D27" s="58"/>
      <c r="E27" s="148"/>
      <c r="F27" s="58"/>
      <c r="G27" s="58"/>
      <c r="H27" s="58"/>
      <c r="I27" s="58"/>
      <c r="J27" s="58"/>
    </row>
    <row r="28" spans="1:31" ht="21" customHeight="1">
      <c r="A28" s="149" t="s">
        <v>177</v>
      </c>
      <c r="B28" s="150">
        <v>0.32200000000000001</v>
      </c>
      <c r="C28" s="151" t="s">
        <v>308</v>
      </c>
      <c r="D28" s="58"/>
      <c r="E28" s="148"/>
      <c r="F28" s="58"/>
      <c r="G28" s="58"/>
      <c r="H28" s="58"/>
      <c r="I28" s="58"/>
      <c r="J28" s="58"/>
    </row>
    <row r="29" spans="1:31" ht="21" customHeight="1">
      <c r="A29" s="149" t="s">
        <v>179</v>
      </c>
      <c r="B29" s="150">
        <v>0.32200000000000001</v>
      </c>
      <c r="C29" s="151" t="s">
        <v>308</v>
      </c>
      <c r="D29" s="58"/>
      <c r="E29" s="148"/>
      <c r="F29" s="58"/>
      <c r="G29" s="58"/>
      <c r="H29" s="58"/>
      <c r="I29" s="58"/>
      <c r="J29" s="58"/>
    </row>
    <row r="30" spans="1:31" ht="21" customHeight="1">
      <c r="A30" s="149" t="s">
        <v>180</v>
      </c>
      <c r="B30" s="150">
        <v>0.32200000000000001</v>
      </c>
      <c r="C30" s="151" t="s">
        <v>308</v>
      </c>
      <c r="D30" s="58"/>
      <c r="E30" s="148"/>
      <c r="F30" s="58"/>
      <c r="G30" s="58"/>
      <c r="H30" s="58"/>
      <c r="I30" s="58"/>
      <c r="J30" s="58"/>
    </row>
    <row r="31" spans="1:31" ht="21" customHeight="1">
      <c r="A31" s="152" t="s">
        <v>181</v>
      </c>
      <c r="B31" s="150">
        <v>0.32200000000000001</v>
      </c>
      <c r="C31" s="151" t="s">
        <v>308</v>
      </c>
      <c r="D31" s="58"/>
      <c r="E31" s="148"/>
      <c r="F31" s="58"/>
      <c r="G31" s="58"/>
      <c r="H31" s="58"/>
      <c r="I31" s="58"/>
      <c r="J31" s="58"/>
    </row>
    <row r="32" spans="1:31" ht="21" customHeight="1">
      <c r="A32" s="152" t="s">
        <v>182</v>
      </c>
      <c r="B32" s="150">
        <v>0.32200000000000001</v>
      </c>
      <c r="C32" s="151" t="s">
        <v>308</v>
      </c>
      <c r="D32" s="58"/>
      <c r="E32" s="148"/>
      <c r="F32" s="58"/>
      <c r="G32" s="58"/>
      <c r="H32" s="58"/>
      <c r="I32" s="58"/>
      <c r="J32" s="58"/>
    </row>
    <row r="33" spans="1:31" ht="21" customHeight="1">
      <c r="A33" s="152" t="s">
        <v>183</v>
      </c>
      <c r="B33" s="150">
        <v>0.32200000000000001</v>
      </c>
      <c r="C33" s="151" t="s">
        <v>308</v>
      </c>
      <c r="D33" s="58"/>
      <c r="E33" s="148"/>
      <c r="F33" s="58"/>
      <c r="G33" s="58"/>
      <c r="H33" s="58"/>
      <c r="I33" s="58"/>
      <c r="J33" s="58"/>
    </row>
    <row r="34" spans="1:31" ht="21" customHeight="1">
      <c r="A34" s="152" t="s">
        <v>184</v>
      </c>
      <c r="B34" s="150">
        <v>0.32200000000000001</v>
      </c>
      <c r="C34" s="151" t="s">
        <v>308</v>
      </c>
      <c r="D34" s="58"/>
      <c r="E34" s="148"/>
      <c r="F34" s="58"/>
      <c r="G34" s="58"/>
      <c r="H34" s="58"/>
      <c r="I34" s="58"/>
      <c r="J34" s="58"/>
    </row>
    <row r="35" spans="1:31" ht="21" customHeight="1">
      <c r="A35" s="152" t="s">
        <v>185</v>
      </c>
      <c r="B35" s="150">
        <v>0.32200000000000001</v>
      </c>
      <c r="C35" s="151" t="s">
        <v>308</v>
      </c>
      <c r="D35" s="58"/>
      <c r="E35" s="148"/>
      <c r="F35" s="58"/>
      <c r="G35" s="58"/>
      <c r="H35" s="58"/>
      <c r="I35" s="58"/>
      <c r="J35" s="58"/>
    </row>
    <row r="36" spans="1:31" ht="21" customHeight="1">
      <c r="A36" s="152" t="s">
        <v>186</v>
      </c>
      <c r="B36" s="150">
        <v>0.32200000000000001</v>
      </c>
      <c r="C36" s="151" t="s">
        <v>308</v>
      </c>
      <c r="D36" s="58"/>
      <c r="E36" s="148"/>
      <c r="F36" s="58"/>
      <c r="G36" s="58"/>
      <c r="H36" s="58"/>
      <c r="I36" s="58"/>
      <c r="J36" s="58"/>
    </row>
    <row r="37" spans="1:31" ht="21" customHeight="1">
      <c r="A37" s="152" t="s">
        <v>187</v>
      </c>
      <c r="B37" s="150">
        <v>0.32200000000000001</v>
      </c>
      <c r="C37" s="151" t="s">
        <v>308</v>
      </c>
      <c r="D37" s="58"/>
      <c r="E37" s="148"/>
      <c r="F37" s="58"/>
      <c r="G37" s="58"/>
      <c r="H37" s="58"/>
      <c r="I37" s="58"/>
      <c r="J37" s="58"/>
    </row>
    <row r="38" spans="1:31" ht="24.75" customHeight="1">
      <c r="A38" s="152" t="s">
        <v>188</v>
      </c>
      <c r="B38" s="150">
        <v>0.32200000000000001</v>
      </c>
      <c r="C38" s="151" t="s">
        <v>308</v>
      </c>
      <c r="D38" s="58"/>
      <c r="E38" s="148"/>
      <c r="F38" s="58"/>
      <c r="G38" s="58"/>
      <c r="H38" s="58"/>
      <c r="I38" s="58"/>
      <c r="J38" s="58"/>
    </row>
    <row r="39" spans="1:31" ht="24" customHeight="1">
      <c r="A39" s="152" t="s">
        <v>189</v>
      </c>
      <c r="B39" s="150">
        <v>0.32200000000000001</v>
      </c>
      <c r="C39" s="151" t="s">
        <v>308</v>
      </c>
      <c r="D39" s="58"/>
      <c r="E39" s="148"/>
      <c r="F39" s="58"/>
      <c r="G39" s="58"/>
      <c r="H39" s="58"/>
      <c r="I39" s="58"/>
      <c r="J39" s="58"/>
    </row>
    <row r="40" spans="1:31" ht="26.25" customHeight="1">
      <c r="A40" s="152" t="s">
        <v>190</v>
      </c>
      <c r="B40" s="150">
        <v>0.32200000000000001</v>
      </c>
      <c r="C40" s="151" t="s">
        <v>308</v>
      </c>
      <c r="D40" s="58"/>
      <c r="E40" s="148"/>
      <c r="F40" s="58"/>
      <c r="G40" s="58"/>
      <c r="H40" s="58"/>
      <c r="I40" s="58"/>
      <c r="J40" s="58"/>
    </row>
    <row r="41" spans="1:31" ht="25.5" customHeight="1">
      <c r="A41" s="152" t="s">
        <v>191</v>
      </c>
      <c r="B41" s="150">
        <v>0.38600000000000001</v>
      </c>
      <c r="C41" s="151" t="s">
        <v>309</v>
      </c>
      <c r="D41" s="58"/>
      <c r="E41" s="148"/>
      <c r="F41" s="58"/>
      <c r="G41" s="58"/>
      <c r="H41" s="58"/>
      <c r="I41" s="58"/>
      <c r="J41" s="58"/>
    </row>
    <row r="42" spans="1:31" ht="27.75" customHeight="1">
      <c r="A42" s="153" t="s">
        <v>192</v>
      </c>
      <c r="B42" s="154">
        <v>0.37</v>
      </c>
      <c r="C42" s="155" t="s">
        <v>310</v>
      </c>
      <c r="D42" s="58"/>
      <c r="E42" s="148"/>
      <c r="F42" s="58"/>
      <c r="G42" s="58"/>
      <c r="H42" s="58"/>
      <c r="I42" s="58"/>
      <c r="J42" s="58"/>
    </row>
    <row r="43" spans="1:31" ht="15.75" customHeight="1">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row>
    <row r="44" spans="1:31" ht="15.75"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row>
    <row r="45" spans="1:31" ht="32.25" customHeight="1">
      <c r="A45" s="983" t="s">
        <v>311</v>
      </c>
      <c r="B45" s="984"/>
      <c r="C45" s="984"/>
      <c r="D45" s="985"/>
      <c r="E45" s="58"/>
      <c r="F45" s="58"/>
      <c r="G45" s="58"/>
      <c r="H45" s="58"/>
      <c r="I45" s="58"/>
      <c r="J45" s="58"/>
      <c r="K45" s="58"/>
      <c r="L45" s="58"/>
      <c r="M45" s="58"/>
      <c r="N45" s="58"/>
      <c r="O45" s="58"/>
      <c r="P45" s="58"/>
    </row>
    <row r="46" spans="1:31" ht="15.75" customHeight="1">
      <c r="A46" s="156" t="s">
        <v>312</v>
      </c>
      <c r="B46" s="156" t="s">
        <v>313</v>
      </c>
      <c r="C46" s="156" t="s">
        <v>314</v>
      </c>
      <c r="D46" s="156" t="s">
        <v>315</v>
      </c>
      <c r="E46" s="58"/>
      <c r="F46" s="58"/>
      <c r="G46" s="58"/>
      <c r="H46" s="58"/>
      <c r="I46" s="58"/>
      <c r="J46" s="58"/>
      <c r="K46" s="58"/>
      <c r="L46" s="58"/>
      <c r="M46" s="58"/>
      <c r="N46" s="58"/>
      <c r="O46" s="58"/>
      <c r="P46" s="58"/>
    </row>
    <row r="47" spans="1:31" ht="21.75" customHeight="1">
      <c r="A47" s="986" t="s">
        <v>177</v>
      </c>
      <c r="B47" s="157" t="s">
        <v>316</v>
      </c>
      <c r="C47" s="158">
        <v>0.17</v>
      </c>
      <c r="D47" s="151" t="s">
        <v>317</v>
      </c>
      <c r="E47" s="58"/>
      <c r="F47" s="58"/>
      <c r="G47" s="58"/>
      <c r="H47" s="58"/>
      <c r="I47" s="58"/>
      <c r="J47" s="58"/>
      <c r="K47" s="58"/>
      <c r="L47" s="58"/>
      <c r="M47" s="58"/>
      <c r="N47" s="58"/>
      <c r="O47" s="58"/>
      <c r="P47" s="58"/>
    </row>
    <row r="48" spans="1:31" ht="21.75" customHeight="1">
      <c r="A48" s="987"/>
      <c r="B48" s="159" t="s">
        <v>318</v>
      </c>
      <c r="C48" s="160">
        <v>0.36</v>
      </c>
      <c r="D48" s="161" t="s">
        <v>319</v>
      </c>
      <c r="E48" s="58"/>
      <c r="F48" s="58"/>
      <c r="G48" s="58"/>
      <c r="H48" s="58"/>
      <c r="I48" s="58"/>
      <c r="J48" s="58"/>
      <c r="K48" s="58"/>
      <c r="L48" s="58"/>
      <c r="M48" s="58"/>
      <c r="N48" s="58"/>
      <c r="O48" s="58"/>
      <c r="P48" s="58"/>
    </row>
    <row r="49" spans="1:16" ht="21.75" customHeight="1">
      <c r="A49" s="986" t="s">
        <v>179</v>
      </c>
      <c r="B49" s="157" t="s">
        <v>316</v>
      </c>
      <c r="C49" s="158">
        <v>0.17</v>
      </c>
      <c r="D49" s="151" t="s">
        <v>317</v>
      </c>
      <c r="E49" s="58"/>
      <c r="F49" s="58"/>
      <c r="G49" s="58"/>
      <c r="H49" s="58"/>
      <c r="I49" s="58"/>
      <c r="J49" s="58"/>
      <c r="K49" s="58"/>
      <c r="L49" s="58"/>
      <c r="M49" s="58"/>
      <c r="N49" s="58"/>
      <c r="O49" s="58"/>
      <c r="P49" s="58"/>
    </row>
    <row r="50" spans="1:16" ht="21.75" customHeight="1">
      <c r="A50" s="987"/>
      <c r="B50" s="159" t="s">
        <v>318</v>
      </c>
      <c r="C50" s="160">
        <v>0.36</v>
      </c>
      <c r="D50" s="161" t="s">
        <v>319</v>
      </c>
      <c r="E50" s="58"/>
      <c r="F50" s="58"/>
      <c r="G50" s="58"/>
      <c r="H50" s="58"/>
      <c r="I50" s="58"/>
      <c r="J50" s="58"/>
      <c r="K50" s="58"/>
      <c r="L50" s="58"/>
      <c r="M50" s="58"/>
      <c r="N50" s="58"/>
      <c r="O50" s="58"/>
      <c r="P50" s="58"/>
    </row>
    <row r="51" spans="1:16" ht="21.75" customHeight="1">
      <c r="A51" s="986" t="s">
        <v>180</v>
      </c>
      <c r="B51" s="157" t="s">
        <v>316</v>
      </c>
      <c r="C51" s="158">
        <v>0.17</v>
      </c>
      <c r="D51" s="151" t="s">
        <v>317</v>
      </c>
      <c r="E51" s="58"/>
      <c r="F51" s="58"/>
      <c r="G51" s="58"/>
      <c r="H51" s="58"/>
      <c r="I51" s="58"/>
      <c r="J51" s="58"/>
      <c r="K51" s="58"/>
      <c r="L51" s="58"/>
      <c r="M51" s="58"/>
      <c r="N51" s="58"/>
      <c r="O51" s="58"/>
      <c r="P51" s="58"/>
    </row>
    <row r="52" spans="1:16" ht="21.75" customHeight="1">
      <c r="A52" s="997"/>
      <c r="B52" s="159" t="s">
        <v>318</v>
      </c>
      <c r="C52" s="160">
        <v>0.36</v>
      </c>
      <c r="D52" s="161" t="s">
        <v>319</v>
      </c>
      <c r="E52" s="58"/>
      <c r="F52" s="58"/>
      <c r="G52" s="58"/>
      <c r="H52" s="58"/>
      <c r="I52" s="58"/>
      <c r="J52" s="58"/>
      <c r="K52" s="58"/>
      <c r="L52" s="58"/>
      <c r="M52" s="58"/>
      <c r="N52" s="58"/>
      <c r="O52" s="58"/>
      <c r="P52" s="58"/>
    </row>
    <row r="53" spans="1:16" ht="21.75" customHeight="1">
      <c r="A53" s="988" t="s">
        <v>181</v>
      </c>
      <c r="B53" s="157" t="s">
        <v>316</v>
      </c>
      <c r="C53" s="158">
        <v>0.17</v>
      </c>
      <c r="D53" s="151" t="s">
        <v>317</v>
      </c>
      <c r="E53" s="58"/>
      <c r="F53" s="58"/>
      <c r="G53" s="58"/>
      <c r="H53" s="58"/>
      <c r="I53" s="58"/>
      <c r="J53" s="58"/>
      <c r="K53" s="58"/>
      <c r="L53" s="58"/>
      <c r="M53" s="58"/>
      <c r="N53" s="58"/>
      <c r="O53" s="58"/>
      <c r="P53" s="58"/>
    </row>
    <row r="54" spans="1:16" ht="21.75" customHeight="1">
      <c r="A54" s="987"/>
      <c r="B54" s="159" t="s">
        <v>318</v>
      </c>
      <c r="C54" s="160">
        <v>0.36</v>
      </c>
      <c r="D54" s="161" t="s">
        <v>319</v>
      </c>
      <c r="E54" s="58"/>
      <c r="F54" s="58"/>
      <c r="G54" s="58"/>
      <c r="H54" s="58"/>
      <c r="I54" s="58"/>
      <c r="J54" s="58"/>
      <c r="K54" s="58"/>
      <c r="L54" s="58"/>
      <c r="M54" s="58"/>
      <c r="N54" s="58"/>
      <c r="O54" s="58"/>
      <c r="P54" s="58"/>
    </row>
    <row r="55" spans="1:16" ht="21.75" customHeight="1">
      <c r="A55" s="986" t="s">
        <v>182</v>
      </c>
      <c r="B55" s="157" t="s">
        <v>316</v>
      </c>
      <c r="C55" s="158">
        <v>0.17</v>
      </c>
      <c r="D55" s="151" t="s">
        <v>317</v>
      </c>
      <c r="E55" s="58"/>
      <c r="F55" s="58"/>
      <c r="G55" s="58"/>
      <c r="H55" s="58"/>
      <c r="I55" s="58"/>
      <c r="J55" s="58"/>
      <c r="K55" s="58"/>
      <c r="L55" s="58"/>
      <c r="M55" s="58"/>
      <c r="N55" s="58"/>
      <c r="O55" s="58"/>
      <c r="P55" s="58"/>
    </row>
    <row r="56" spans="1:16" ht="21.75" customHeight="1">
      <c r="A56" s="997"/>
      <c r="B56" s="159" t="s">
        <v>318</v>
      </c>
      <c r="C56" s="160">
        <v>0.36</v>
      </c>
      <c r="D56" s="161" t="s">
        <v>319</v>
      </c>
      <c r="E56" s="58"/>
      <c r="F56" s="58"/>
      <c r="G56" s="58"/>
      <c r="H56" s="58"/>
      <c r="I56" s="58"/>
      <c r="J56" s="58"/>
      <c r="K56" s="58"/>
      <c r="L56" s="58"/>
      <c r="M56" s="58"/>
      <c r="N56" s="58"/>
      <c r="O56" s="58"/>
      <c r="P56" s="58"/>
    </row>
    <row r="57" spans="1:16" ht="21.75" customHeight="1">
      <c r="A57" s="988" t="s">
        <v>183</v>
      </c>
      <c r="B57" s="157" t="s">
        <v>316</v>
      </c>
      <c r="C57" s="158">
        <v>0.17</v>
      </c>
      <c r="D57" s="151" t="s">
        <v>317</v>
      </c>
      <c r="E57" s="58"/>
      <c r="F57" s="58"/>
      <c r="G57" s="58"/>
      <c r="H57" s="58"/>
      <c r="I57" s="58"/>
      <c r="J57" s="58"/>
      <c r="K57" s="58"/>
      <c r="L57" s="58"/>
      <c r="M57" s="58"/>
      <c r="N57" s="58"/>
      <c r="O57" s="58"/>
      <c r="P57" s="58"/>
    </row>
    <row r="58" spans="1:16" ht="21.75" customHeight="1">
      <c r="A58" s="987"/>
      <c r="B58" s="159" t="s">
        <v>318</v>
      </c>
      <c r="C58" s="160">
        <v>0.36</v>
      </c>
      <c r="D58" s="161" t="s">
        <v>319</v>
      </c>
      <c r="E58" s="58"/>
      <c r="F58" s="58"/>
      <c r="G58" s="58"/>
      <c r="H58" s="58"/>
      <c r="I58" s="58"/>
      <c r="J58" s="58"/>
      <c r="K58" s="58"/>
      <c r="L58" s="58"/>
      <c r="M58" s="58"/>
      <c r="N58" s="58"/>
      <c r="O58" s="58"/>
      <c r="P58" s="58"/>
    </row>
    <row r="59" spans="1:16" ht="21.75" customHeight="1">
      <c r="A59" s="986" t="s">
        <v>184</v>
      </c>
      <c r="B59" s="157" t="s">
        <v>316</v>
      </c>
      <c r="C59" s="158">
        <v>0.17</v>
      </c>
      <c r="D59" s="151" t="s">
        <v>317</v>
      </c>
      <c r="E59" s="58"/>
      <c r="F59" s="58"/>
      <c r="G59" s="58"/>
      <c r="H59" s="58"/>
      <c r="I59" s="58"/>
      <c r="J59" s="58"/>
      <c r="K59" s="58"/>
      <c r="L59" s="58"/>
      <c r="M59" s="58"/>
      <c r="N59" s="58"/>
      <c r="O59" s="58"/>
      <c r="P59" s="58"/>
    </row>
    <row r="60" spans="1:16" ht="21.75" customHeight="1">
      <c r="A60" s="997"/>
      <c r="B60" s="159" t="s">
        <v>318</v>
      </c>
      <c r="C60" s="160">
        <v>0.36</v>
      </c>
      <c r="D60" s="161" t="s">
        <v>319</v>
      </c>
      <c r="E60" s="58"/>
      <c r="F60" s="58"/>
      <c r="G60" s="58"/>
      <c r="H60" s="58"/>
      <c r="I60" s="58"/>
      <c r="J60" s="58"/>
      <c r="K60" s="58"/>
      <c r="L60" s="58"/>
      <c r="M60" s="58"/>
      <c r="N60" s="58"/>
      <c r="O60" s="58"/>
      <c r="P60" s="58"/>
    </row>
    <row r="61" spans="1:16" ht="21.75" customHeight="1">
      <c r="A61" s="988" t="s">
        <v>185</v>
      </c>
      <c r="B61" s="157" t="s">
        <v>316</v>
      </c>
      <c r="C61" s="158">
        <v>0.17</v>
      </c>
      <c r="D61" s="151" t="s">
        <v>317</v>
      </c>
      <c r="E61" s="58"/>
      <c r="F61" s="58"/>
      <c r="G61" s="58"/>
      <c r="H61" s="58"/>
      <c r="I61" s="58"/>
      <c r="J61" s="58"/>
      <c r="K61" s="58"/>
      <c r="L61" s="58"/>
      <c r="M61" s="58"/>
      <c r="N61" s="58"/>
      <c r="O61" s="58"/>
      <c r="P61" s="58"/>
    </row>
    <row r="62" spans="1:16" ht="21.75" customHeight="1">
      <c r="A62" s="997"/>
      <c r="B62" s="159" t="s">
        <v>318</v>
      </c>
      <c r="C62" s="160">
        <v>0.36</v>
      </c>
      <c r="D62" s="161" t="s">
        <v>319</v>
      </c>
      <c r="E62" s="58"/>
      <c r="F62" s="58"/>
      <c r="G62" s="58"/>
      <c r="H62" s="58"/>
      <c r="I62" s="58"/>
      <c r="J62" s="58"/>
      <c r="K62" s="58"/>
      <c r="L62" s="58"/>
      <c r="M62" s="58"/>
      <c r="N62" s="58"/>
      <c r="O62" s="58"/>
      <c r="P62" s="58"/>
    </row>
    <row r="63" spans="1:16" ht="21.75" customHeight="1">
      <c r="A63" s="988" t="s">
        <v>186</v>
      </c>
      <c r="B63" s="157" t="s">
        <v>316</v>
      </c>
      <c r="C63" s="158">
        <v>0.17</v>
      </c>
      <c r="D63" s="151" t="s">
        <v>317</v>
      </c>
      <c r="E63" s="58"/>
      <c r="F63" s="58"/>
      <c r="G63" s="58"/>
      <c r="H63" s="58"/>
      <c r="I63" s="58"/>
      <c r="J63" s="58"/>
      <c r="K63" s="58"/>
      <c r="L63" s="58"/>
      <c r="M63" s="58"/>
      <c r="N63" s="58"/>
      <c r="O63" s="58"/>
      <c r="P63" s="58"/>
    </row>
    <row r="64" spans="1:16" ht="21.75" customHeight="1">
      <c r="A64" s="989"/>
      <c r="B64" s="159" t="s">
        <v>318</v>
      </c>
      <c r="C64" s="160">
        <v>0.36</v>
      </c>
      <c r="D64" s="161" t="s">
        <v>319</v>
      </c>
      <c r="E64" s="58"/>
      <c r="F64" s="58"/>
      <c r="G64" s="58"/>
      <c r="H64" s="58"/>
      <c r="I64" s="58"/>
      <c r="J64" s="58"/>
      <c r="K64" s="58"/>
      <c r="L64" s="58"/>
      <c r="M64" s="58"/>
      <c r="N64" s="58"/>
      <c r="O64" s="58"/>
      <c r="P64" s="58"/>
    </row>
    <row r="65" spans="1:31" ht="26.25" customHeight="1">
      <c r="A65" s="163" t="s">
        <v>187</v>
      </c>
      <c r="B65" s="157" t="s">
        <v>320</v>
      </c>
      <c r="C65" s="158">
        <v>0</v>
      </c>
      <c r="D65" s="151" t="s">
        <v>321</v>
      </c>
      <c r="E65" s="58"/>
      <c r="F65" s="58"/>
      <c r="G65" s="58"/>
      <c r="H65" s="58"/>
      <c r="I65" s="58"/>
      <c r="J65" s="58"/>
      <c r="K65" s="58"/>
      <c r="L65" s="58"/>
      <c r="M65" s="58"/>
      <c r="N65" s="58"/>
      <c r="O65" s="58"/>
      <c r="P65" s="58"/>
    </row>
    <row r="66" spans="1:31" ht="26.25" customHeight="1">
      <c r="A66" s="164" t="s">
        <v>188</v>
      </c>
      <c r="B66" s="165" t="s">
        <v>320</v>
      </c>
      <c r="C66" s="166">
        <v>0</v>
      </c>
      <c r="D66" s="167" t="s">
        <v>321</v>
      </c>
      <c r="E66" s="58"/>
      <c r="F66" s="58"/>
      <c r="G66" s="58"/>
      <c r="H66" s="58"/>
      <c r="I66" s="58"/>
      <c r="J66" s="58"/>
      <c r="K66" s="58"/>
      <c r="L66" s="58"/>
      <c r="M66" s="58"/>
      <c r="N66" s="58"/>
      <c r="O66" s="58"/>
      <c r="P66" s="58"/>
    </row>
    <row r="67" spans="1:31" ht="20.25" customHeight="1">
      <c r="A67" s="168" t="s">
        <v>189</v>
      </c>
      <c r="B67" s="169" t="s">
        <v>320</v>
      </c>
      <c r="C67" s="170">
        <v>0</v>
      </c>
      <c r="D67" s="171" t="s">
        <v>321</v>
      </c>
      <c r="E67" s="58"/>
      <c r="F67" s="58"/>
      <c r="G67" s="58"/>
      <c r="H67" s="58"/>
      <c r="I67" s="58"/>
      <c r="J67" s="58"/>
      <c r="K67" s="58"/>
      <c r="L67" s="58"/>
      <c r="M67" s="58"/>
      <c r="N67" s="58"/>
      <c r="O67" s="58"/>
      <c r="P67" s="58"/>
    </row>
    <row r="68" spans="1:31" ht="18" customHeight="1">
      <c r="A68" s="988" t="s">
        <v>322</v>
      </c>
      <c r="B68" s="157" t="s">
        <v>316</v>
      </c>
      <c r="C68" s="158">
        <v>0.17</v>
      </c>
      <c r="D68" s="151" t="s">
        <v>317</v>
      </c>
      <c r="E68" s="58"/>
      <c r="F68" s="58"/>
      <c r="G68" s="58"/>
      <c r="H68" s="58"/>
      <c r="I68" s="58"/>
      <c r="J68" s="58"/>
      <c r="K68" s="58"/>
      <c r="L68" s="58"/>
      <c r="M68" s="58"/>
      <c r="N68" s="58"/>
      <c r="O68" s="58"/>
      <c r="P68" s="58"/>
    </row>
    <row r="69" spans="1:31" ht="18.75" customHeight="1">
      <c r="A69" s="989"/>
      <c r="B69" s="159" t="s">
        <v>318</v>
      </c>
      <c r="C69" s="160">
        <v>0.36</v>
      </c>
      <c r="D69" s="161" t="s">
        <v>319</v>
      </c>
      <c r="E69" s="58"/>
      <c r="F69" s="58"/>
      <c r="G69" s="58"/>
      <c r="H69" s="58"/>
      <c r="I69" s="58"/>
      <c r="J69" s="58"/>
      <c r="K69" s="58"/>
      <c r="L69" s="58"/>
      <c r="M69" s="58"/>
      <c r="N69" s="58"/>
      <c r="O69" s="58"/>
      <c r="P69" s="58"/>
    </row>
    <row r="70" spans="1:31" ht="21.75" customHeight="1">
      <c r="A70" s="988" t="s">
        <v>323</v>
      </c>
      <c r="B70" s="157" t="s">
        <v>316</v>
      </c>
      <c r="C70" s="158">
        <v>0.17</v>
      </c>
      <c r="D70" s="151" t="s">
        <v>317</v>
      </c>
      <c r="E70" s="58"/>
      <c r="F70" s="58"/>
      <c r="G70" s="58"/>
      <c r="H70" s="58"/>
      <c r="I70" s="58"/>
      <c r="J70" s="58"/>
      <c r="K70" s="58"/>
      <c r="L70" s="58"/>
      <c r="M70" s="58"/>
      <c r="N70" s="58"/>
      <c r="O70" s="58"/>
      <c r="P70" s="58"/>
    </row>
    <row r="71" spans="1:31" ht="20.25" customHeight="1">
      <c r="A71" s="989"/>
      <c r="B71" s="159" t="s">
        <v>318</v>
      </c>
      <c r="C71" s="160">
        <v>0.36</v>
      </c>
      <c r="D71" s="161" t="s">
        <v>319</v>
      </c>
      <c r="E71" s="58"/>
      <c r="F71" s="58"/>
      <c r="G71" s="58"/>
      <c r="H71" s="58"/>
      <c r="I71" s="58"/>
      <c r="J71" s="58"/>
      <c r="K71" s="58"/>
      <c r="L71" s="58"/>
      <c r="M71" s="58"/>
      <c r="N71" s="58"/>
      <c r="O71" s="58"/>
      <c r="P71" s="58"/>
    </row>
    <row r="72" spans="1:31" ht="24.75" customHeight="1">
      <c r="A72" s="988" t="s">
        <v>192</v>
      </c>
      <c r="B72" s="157" t="s">
        <v>316</v>
      </c>
      <c r="C72" s="158">
        <v>0.17</v>
      </c>
      <c r="D72" s="151" t="s">
        <v>317</v>
      </c>
      <c r="E72" s="58"/>
      <c r="F72" s="58"/>
      <c r="G72" s="58"/>
      <c r="H72" s="58"/>
      <c r="I72" s="58"/>
      <c r="J72" s="58"/>
      <c r="K72" s="58"/>
      <c r="L72" s="58"/>
      <c r="M72" s="58"/>
      <c r="N72" s="58"/>
      <c r="O72" s="58"/>
      <c r="P72" s="58"/>
    </row>
    <row r="73" spans="1:31" ht="19.5" customHeight="1">
      <c r="A73" s="990"/>
      <c r="B73" s="172" t="s">
        <v>318</v>
      </c>
      <c r="C73" s="173">
        <v>0.36</v>
      </c>
      <c r="D73" s="174" t="s">
        <v>319</v>
      </c>
      <c r="E73" s="58"/>
      <c r="F73" s="58"/>
      <c r="G73" s="58"/>
      <c r="H73" s="58"/>
      <c r="I73" s="58"/>
      <c r="J73" s="58"/>
      <c r="K73" s="58"/>
      <c r="L73" s="58"/>
      <c r="M73" s="58"/>
      <c r="N73" s="58"/>
      <c r="O73" s="58"/>
      <c r="P73" s="58"/>
    </row>
    <row r="74" spans="1:31" ht="15.75" customHeight="1">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row>
    <row r="75" spans="1:31" ht="15.75" customHeight="1">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row>
    <row r="76" spans="1:31" ht="46.5" customHeight="1">
      <c r="A76" s="991" t="s">
        <v>324</v>
      </c>
      <c r="B76" s="992"/>
      <c r="C76" s="993"/>
      <c r="D76" s="58"/>
      <c r="E76" s="58"/>
      <c r="F76" s="58"/>
      <c r="G76" s="58"/>
      <c r="H76" s="58"/>
      <c r="I76" s="58"/>
      <c r="J76" s="58"/>
      <c r="K76" s="58"/>
      <c r="L76" s="58"/>
      <c r="M76" s="58"/>
      <c r="N76" s="58"/>
      <c r="O76" s="58"/>
      <c r="P76" s="58"/>
    </row>
    <row r="77" spans="1:31" ht="15.75" customHeight="1">
      <c r="A77" s="156" t="s">
        <v>312</v>
      </c>
      <c r="B77" s="175"/>
      <c r="C77" s="175" t="s">
        <v>325</v>
      </c>
      <c r="D77" s="58"/>
      <c r="E77" s="58"/>
      <c r="F77" s="58"/>
      <c r="G77" s="58"/>
      <c r="H77" s="58"/>
      <c r="I77" s="58"/>
      <c r="J77" s="58"/>
      <c r="K77" s="58"/>
      <c r="L77" s="58"/>
      <c r="M77" s="58"/>
      <c r="N77" s="58"/>
      <c r="O77" s="58"/>
      <c r="P77" s="58"/>
    </row>
    <row r="78" spans="1:31" ht="15.75" customHeight="1">
      <c r="A78" s="176" t="s">
        <v>177</v>
      </c>
      <c r="B78" s="177" t="s">
        <v>326</v>
      </c>
      <c r="C78" s="178">
        <v>1.2</v>
      </c>
      <c r="D78" s="58"/>
      <c r="E78" s="58"/>
      <c r="F78" s="58"/>
      <c r="G78" s="58"/>
      <c r="H78" s="58"/>
      <c r="I78" s="58"/>
      <c r="J78" s="58"/>
      <c r="K78" s="58"/>
      <c r="L78" s="58"/>
      <c r="M78" s="58"/>
      <c r="N78" s="58"/>
      <c r="O78" s="58"/>
      <c r="P78" s="58"/>
    </row>
    <row r="79" spans="1:31" ht="15.75" customHeight="1">
      <c r="A79" s="179" t="s">
        <v>179</v>
      </c>
      <c r="B79" s="169" t="s">
        <v>326</v>
      </c>
      <c r="C79" s="180">
        <v>1</v>
      </c>
      <c r="D79" s="58"/>
      <c r="E79" s="58"/>
      <c r="F79" s="58"/>
      <c r="G79" s="58"/>
      <c r="H79" s="58"/>
      <c r="I79" s="58"/>
      <c r="J79" s="58"/>
      <c r="K79" s="58"/>
      <c r="L79" s="58"/>
      <c r="M79" s="58"/>
      <c r="N79" s="58"/>
      <c r="O79" s="58"/>
      <c r="P79" s="58"/>
    </row>
    <row r="80" spans="1:31" ht="15.75" customHeight="1">
      <c r="A80" s="181" t="s">
        <v>180</v>
      </c>
      <c r="B80" s="182" t="s">
        <v>327</v>
      </c>
      <c r="C80" s="180">
        <v>0.8</v>
      </c>
      <c r="D80" s="58"/>
      <c r="E80" s="58"/>
      <c r="F80" s="58"/>
      <c r="G80" s="58"/>
      <c r="H80" s="58"/>
      <c r="I80" s="58"/>
      <c r="J80" s="58"/>
      <c r="K80" s="58"/>
      <c r="L80" s="58"/>
      <c r="M80" s="58"/>
      <c r="N80" s="58"/>
      <c r="O80" s="58"/>
      <c r="P80" s="58"/>
    </row>
    <row r="81" spans="1:31" ht="15.75" customHeight="1">
      <c r="A81" s="183" t="s">
        <v>181</v>
      </c>
      <c r="B81" s="169" t="s">
        <v>326</v>
      </c>
      <c r="C81" s="180">
        <v>1.2</v>
      </c>
      <c r="D81" s="58"/>
      <c r="E81" s="58"/>
      <c r="F81" s="58"/>
      <c r="G81" s="58"/>
      <c r="H81" s="58"/>
      <c r="I81" s="58"/>
      <c r="J81" s="58"/>
      <c r="K81" s="58"/>
      <c r="L81" s="58"/>
      <c r="M81" s="58"/>
      <c r="N81" s="58"/>
      <c r="O81" s="58"/>
      <c r="P81" s="58"/>
    </row>
    <row r="82" spans="1:31" ht="15.75" customHeight="1">
      <c r="A82" s="183" t="s">
        <v>182</v>
      </c>
      <c r="B82" s="169" t="s">
        <v>326</v>
      </c>
      <c r="C82" s="180">
        <v>1</v>
      </c>
      <c r="D82" s="58"/>
      <c r="E82" s="58"/>
      <c r="F82" s="58"/>
      <c r="G82" s="58"/>
      <c r="H82" s="58"/>
      <c r="I82" s="58"/>
      <c r="J82" s="58"/>
      <c r="K82" s="58"/>
      <c r="L82" s="58"/>
      <c r="M82" s="58"/>
      <c r="N82" s="58"/>
      <c r="O82" s="58"/>
      <c r="P82" s="58"/>
    </row>
    <row r="83" spans="1:31" ht="15.75" customHeight="1">
      <c r="A83" s="183" t="s">
        <v>183</v>
      </c>
      <c r="B83" s="184" t="s">
        <v>327</v>
      </c>
      <c r="C83" s="180">
        <v>0.8</v>
      </c>
      <c r="D83" s="58"/>
      <c r="E83" s="58"/>
      <c r="F83" s="58"/>
      <c r="G83" s="58"/>
      <c r="H83" s="58"/>
      <c r="I83" s="58"/>
      <c r="J83" s="58"/>
      <c r="K83" s="58"/>
      <c r="L83" s="58"/>
      <c r="M83" s="58"/>
      <c r="N83" s="58"/>
      <c r="O83" s="58"/>
      <c r="P83" s="58"/>
    </row>
    <row r="84" spans="1:31" ht="15.75" customHeight="1">
      <c r="A84" s="183" t="s">
        <v>184</v>
      </c>
      <c r="B84" s="182" t="s">
        <v>326</v>
      </c>
      <c r="C84" s="180">
        <v>1.2</v>
      </c>
      <c r="D84" s="58"/>
      <c r="E84" s="58"/>
      <c r="F84" s="58"/>
      <c r="G84" s="58"/>
      <c r="H84" s="58"/>
      <c r="I84" s="58"/>
      <c r="J84" s="58"/>
      <c r="K84" s="58"/>
      <c r="L84" s="58"/>
      <c r="M84" s="58"/>
      <c r="N84" s="58"/>
      <c r="O84" s="58"/>
      <c r="P84" s="58"/>
    </row>
    <row r="85" spans="1:31" ht="15.75" customHeight="1">
      <c r="A85" s="183" t="s">
        <v>185</v>
      </c>
      <c r="B85" s="169" t="s">
        <v>326</v>
      </c>
      <c r="C85" s="180">
        <v>1</v>
      </c>
      <c r="D85" s="58"/>
      <c r="E85" s="58"/>
      <c r="F85" s="58"/>
      <c r="G85" s="58"/>
      <c r="H85" s="58"/>
      <c r="I85" s="58"/>
      <c r="J85" s="58"/>
      <c r="K85" s="58"/>
      <c r="L85" s="58"/>
      <c r="M85" s="58"/>
      <c r="N85" s="58"/>
      <c r="O85" s="58"/>
      <c r="P85" s="58"/>
    </row>
    <row r="86" spans="1:31" ht="15.75" customHeight="1">
      <c r="A86" s="183" t="s">
        <v>186</v>
      </c>
      <c r="B86" s="182" t="s">
        <v>327</v>
      </c>
      <c r="C86" s="180">
        <v>0.8</v>
      </c>
      <c r="D86" s="58"/>
      <c r="E86" s="58"/>
      <c r="F86" s="58"/>
      <c r="G86" s="58"/>
      <c r="H86" s="58"/>
      <c r="I86" s="58"/>
      <c r="J86" s="58"/>
      <c r="K86" s="58"/>
      <c r="L86" s="58"/>
      <c r="M86" s="58"/>
      <c r="N86" s="58"/>
      <c r="O86" s="58"/>
      <c r="P86" s="58"/>
    </row>
    <row r="87" spans="1:31" ht="15.75" customHeight="1">
      <c r="A87" s="183" t="s">
        <v>187</v>
      </c>
      <c r="B87" s="182" t="s">
        <v>326</v>
      </c>
      <c r="C87" s="185">
        <v>1.2</v>
      </c>
      <c r="D87" s="58"/>
      <c r="E87" s="58"/>
      <c r="F87" s="58"/>
      <c r="G87" s="58"/>
      <c r="H87" s="58"/>
      <c r="I87" s="58"/>
      <c r="J87" s="58"/>
      <c r="K87" s="58"/>
      <c r="L87" s="58"/>
      <c r="M87" s="58"/>
      <c r="N87" s="58"/>
      <c r="O87" s="58"/>
      <c r="P87" s="58"/>
    </row>
    <row r="88" spans="1:31" ht="15.75" customHeight="1">
      <c r="A88" s="183" t="s">
        <v>188</v>
      </c>
      <c r="B88" s="169" t="s">
        <v>326</v>
      </c>
      <c r="C88" s="186">
        <v>1</v>
      </c>
      <c r="D88" s="58"/>
      <c r="E88" s="58"/>
      <c r="F88" s="58"/>
      <c r="G88" s="58"/>
      <c r="H88" s="58"/>
      <c r="I88" s="58"/>
      <c r="J88" s="58"/>
      <c r="K88" s="58"/>
      <c r="L88" s="58"/>
      <c r="M88" s="58"/>
      <c r="N88" s="58"/>
      <c r="O88" s="58"/>
      <c r="P88" s="58"/>
    </row>
    <row r="89" spans="1:31" ht="15.75" customHeight="1">
      <c r="A89" s="183" t="s">
        <v>189</v>
      </c>
      <c r="B89" s="184" t="s">
        <v>327</v>
      </c>
      <c r="C89" s="186">
        <v>0.8</v>
      </c>
      <c r="D89" s="58"/>
      <c r="E89" s="58"/>
      <c r="F89" s="58"/>
      <c r="G89" s="58"/>
      <c r="H89" s="58"/>
      <c r="I89" s="58"/>
      <c r="J89" s="58"/>
      <c r="K89" s="58"/>
      <c r="L89" s="58"/>
      <c r="M89" s="58"/>
      <c r="N89" s="58"/>
      <c r="O89" s="58"/>
      <c r="P89" s="58"/>
    </row>
    <row r="90" spans="1:31" ht="15.75" customHeight="1">
      <c r="A90" s="187" t="s">
        <v>322</v>
      </c>
      <c r="B90" s="184" t="s">
        <v>327</v>
      </c>
      <c r="C90" s="186">
        <v>0.8</v>
      </c>
      <c r="D90" s="58"/>
      <c r="E90" s="58"/>
      <c r="F90" s="58"/>
      <c r="G90" s="58"/>
      <c r="H90" s="58"/>
      <c r="I90" s="58"/>
      <c r="J90" s="58"/>
      <c r="K90" s="58"/>
      <c r="L90" s="58"/>
      <c r="M90" s="58"/>
      <c r="N90" s="58"/>
      <c r="O90" s="58"/>
      <c r="P90" s="58"/>
    </row>
    <row r="91" spans="1:31" ht="15.75" customHeight="1">
      <c r="A91" s="188" t="s">
        <v>323</v>
      </c>
      <c r="B91" s="188" t="s">
        <v>327</v>
      </c>
      <c r="C91" s="189">
        <v>0.8</v>
      </c>
      <c r="D91" s="58"/>
      <c r="E91" s="58"/>
      <c r="F91" s="58"/>
      <c r="G91" s="58"/>
      <c r="H91" s="58"/>
      <c r="I91" s="58"/>
      <c r="J91" s="58"/>
      <c r="K91" s="58"/>
      <c r="L91" s="58"/>
      <c r="M91" s="58"/>
      <c r="N91" s="58"/>
      <c r="O91" s="58"/>
      <c r="P91" s="58"/>
    </row>
    <row r="92" spans="1:31" ht="15.75" customHeight="1">
      <c r="A92" s="190" t="s">
        <v>192</v>
      </c>
      <c r="B92" s="172" t="s">
        <v>192</v>
      </c>
      <c r="C92" s="191">
        <v>1.2</v>
      </c>
      <c r="D92" s="58"/>
      <c r="E92" s="58"/>
      <c r="F92" s="58"/>
      <c r="G92" s="58"/>
      <c r="H92" s="58"/>
      <c r="I92" s="58"/>
      <c r="J92" s="58"/>
      <c r="K92" s="58"/>
      <c r="L92" s="58"/>
      <c r="M92" s="58"/>
      <c r="N92" s="58"/>
      <c r="O92" s="58"/>
      <c r="P92" s="58"/>
    </row>
    <row r="93" spans="1:31" ht="15.75" customHeight="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row>
    <row r="94" spans="1:31" ht="15.75" customHeight="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row>
    <row r="95" spans="1:31" ht="49.5" customHeight="1">
      <c r="A95" s="991" t="s">
        <v>328</v>
      </c>
      <c r="B95" s="993"/>
      <c r="C95" s="58"/>
      <c r="D95" s="58"/>
      <c r="E95" s="58"/>
      <c r="F95" s="58"/>
      <c r="G95" s="58"/>
      <c r="H95" s="58"/>
      <c r="I95" s="58"/>
      <c r="J95" s="58"/>
      <c r="K95" s="58"/>
      <c r="L95" s="58"/>
      <c r="M95" s="58"/>
      <c r="N95" s="58"/>
      <c r="O95" s="58"/>
      <c r="P95" s="58"/>
    </row>
    <row r="96" spans="1:31" ht="15.75" customHeight="1">
      <c r="A96" s="175" t="s">
        <v>329</v>
      </c>
      <c r="B96" s="175" t="s">
        <v>330</v>
      </c>
      <c r="C96" s="58"/>
      <c r="D96" s="58"/>
      <c r="E96" s="58"/>
      <c r="F96" s="58"/>
      <c r="G96" s="58"/>
      <c r="H96" s="58"/>
      <c r="I96" s="58"/>
      <c r="J96" s="58"/>
      <c r="K96" s="58"/>
      <c r="L96" s="58"/>
      <c r="M96" s="58"/>
      <c r="N96" s="58"/>
      <c r="O96" s="58"/>
      <c r="P96" s="58"/>
    </row>
    <row r="97" spans="1:31" ht="15.75" customHeight="1">
      <c r="A97" s="192" t="s">
        <v>331</v>
      </c>
      <c r="B97" s="193">
        <v>0.1</v>
      </c>
      <c r="C97" s="58"/>
      <c r="D97" s="58"/>
      <c r="E97" s="58"/>
      <c r="F97" s="58"/>
      <c r="G97" s="58"/>
      <c r="H97" s="58"/>
      <c r="I97" s="58"/>
      <c r="J97" s="58"/>
      <c r="K97" s="58"/>
      <c r="L97" s="58"/>
      <c r="M97" s="58"/>
      <c r="N97" s="58"/>
      <c r="O97" s="58"/>
      <c r="P97" s="58"/>
    </row>
    <row r="98" spans="1:31" ht="15.75" customHeight="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row>
    <row r="99" spans="1:31" ht="15.75" customHeight="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row>
    <row r="100" spans="1:31" s="508" customFormat="1" ht="15.75" customHeight="1">
      <c r="A100" s="994" t="s">
        <v>209</v>
      </c>
      <c r="B100" s="995"/>
      <c r="C100" s="995"/>
      <c r="D100" s="995"/>
      <c r="E100" s="995"/>
      <c r="F100" s="995"/>
      <c r="G100" s="995"/>
      <c r="H100" s="995"/>
      <c r="I100" s="995"/>
      <c r="J100" s="995"/>
      <c r="K100" s="995"/>
      <c r="L100" s="995"/>
      <c r="M100" s="995"/>
      <c r="N100" s="995"/>
      <c r="O100" s="995"/>
      <c r="P100" s="995"/>
      <c r="Q100" s="995"/>
      <c r="R100" s="995"/>
      <c r="S100" s="995"/>
      <c r="T100" s="995"/>
      <c r="U100" s="996"/>
      <c r="V100" s="524"/>
      <c r="W100" s="524"/>
      <c r="X100" s="524"/>
      <c r="Y100" s="524"/>
      <c r="Z100" s="524"/>
      <c r="AA100" s="525"/>
      <c r="AB100" s="507"/>
      <c r="AC100" s="507"/>
      <c r="AD100" s="507"/>
      <c r="AE100" s="507"/>
    </row>
    <row r="101" spans="1:31" ht="15.75" customHeight="1">
      <c r="A101" s="195"/>
      <c r="B101" s="58"/>
      <c r="C101" s="58"/>
      <c r="D101" s="58"/>
      <c r="E101" s="58"/>
      <c r="F101" s="58"/>
      <c r="G101" s="58"/>
      <c r="H101" s="58"/>
      <c r="I101" s="58"/>
      <c r="J101" s="58"/>
      <c r="K101" s="58"/>
      <c r="L101" s="58"/>
      <c r="M101" s="58"/>
      <c r="N101" s="58"/>
      <c r="O101" s="58"/>
      <c r="P101" s="58"/>
      <c r="Q101" s="58"/>
      <c r="R101" s="58"/>
      <c r="S101" s="58"/>
      <c r="T101" s="58"/>
      <c r="U101" s="58"/>
      <c r="V101" s="196"/>
      <c r="W101" s="196"/>
      <c r="X101" s="196"/>
      <c r="Y101" s="196"/>
      <c r="Z101" s="196"/>
      <c r="AA101" s="58"/>
      <c r="AB101" s="58"/>
      <c r="AC101" s="58"/>
      <c r="AD101" s="58"/>
      <c r="AE101" s="58"/>
    </row>
    <row r="102" spans="1:31" ht="15.75" customHeight="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row>
    <row r="103" spans="1:31" ht="43.5" customHeight="1">
      <c r="A103" s="991" t="s">
        <v>332</v>
      </c>
      <c r="B103" s="992"/>
      <c r="C103" s="992"/>
      <c r="D103" s="993"/>
      <c r="E103" s="58"/>
      <c r="F103" s="58"/>
      <c r="G103" s="58"/>
      <c r="H103" s="58"/>
      <c r="I103" s="58"/>
      <c r="J103" s="58"/>
      <c r="K103" s="58"/>
      <c r="L103" s="58"/>
      <c r="M103" s="58"/>
      <c r="N103" s="58"/>
      <c r="O103" s="58"/>
    </row>
    <row r="104" spans="1:31" ht="55.5" customHeight="1">
      <c r="A104" s="197" t="s">
        <v>333</v>
      </c>
      <c r="B104" s="197" t="s">
        <v>334</v>
      </c>
      <c r="C104" s="198" t="s">
        <v>335</v>
      </c>
      <c r="D104" s="197" t="s">
        <v>336</v>
      </c>
      <c r="E104" s="58"/>
      <c r="F104" s="58"/>
      <c r="G104" s="58"/>
      <c r="H104" s="58"/>
      <c r="I104" s="58"/>
      <c r="J104" s="58"/>
      <c r="K104" s="58"/>
      <c r="L104" s="58"/>
      <c r="M104" s="58"/>
      <c r="N104" s="58"/>
      <c r="O104" s="58"/>
    </row>
    <row r="105" spans="1:31" ht="15.75" customHeight="1">
      <c r="A105" s="998" t="s">
        <v>177</v>
      </c>
      <c r="B105" s="199" t="s">
        <v>337</v>
      </c>
      <c r="C105" s="200" t="s">
        <v>338</v>
      </c>
      <c r="D105" s="200">
        <v>7</v>
      </c>
      <c r="E105" s="58"/>
      <c r="F105" s="58"/>
      <c r="G105" s="58"/>
      <c r="H105" s="58"/>
      <c r="I105" s="58"/>
      <c r="J105" s="58"/>
      <c r="K105" s="58"/>
      <c r="L105" s="58"/>
      <c r="M105" s="58"/>
      <c r="N105" s="58"/>
      <c r="O105" s="58"/>
    </row>
    <row r="106" spans="1:31" ht="26.25" customHeight="1">
      <c r="A106" s="999"/>
      <c r="B106" s="201" t="s">
        <v>339</v>
      </c>
      <c r="C106" s="202" t="s">
        <v>340</v>
      </c>
      <c r="D106" s="202">
        <v>6.3</v>
      </c>
      <c r="E106" s="58"/>
      <c r="F106" s="58"/>
      <c r="G106" s="58"/>
      <c r="H106" s="58"/>
      <c r="I106" s="58"/>
      <c r="J106" s="58"/>
      <c r="K106" s="58"/>
      <c r="L106" s="58"/>
      <c r="M106" s="58"/>
      <c r="N106" s="58"/>
      <c r="O106" s="58"/>
    </row>
    <row r="107" spans="1:31" ht="15.75" customHeight="1">
      <c r="A107" s="988" t="s">
        <v>179</v>
      </c>
      <c r="B107" s="203" t="s">
        <v>337</v>
      </c>
      <c r="C107" s="204" t="s">
        <v>338</v>
      </c>
      <c r="D107" s="204">
        <v>7</v>
      </c>
      <c r="E107" s="58"/>
      <c r="F107" s="58"/>
      <c r="G107" s="58"/>
      <c r="H107" s="58"/>
      <c r="I107" s="58"/>
      <c r="J107" s="58"/>
      <c r="K107" s="58"/>
      <c r="L107" s="58"/>
      <c r="M107" s="58"/>
      <c r="N107" s="58"/>
      <c r="O107" s="58"/>
    </row>
    <row r="108" spans="1:31" ht="15.75" customHeight="1">
      <c r="A108" s="997"/>
      <c r="B108" s="201" t="s">
        <v>339</v>
      </c>
      <c r="C108" s="202" t="s">
        <v>340</v>
      </c>
      <c r="D108" s="202">
        <v>6.3</v>
      </c>
      <c r="E108" s="58"/>
      <c r="F108" s="58"/>
      <c r="G108" s="58"/>
      <c r="H108" s="58"/>
      <c r="I108" s="58"/>
      <c r="J108" s="58"/>
      <c r="K108" s="58"/>
      <c r="L108" s="58"/>
      <c r="M108" s="58"/>
      <c r="N108" s="58"/>
      <c r="O108" s="58"/>
    </row>
    <row r="109" spans="1:31" ht="15.75" customHeight="1">
      <c r="A109" s="986" t="s">
        <v>180</v>
      </c>
      <c r="B109" s="203" t="s">
        <v>337</v>
      </c>
      <c r="C109" s="204" t="s">
        <v>338</v>
      </c>
      <c r="D109" s="204">
        <v>7</v>
      </c>
      <c r="E109" s="58"/>
      <c r="F109" s="58"/>
      <c r="G109" s="58"/>
      <c r="H109" s="58"/>
      <c r="I109" s="58"/>
      <c r="J109" s="58"/>
      <c r="K109" s="58"/>
      <c r="L109" s="58"/>
      <c r="M109" s="58"/>
      <c r="N109" s="58"/>
      <c r="O109" s="58"/>
    </row>
    <row r="110" spans="1:31" ht="15.75" customHeight="1">
      <c r="A110" s="997"/>
      <c r="B110" s="201" t="s">
        <v>339</v>
      </c>
      <c r="C110" s="202" t="s">
        <v>340</v>
      </c>
      <c r="D110" s="202">
        <v>6.3</v>
      </c>
      <c r="E110" s="58"/>
      <c r="F110" s="58"/>
      <c r="G110" s="58"/>
      <c r="H110" s="58"/>
      <c r="I110" s="58"/>
      <c r="J110" s="58"/>
      <c r="K110" s="58"/>
      <c r="L110" s="58"/>
      <c r="M110" s="58"/>
      <c r="N110" s="58"/>
      <c r="O110" s="58"/>
    </row>
    <row r="111" spans="1:31" ht="15.75" customHeight="1">
      <c r="A111" s="986" t="s">
        <v>181</v>
      </c>
      <c r="B111" s="203" t="s">
        <v>337</v>
      </c>
      <c r="C111" s="204" t="s">
        <v>338</v>
      </c>
      <c r="D111" s="204">
        <v>7</v>
      </c>
      <c r="E111" s="58"/>
      <c r="F111" s="58"/>
      <c r="G111" s="58"/>
      <c r="H111" s="58"/>
      <c r="I111" s="58"/>
      <c r="J111" s="58"/>
      <c r="K111" s="58"/>
      <c r="L111" s="58"/>
      <c r="M111" s="58"/>
      <c r="N111" s="58"/>
      <c r="O111" s="58"/>
    </row>
    <row r="112" spans="1:31" ht="15.75" customHeight="1">
      <c r="A112" s="997"/>
      <c r="B112" s="201" t="s">
        <v>339</v>
      </c>
      <c r="C112" s="202" t="s">
        <v>340</v>
      </c>
      <c r="D112" s="202">
        <v>6.3</v>
      </c>
      <c r="E112" s="58"/>
      <c r="F112" s="58"/>
      <c r="G112" s="58"/>
      <c r="H112" s="58"/>
      <c r="I112" s="58"/>
      <c r="J112" s="58"/>
      <c r="K112" s="58"/>
      <c r="L112" s="58"/>
      <c r="M112" s="58"/>
      <c r="N112" s="58"/>
      <c r="O112" s="58"/>
    </row>
    <row r="113" spans="1:31" ht="15.75" customHeight="1">
      <c r="A113" s="986" t="s">
        <v>182</v>
      </c>
      <c r="B113" s="203" t="s">
        <v>337</v>
      </c>
      <c r="C113" s="204" t="s">
        <v>338</v>
      </c>
      <c r="D113" s="204">
        <v>7</v>
      </c>
      <c r="E113" s="58"/>
      <c r="F113" s="58"/>
      <c r="G113" s="58"/>
      <c r="H113" s="58"/>
      <c r="I113" s="58"/>
      <c r="J113" s="58"/>
      <c r="K113" s="58"/>
      <c r="L113" s="58"/>
      <c r="M113" s="58"/>
      <c r="N113" s="58"/>
      <c r="O113" s="58"/>
    </row>
    <row r="114" spans="1:31" ht="15.75" customHeight="1">
      <c r="A114" s="997"/>
      <c r="B114" s="201" t="s">
        <v>339</v>
      </c>
      <c r="C114" s="202" t="s">
        <v>340</v>
      </c>
      <c r="D114" s="202">
        <v>6.3</v>
      </c>
      <c r="E114" s="58"/>
      <c r="F114" s="58"/>
      <c r="G114" s="58"/>
      <c r="H114" s="58"/>
      <c r="I114" s="58"/>
      <c r="J114" s="58"/>
      <c r="K114" s="58"/>
      <c r="L114" s="58"/>
      <c r="M114" s="58"/>
      <c r="N114" s="58"/>
      <c r="O114" s="58"/>
    </row>
    <row r="115" spans="1:31" ht="15.75" customHeight="1">
      <c r="A115" s="986" t="s">
        <v>183</v>
      </c>
      <c r="B115" s="203" t="s">
        <v>337</v>
      </c>
      <c r="C115" s="204" t="s">
        <v>338</v>
      </c>
      <c r="D115" s="204">
        <v>7</v>
      </c>
      <c r="E115" s="58"/>
      <c r="F115" s="58"/>
      <c r="G115" s="58"/>
      <c r="H115" s="58"/>
      <c r="I115" s="58"/>
      <c r="J115" s="58"/>
      <c r="K115" s="58"/>
      <c r="L115" s="58"/>
      <c r="M115" s="58"/>
      <c r="N115" s="58"/>
      <c r="O115" s="58"/>
    </row>
    <row r="116" spans="1:31" ht="15.75" customHeight="1">
      <c r="A116" s="997"/>
      <c r="B116" s="201" t="s">
        <v>339</v>
      </c>
      <c r="C116" s="202" t="s">
        <v>340</v>
      </c>
      <c r="D116" s="202">
        <v>6.3</v>
      </c>
      <c r="E116" s="58"/>
      <c r="F116" s="58"/>
      <c r="G116" s="58"/>
      <c r="H116" s="58"/>
      <c r="I116" s="58"/>
      <c r="J116" s="58"/>
      <c r="K116" s="58"/>
      <c r="L116" s="58"/>
      <c r="M116" s="58"/>
      <c r="N116" s="58"/>
      <c r="O116" s="58"/>
    </row>
    <row r="117" spans="1:31" ht="15.75" customHeight="1">
      <c r="A117" s="986" t="s">
        <v>184</v>
      </c>
      <c r="B117" s="203" t="s">
        <v>337</v>
      </c>
      <c r="C117" s="204" t="s">
        <v>338</v>
      </c>
      <c r="D117" s="204">
        <v>7</v>
      </c>
      <c r="E117" s="58"/>
      <c r="F117" s="58"/>
      <c r="G117" s="58"/>
      <c r="H117" s="58"/>
      <c r="I117" s="58"/>
      <c r="J117" s="58"/>
      <c r="K117" s="58"/>
      <c r="L117" s="58"/>
      <c r="M117" s="58"/>
      <c r="N117" s="58"/>
      <c r="O117" s="58"/>
    </row>
    <row r="118" spans="1:31" ht="15.75" customHeight="1">
      <c r="A118" s="997"/>
      <c r="B118" s="201" t="s">
        <v>339</v>
      </c>
      <c r="C118" s="202" t="s">
        <v>340</v>
      </c>
      <c r="D118" s="202">
        <v>6.3</v>
      </c>
      <c r="E118" s="58"/>
      <c r="F118" s="58"/>
      <c r="G118" s="58"/>
      <c r="H118" s="58"/>
      <c r="I118" s="58"/>
      <c r="J118" s="58"/>
      <c r="K118" s="58"/>
      <c r="L118" s="58"/>
      <c r="M118" s="58"/>
      <c r="N118" s="58"/>
      <c r="O118" s="58"/>
    </row>
    <row r="119" spans="1:31" ht="15.75" customHeight="1">
      <c r="A119" s="986" t="s">
        <v>185</v>
      </c>
      <c r="B119" s="203" t="s">
        <v>337</v>
      </c>
      <c r="C119" s="204" t="s">
        <v>338</v>
      </c>
      <c r="D119" s="204">
        <v>7</v>
      </c>
      <c r="E119" s="58"/>
      <c r="F119" s="58"/>
      <c r="G119" s="58"/>
      <c r="H119" s="58"/>
      <c r="I119" s="58"/>
      <c r="J119" s="58"/>
      <c r="K119" s="58"/>
      <c r="L119" s="58"/>
      <c r="M119" s="58"/>
      <c r="N119" s="58"/>
      <c r="O119" s="58"/>
    </row>
    <row r="120" spans="1:31" ht="15.75" customHeight="1">
      <c r="A120" s="997"/>
      <c r="B120" s="201" t="s">
        <v>339</v>
      </c>
      <c r="C120" s="202" t="s">
        <v>340</v>
      </c>
      <c r="D120" s="202">
        <v>6.3</v>
      </c>
      <c r="E120" s="58"/>
      <c r="F120" s="58"/>
      <c r="G120" s="58"/>
      <c r="H120" s="58"/>
      <c r="I120" s="58"/>
      <c r="J120" s="58"/>
      <c r="K120" s="58"/>
      <c r="L120" s="58"/>
      <c r="M120" s="58"/>
      <c r="N120" s="58"/>
      <c r="O120" s="58"/>
    </row>
    <row r="121" spans="1:31" ht="15.75" customHeight="1">
      <c r="A121" s="986" t="s">
        <v>186</v>
      </c>
      <c r="B121" s="203" t="s">
        <v>337</v>
      </c>
      <c r="C121" s="204" t="s">
        <v>338</v>
      </c>
      <c r="D121" s="204">
        <v>7</v>
      </c>
      <c r="E121" s="58"/>
      <c r="F121" s="58"/>
      <c r="G121" s="58"/>
      <c r="H121" s="58"/>
      <c r="I121" s="58"/>
      <c r="J121" s="58"/>
      <c r="K121" s="58"/>
      <c r="L121" s="58"/>
      <c r="M121" s="58"/>
      <c r="N121" s="58"/>
      <c r="O121" s="58"/>
    </row>
    <row r="122" spans="1:31" ht="15.75" customHeight="1">
      <c r="A122" s="997"/>
      <c r="B122" s="201" t="s">
        <v>339</v>
      </c>
      <c r="C122" s="202" t="s">
        <v>340</v>
      </c>
      <c r="D122" s="202">
        <v>6.3</v>
      </c>
      <c r="E122" s="58"/>
      <c r="F122" s="58"/>
      <c r="G122" s="58"/>
      <c r="H122" s="58"/>
      <c r="I122" s="58"/>
      <c r="J122" s="58"/>
      <c r="K122" s="58"/>
      <c r="L122" s="58"/>
      <c r="M122" s="58"/>
      <c r="N122" s="58"/>
      <c r="O122" s="58"/>
    </row>
    <row r="123" spans="1:31" ht="15.75" customHeight="1">
      <c r="A123" s="1013" t="s">
        <v>187</v>
      </c>
      <c r="B123" s="203" t="s">
        <v>341</v>
      </c>
      <c r="C123" s="204" t="s">
        <v>342</v>
      </c>
      <c r="D123" s="204">
        <v>4</v>
      </c>
      <c r="E123" s="58"/>
      <c r="F123" s="58"/>
      <c r="G123" s="58"/>
      <c r="H123" s="58"/>
      <c r="I123" s="58"/>
      <c r="J123" s="58"/>
      <c r="K123" s="58"/>
      <c r="L123" s="58"/>
      <c r="M123" s="58"/>
      <c r="N123" s="58"/>
      <c r="O123" s="58"/>
    </row>
    <row r="124" spans="1:31" ht="15.75" customHeight="1">
      <c r="A124" s="1014"/>
      <c r="B124" s="205" t="s">
        <v>343</v>
      </c>
      <c r="C124" s="202" t="s">
        <v>344</v>
      </c>
      <c r="D124" s="202">
        <v>3</v>
      </c>
      <c r="E124" s="58"/>
      <c r="F124" s="58"/>
      <c r="G124" s="58"/>
      <c r="H124" s="58"/>
      <c r="I124" s="58"/>
      <c r="J124" s="58"/>
      <c r="K124" s="58"/>
      <c r="L124" s="58"/>
      <c r="M124" s="58"/>
      <c r="N124" s="58"/>
      <c r="O124" s="58"/>
    </row>
    <row r="125" spans="1:31" ht="15.75" customHeight="1">
      <c r="A125" s="1015" t="s">
        <v>188</v>
      </c>
      <c r="B125" s="203" t="s">
        <v>341</v>
      </c>
      <c r="C125" s="204" t="s">
        <v>345</v>
      </c>
      <c r="D125" s="204">
        <v>4</v>
      </c>
      <c r="E125" s="58"/>
      <c r="F125" s="58"/>
      <c r="G125" s="58"/>
      <c r="H125" s="58"/>
      <c r="I125" s="58"/>
      <c r="J125" s="58"/>
      <c r="K125" s="58"/>
      <c r="L125" s="58"/>
      <c r="M125" s="58"/>
      <c r="N125" s="58"/>
      <c r="O125" s="58"/>
    </row>
    <row r="126" spans="1:31" ht="15.75" customHeight="1">
      <c r="A126" s="1014"/>
      <c r="B126" s="205" t="s">
        <v>343</v>
      </c>
      <c r="C126" s="202" t="s">
        <v>346</v>
      </c>
      <c r="D126" s="202">
        <v>3</v>
      </c>
      <c r="E126" s="58"/>
      <c r="F126" s="58"/>
      <c r="G126" s="58"/>
      <c r="H126" s="58"/>
      <c r="I126" s="58"/>
      <c r="J126" s="58"/>
      <c r="K126" s="58"/>
      <c r="L126" s="58"/>
      <c r="M126" s="58"/>
      <c r="N126" s="58"/>
      <c r="O126" s="58"/>
    </row>
    <row r="127" spans="1:31" ht="15.75" customHeight="1">
      <c r="A127" s="1015" t="s">
        <v>189</v>
      </c>
      <c r="B127" s="203" t="s">
        <v>341</v>
      </c>
      <c r="C127" s="204" t="s">
        <v>347</v>
      </c>
      <c r="D127" s="204">
        <v>4</v>
      </c>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row>
    <row r="128" spans="1:31" ht="15.75" customHeight="1">
      <c r="A128" s="1014"/>
      <c r="B128" s="205" t="s">
        <v>343</v>
      </c>
      <c r="C128" s="202" t="s">
        <v>348</v>
      </c>
      <c r="D128" s="202">
        <v>3</v>
      </c>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row>
    <row r="129" spans="1:31" ht="15.75" customHeight="1">
      <c r="A129" s="1015" t="s">
        <v>322</v>
      </c>
      <c r="B129" s="203" t="s">
        <v>337</v>
      </c>
      <c r="C129" s="204" t="s">
        <v>338</v>
      </c>
      <c r="D129" s="204">
        <v>7</v>
      </c>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row>
    <row r="130" spans="1:31" ht="15.75" customHeight="1">
      <c r="A130" s="999"/>
      <c r="B130" s="201" t="s">
        <v>339</v>
      </c>
      <c r="C130" s="202" t="s">
        <v>340</v>
      </c>
      <c r="D130" s="202">
        <v>6.3</v>
      </c>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row>
    <row r="131" spans="1:31" ht="18.75" customHeight="1">
      <c r="A131" s="157" t="s">
        <v>323</v>
      </c>
      <c r="B131" s="206" t="s">
        <v>349</v>
      </c>
      <c r="C131" s="207" t="s">
        <v>350</v>
      </c>
      <c r="D131" s="207">
        <v>6.5</v>
      </c>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row>
    <row r="132" spans="1:31" ht="18" customHeight="1">
      <c r="A132" s="1016" t="s">
        <v>192</v>
      </c>
      <c r="B132" s="208" t="s">
        <v>337</v>
      </c>
      <c r="C132" s="209" t="s">
        <v>338</v>
      </c>
      <c r="D132" s="209">
        <v>7</v>
      </c>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row>
    <row r="133" spans="1:31" ht="22.5" customHeight="1">
      <c r="A133" s="1017"/>
      <c r="B133" s="210" t="s">
        <v>339</v>
      </c>
      <c r="C133" s="211" t="s">
        <v>340</v>
      </c>
      <c r="D133" s="211">
        <v>6.3</v>
      </c>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row>
    <row r="134" spans="1:31" ht="30" customHeight="1">
      <c r="A134" s="1000" t="s">
        <v>351</v>
      </c>
      <c r="B134" s="977"/>
      <c r="C134" s="977"/>
      <c r="D134" s="97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row>
    <row r="135" spans="1:31" ht="15.75" customHeight="1">
      <c r="A135" s="1001" t="s">
        <v>352</v>
      </c>
      <c r="B135" s="1002"/>
      <c r="C135" s="1002"/>
      <c r="D135" s="1003"/>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row>
    <row r="136" spans="1:31" ht="29.25" customHeight="1">
      <c r="A136" s="1004"/>
      <c r="B136" s="1005"/>
      <c r="C136" s="1005"/>
      <c r="D136" s="1006"/>
      <c r="E136" s="58"/>
      <c r="F136" s="58"/>
      <c r="G136" s="58"/>
      <c r="H136" s="58"/>
      <c r="I136" s="58"/>
      <c r="J136" s="58"/>
      <c r="K136" s="58"/>
      <c r="L136" s="58"/>
      <c r="M136" s="58"/>
      <c r="N136" s="58"/>
      <c r="O136" s="58"/>
      <c r="P136" s="58"/>
      <c r="Q136" s="58"/>
      <c r="R136" s="58"/>
      <c r="S136" s="58"/>
      <c r="T136" s="58"/>
    </row>
    <row r="137" spans="1:31" ht="45" customHeight="1">
      <c r="A137" s="1009" t="s">
        <v>353</v>
      </c>
      <c r="B137" s="946"/>
      <c r="C137" s="946"/>
      <c r="D137" s="1008"/>
      <c r="E137" s="58"/>
      <c r="F137" s="58"/>
      <c r="G137" s="58"/>
      <c r="H137" s="58"/>
      <c r="I137" s="58"/>
      <c r="J137" s="58"/>
      <c r="K137" s="58"/>
      <c r="L137" s="58"/>
      <c r="M137" s="58"/>
      <c r="N137" s="58"/>
      <c r="O137" s="58"/>
      <c r="P137" s="58"/>
      <c r="Q137" s="58"/>
      <c r="R137" s="58"/>
      <c r="S137" s="58"/>
      <c r="T137" s="58"/>
    </row>
    <row r="138" spans="1:31" ht="15.75" customHeight="1">
      <c r="A138" s="212"/>
      <c r="B138" s="212"/>
      <c r="C138" s="212"/>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row>
    <row r="139" spans="1:31" ht="15.75" customHeight="1">
      <c r="A139" s="212"/>
      <c r="B139" s="212"/>
      <c r="C139" s="212"/>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row>
    <row r="140" spans="1:31" ht="15.75" customHeight="1">
      <c r="A140" s="1010" t="s">
        <v>240</v>
      </c>
      <c r="B140" s="1011"/>
      <c r="C140" s="1011"/>
      <c r="D140" s="1011"/>
      <c r="E140" s="1011"/>
      <c r="F140" s="1011"/>
      <c r="G140" s="1011"/>
      <c r="H140" s="1011"/>
      <c r="I140" s="1011"/>
      <c r="J140" s="1011"/>
      <c r="K140" s="1011"/>
      <c r="L140" s="1011"/>
      <c r="M140" s="1011"/>
      <c r="N140" s="1011"/>
      <c r="O140" s="1011"/>
      <c r="P140" s="1011"/>
      <c r="Q140" s="1011"/>
      <c r="R140" s="1011"/>
      <c r="S140" s="1011"/>
      <c r="T140" s="1011"/>
      <c r="U140" s="1012"/>
      <c r="V140" s="213"/>
      <c r="W140" s="213"/>
      <c r="X140" s="213"/>
      <c r="Y140" s="213"/>
      <c r="Z140" s="213"/>
      <c r="AA140" s="194"/>
      <c r="AB140" s="194"/>
      <c r="AC140" s="194"/>
      <c r="AD140" s="194"/>
      <c r="AE140" s="194"/>
    </row>
    <row r="141" spans="1:31" s="520" customFormat="1" ht="15.75" customHeight="1">
      <c r="A141" s="517" t="s">
        <v>354</v>
      </c>
      <c r="B141" s="518"/>
      <c r="C141" s="518"/>
      <c r="D141" s="518"/>
      <c r="E141" s="518"/>
      <c r="F141" s="518"/>
      <c r="G141" s="518"/>
      <c r="H141" s="518"/>
      <c r="I141" s="518"/>
      <c r="J141" s="518"/>
      <c r="K141" s="518"/>
      <c r="L141" s="518"/>
      <c r="M141" s="518"/>
      <c r="N141" s="518"/>
      <c r="O141" s="518"/>
      <c r="P141" s="518"/>
      <c r="Q141" s="518"/>
      <c r="R141" s="518"/>
      <c r="S141" s="518"/>
      <c r="T141" s="518"/>
      <c r="U141" s="518"/>
      <c r="V141" s="518"/>
      <c r="W141" s="518"/>
      <c r="X141" s="518"/>
      <c r="Y141" s="518"/>
      <c r="Z141" s="518"/>
      <c r="AA141" s="519"/>
      <c r="AB141" s="519"/>
      <c r="AC141" s="519"/>
      <c r="AD141" s="519"/>
      <c r="AE141" s="519"/>
    </row>
    <row r="142" spans="1:31" ht="15.75" customHeight="1">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c r="Z142" s="195"/>
      <c r="AA142" s="58"/>
      <c r="AB142" s="58"/>
      <c r="AC142" s="58"/>
      <c r="AD142" s="58"/>
      <c r="AE142" s="58"/>
    </row>
    <row r="143" spans="1:31" ht="15.75" customHeight="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row>
    <row r="144" spans="1:31" ht="51.75" customHeight="1">
      <c r="A144" s="991" t="s">
        <v>355</v>
      </c>
      <c r="B144" s="992"/>
      <c r="C144" s="992"/>
      <c r="D144" s="992"/>
      <c r="E144" s="993"/>
      <c r="F144" s="203"/>
      <c r="G144" s="203"/>
      <c r="H144" s="203"/>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row>
    <row r="145" spans="1:31" ht="13.5" customHeight="1">
      <c r="A145" s="1020" t="s">
        <v>312</v>
      </c>
      <c r="B145" s="1020" t="s">
        <v>356</v>
      </c>
      <c r="C145" s="1022" t="s">
        <v>357</v>
      </c>
      <c r="D145" s="924"/>
      <c r="E145" s="1023"/>
      <c r="F145" s="214"/>
      <c r="G145" s="203"/>
      <c r="H145" s="203"/>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row>
    <row r="146" spans="1:31" ht="15.75" customHeight="1">
      <c r="A146" s="1021"/>
      <c r="B146" s="1021"/>
      <c r="C146" s="215" t="s">
        <v>358</v>
      </c>
      <c r="D146" s="215" t="s">
        <v>359</v>
      </c>
      <c r="E146" s="215" t="s">
        <v>360</v>
      </c>
      <c r="F146" s="203"/>
      <c r="G146" s="203"/>
      <c r="H146" s="203"/>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row>
    <row r="147" spans="1:31" ht="15.75" customHeight="1">
      <c r="A147" s="1019" t="s">
        <v>177</v>
      </c>
      <c r="B147" s="208" t="s">
        <v>361</v>
      </c>
      <c r="C147" s="204">
        <v>0.18</v>
      </c>
      <c r="D147" s="204">
        <v>0.02</v>
      </c>
      <c r="E147" s="204">
        <v>0.08</v>
      </c>
      <c r="F147" s="203"/>
      <c r="G147" s="203"/>
      <c r="H147" s="203"/>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row>
    <row r="148" spans="1:31" ht="15.75" customHeight="1">
      <c r="A148" s="1018"/>
      <c r="B148" s="206" t="s">
        <v>362</v>
      </c>
      <c r="C148" s="207">
        <v>0.13</v>
      </c>
      <c r="D148" s="207">
        <v>0.02</v>
      </c>
      <c r="E148" s="207">
        <v>0.08</v>
      </c>
      <c r="F148" s="203"/>
      <c r="G148" s="203"/>
      <c r="H148" s="203"/>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row>
    <row r="149" spans="1:31" ht="15.75" customHeight="1">
      <c r="A149" s="1024" t="s">
        <v>179</v>
      </c>
      <c r="B149" s="203" t="s">
        <v>361</v>
      </c>
      <c r="C149" s="204">
        <v>0.18</v>
      </c>
      <c r="D149" s="204">
        <v>0.02</v>
      </c>
      <c r="E149" s="204">
        <v>0.08</v>
      </c>
      <c r="F149" s="203"/>
      <c r="G149" s="203"/>
      <c r="H149" s="203"/>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row>
    <row r="150" spans="1:31" ht="15.75" customHeight="1">
      <c r="A150" s="997"/>
      <c r="B150" s="206" t="s">
        <v>362</v>
      </c>
      <c r="C150" s="207">
        <v>0.13</v>
      </c>
      <c r="D150" s="207">
        <v>0.02</v>
      </c>
      <c r="E150" s="207">
        <v>0.08</v>
      </c>
      <c r="F150" s="203"/>
      <c r="G150" s="203"/>
      <c r="H150" s="203"/>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row>
    <row r="151" spans="1:31" ht="15.75" customHeight="1">
      <c r="A151" s="986" t="s">
        <v>180</v>
      </c>
      <c r="B151" s="203" t="s">
        <v>361</v>
      </c>
      <c r="C151" s="204">
        <v>0.18</v>
      </c>
      <c r="D151" s="204">
        <v>0.02</v>
      </c>
      <c r="E151" s="204">
        <v>0.08</v>
      </c>
      <c r="F151" s="203"/>
      <c r="G151" s="203"/>
      <c r="H151" s="203"/>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row>
    <row r="152" spans="1:31" ht="15.75" customHeight="1">
      <c r="A152" s="997"/>
      <c r="B152" s="206" t="s">
        <v>362</v>
      </c>
      <c r="C152" s="207">
        <v>0.13</v>
      </c>
      <c r="D152" s="207">
        <v>0.02</v>
      </c>
      <c r="E152" s="207">
        <v>0.08</v>
      </c>
      <c r="F152" s="203"/>
      <c r="G152" s="203"/>
      <c r="H152" s="203"/>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row>
    <row r="153" spans="1:31" ht="15.75" customHeight="1">
      <c r="A153" s="988" t="s">
        <v>181</v>
      </c>
      <c r="B153" s="203" t="s">
        <v>361</v>
      </c>
      <c r="C153" s="204">
        <v>0.18</v>
      </c>
      <c r="D153" s="204">
        <v>0.02</v>
      </c>
      <c r="E153" s="204">
        <v>0.08</v>
      </c>
      <c r="F153" s="203"/>
      <c r="G153" s="203"/>
      <c r="H153" s="203"/>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row>
    <row r="154" spans="1:31" ht="15.75" customHeight="1">
      <c r="A154" s="997"/>
      <c r="B154" s="206" t="s">
        <v>362</v>
      </c>
      <c r="C154" s="207">
        <v>0.13</v>
      </c>
      <c r="D154" s="207">
        <v>0.02</v>
      </c>
      <c r="E154" s="207">
        <v>0.08</v>
      </c>
      <c r="F154" s="203"/>
      <c r="G154" s="203"/>
      <c r="H154" s="203"/>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row>
    <row r="155" spans="1:31" ht="15.75" customHeight="1">
      <c r="A155" s="988" t="s">
        <v>182</v>
      </c>
      <c r="B155" s="203" t="s">
        <v>361</v>
      </c>
      <c r="C155" s="204">
        <v>0.18</v>
      </c>
      <c r="D155" s="204">
        <v>0.02</v>
      </c>
      <c r="E155" s="204">
        <v>0.08</v>
      </c>
      <c r="F155" s="203"/>
      <c r="G155" s="203"/>
      <c r="H155" s="203"/>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row>
    <row r="156" spans="1:31" ht="15.75" customHeight="1">
      <c r="A156" s="997"/>
      <c r="B156" s="206" t="s">
        <v>362</v>
      </c>
      <c r="C156" s="207">
        <v>0.13</v>
      </c>
      <c r="D156" s="207">
        <v>0.02</v>
      </c>
      <c r="E156" s="207">
        <v>0.08</v>
      </c>
      <c r="F156" s="203"/>
      <c r="G156" s="203"/>
      <c r="H156" s="203"/>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row>
    <row r="157" spans="1:31" ht="15.75" customHeight="1">
      <c r="A157" s="988" t="s">
        <v>183</v>
      </c>
      <c r="B157" s="203" t="s">
        <v>361</v>
      </c>
      <c r="C157" s="204">
        <v>0.18</v>
      </c>
      <c r="D157" s="204">
        <v>0.02</v>
      </c>
      <c r="E157" s="204">
        <v>0.08</v>
      </c>
      <c r="F157" s="203"/>
      <c r="G157" s="203"/>
      <c r="H157" s="203"/>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row>
    <row r="158" spans="1:31" ht="15.75" customHeight="1">
      <c r="A158" s="997"/>
      <c r="B158" s="206" t="s">
        <v>362</v>
      </c>
      <c r="C158" s="207">
        <v>0.13</v>
      </c>
      <c r="D158" s="207">
        <v>0.02</v>
      </c>
      <c r="E158" s="207">
        <v>0.08</v>
      </c>
      <c r="F158" s="203"/>
      <c r="G158" s="203"/>
      <c r="H158" s="203"/>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row>
    <row r="159" spans="1:31" ht="15.75" customHeight="1">
      <c r="A159" s="988" t="s">
        <v>184</v>
      </c>
      <c r="B159" s="203" t="s">
        <v>361</v>
      </c>
      <c r="C159" s="204">
        <v>0.18</v>
      </c>
      <c r="D159" s="204">
        <v>0.02</v>
      </c>
      <c r="E159" s="204">
        <v>0.08</v>
      </c>
      <c r="F159" s="203"/>
      <c r="G159" s="203"/>
      <c r="H159" s="203"/>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row>
    <row r="160" spans="1:31" ht="15.75" customHeight="1">
      <c r="A160" s="997"/>
      <c r="B160" s="206" t="s">
        <v>362</v>
      </c>
      <c r="C160" s="207">
        <v>0.13</v>
      </c>
      <c r="D160" s="207">
        <v>0.02</v>
      </c>
      <c r="E160" s="207">
        <v>0.08</v>
      </c>
      <c r="F160" s="203"/>
      <c r="G160" s="203"/>
      <c r="H160" s="203"/>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row>
    <row r="161" spans="1:31" ht="15.75" customHeight="1">
      <c r="A161" s="988" t="s">
        <v>185</v>
      </c>
      <c r="B161" s="203" t="s">
        <v>361</v>
      </c>
      <c r="C161" s="204">
        <v>0.18</v>
      </c>
      <c r="D161" s="204">
        <v>0.02</v>
      </c>
      <c r="E161" s="204">
        <v>0.08</v>
      </c>
      <c r="F161" s="203"/>
      <c r="G161" s="203"/>
      <c r="H161" s="203"/>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row>
    <row r="162" spans="1:31" ht="15.75" customHeight="1">
      <c r="A162" s="997"/>
      <c r="B162" s="206" t="s">
        <v>362</v>
      </c>
      <c r="C162" s="207">
        <v>0.13</v>
      </c>
      <c r="D162" s="207">
        <v>0.02</v>
      </c>
      <c r="E162" s="207">
        <v>0.08</v>
      </c>
      <c r="F162" s="203"/>
      <c r="G162" s="203"/>
      <c r="H162" s="203"/>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row>
    <row r="163" spans="1:31" ht="15.75" customHeight="1">
      <c r="A163" s="1019" t="s">
        <v>186</v>
      </c>
      <c r="B163" s="203" t="s">
        <v>361</v>
      </c>
      <c r="C163" s="204">
        <v>0.18</v>
      </c>
      <c r="D163" s="204">
        <v>0.02</v>
      </c>
      <c r="E163" s="204">
        <v>0.08</v>
      </c>
      <c r="F163" s="203"/>
      <c r="G163" s="203"/>
      <c r="H163" s="203"/>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row>
    <row r="164" spans="1:31" ht="15.75" customHeight="1">
      <c r="A164" s="1018"/>
      <c r="B164" s="206" t="s">
        <v>362</v>
      </c>
      <c r="C164" s="207">
        <v>0.13</v>
      </c>
      <c r="D164" s="207">
        <v>0.02</v>
      </c>
      <c r="E164" s="207">
        <v>0.08</v>
      </c>
      <c r="F164" s="203"/>
      <c r="G164" s="203"/>
      <c r="H164" s="203"/>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row>
    <row r="165" spans="1:31" ht="15.75" customHeight="1">
      <c r="A165" s="216" t="s">
        <v>187</v>
      </c>
      <c r="B165" s="217" t="s">
        <v>361</v>
      </c>
      <c r="C165" s="207">
        <v>0.18</v>
      </c>
      <c r="D165" s="218">
        <v>0.02</v>
      </c>
      <c r="E165" s="218">
        <v>0.08</v>
      </c>
      <c r="F165" s="203"/>
      <c r="G165" s="203"/>
      <c r="H165" s="203"/>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row>
    <row r="166" spans="1:31" ht="15.75" customHeight="1">
      <c r="A166" s="219" t="s">
        <v>188</v>
      </c>
      <c r="B166" s="217" t="s">
        <v>361</v>
      </c>
      <c r="C166" s="218">
        <v>0.18</v>
      </c>
      <c r="D166" s="218">
        <v>0.02</v>
      </c>
      <c r="E166" s="218">
        <v>0.08</v>
      </c>
      <c r="F166" s="203"/>
      <c r="G166" s="203"/>
      <c r="H166" s="203"/>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row>
    <row r="167" spans="1:31" ht="15.75" customHeight="1">
      <c r="A167" s="216" t="s">
        <v>189</v>
      </c>
      <c r="B167" s="217" t="s">
        <v>361</v>
      </c>
      <c r="C167" s="218">
        <v>0.18</v>
      </c>
      <c r="D167" s="218">
        <v>0.02</v>
      </c>
      <c r="E167" s="204">
        <v>0.08</v>
      </c>
      <c r="F167" s="203"/>
      <c r="G167" s="203"/>
      <c r="H167" s="203"/>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row>
    <row r="168" spans="1:31" ht="15.75" customHeight="1">
      <c r="A168" s="1019" t="s">
        <v>363</v>
      </c>
      <c r="B168" s="203" t="s">
        <v>361</v>
      </c>
      <c r="C168" s="204">
        <v>0.18</v>
      </c>
      <c r="D168" s="204">
        <v>0.02</v>
      </c>
      <c r="E168" s="209">
        <v>0.08</v>
      </c>
      <c r="F168" s="203"/>
      <c r="G168" s="203"/>
      <c r="H168" s="203"/>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row>
    <row r="169" spans="1:31" ht="15.75" customHeight="1">
      <c r="A169" s="999"/>
      <c r="B169" s="205" t="s">
        <v>362</v>
      </c>
      <c r="C169" s="202">
        <v>0.13</v>
      </c>
      <c r="D169" s="202">
        <v>0.02</v>
      </c>
      <c r="E169" s="202">
        <v>0.08</v>
      </c>
      <c r="F169" s="203"/>
      <c r="G169" s="203"/>
      <c r="H169" s="203"/>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row>
    <row r="170" spans="1:31" ht="15.75" customHeight="1">
      <c r="A170" s="220" t="s">
        <v>323</v>
      </c>
      <c r="B170" s="206" t="s">
        <v>364</v>
      </c>
      <c r="C170" s="207">
        <v>0.13</v>
      </c>
      <c r="D170" s="207">
        <v>0.02</v>
      </c>
      <c r="E170" s="207">
        <v>0.08</v>
      </c>
      <c r="F170" s="203"/>
      <c r="G170" s="203"/>
      <c r="H170" s="203"/>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row>
    <row r="171" spans="1:31" ht="15.75" customHeight="1">
      <c r="A171" s="1019" t="s">
        <v>192</v>
      </c>
      <c r="B171" s="203" t="s">
        <v>361</v>
      </c>
      <c r="C171" s="204">
        <v>0.18</v>
      </c>
      <c r="D171" s="204">
        <v>0.02</v>
      </c>
      <c r="E171" s="204">
        <v>0.08</v>
      </c>
      <c r="F171" s="203"/>
      <c r="G171" s="203"/>
      <c r="H171" s="203"/>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row>
    <row r="172" spans="1:31" ht="15.75" customHeight="1">
      <c r="A172" s="1021"/>
      <c r="B172" s="221" t="s">
        <v>362</v>
      </c>
      <c r="C172" s="222">
        <v>0.13</v>
      </c>
      <c r="D172" s="222">
        <v>0.02</v>
      </c>
      <c r="E172" s="222">
        <v>0.08</v>
      </c>
      <c r="F172" s="203"/>
      <c r="G172" s="203"/>
      <c r="H172" s="203"/>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row>
    <row r="173" spans="1:31" ht="15.75" customHeight="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row>
    <row r="174" spans="1:31" ht="15.75" customHeight="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row>
    <row r="175" spans="1:31" ht="36.75" customHeight="1">
      <c r="A175" s="991" t="s">
        <v>365</v>
      </c>
      <c r="B175" s="992"/>
      <c r="C175" s="992"/>
      <c r="D175" s="992"/>
      <c r="E175" s="992"/>
      <c r="F175" s="993"/>
      <c r="G175" s="223"/>
      <c r="H175" s="223"/>
      <c r="I175" s="223"/>
      <c r="J175" s="223"/>
      <c r="K175" s="223"/>
      <c r="L175" s="223"/>
      <c r="M175" s="223"/>
      <c r="N175" s="223"/>
      <c r="O175" s="223"/>
      <c r="P175" s="223"/>
      <c r="Q175" s="223"/>
      <c r="R175" s="223"/>
      <c r="S175" s="223"/>
      <c r="T175" s="223"/>
      <c r="U175" s="223"/>
      <c r="V175" s="58"/>
      <c r="W175" s="58"/>
      <c r="X175" s="58"/>
      <c r="Y175" s="58"/>
      <c r="Z175" s="58"/>
      <c r="AA175" s="58"/>
      <c r="AB175" s="58"/>
      <c r="AC175" s="58"/>
      <c r="AD175" s="58"/>
      <c r="AE175" s="58"/>
    </row>
    <row r="176" spans="1:31" ht="15.75" customHeight="1">
      <c r="A176" s="1029" t="s">
        <v>366</v>
      </c>
      <c r="B176" s="1003"/>
      <c r="C176" s="1007" t="s">
        <v>367</v>
      </c>
      <c r="D176" s="946"/>
      <c r="E176" s="946"/>
      <c r="F176" s="100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row>
    <row r="177" spans="1:31" ht="15.75" customHeight="1">
      <c r="A177" s="1030"/>
      <c r="B177" s="1031"/>
      <c r="C177" s="1052" t="s">
        <v>368</v>
      </c>
      <c r="D177" s="924"/>
      <c r="E177" s="924"/>
      <c r="F177" s="1023"/>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row>
    <row r="178" spans="1:31" ht="15.75" customHeight="1">
      <c r="A178" s="1032"/>
      <c r="B178" s="1033"/>
      <c r="C178" s="215" t="s">
        <v>369</v>
      </c>
      <c r="D178" s="215" t="s">
        <v>370</v>
      </c>
      <c r="E178" s="215" t="s">
        <v>371</v>
      </c>
      <c r="F178" s="215" t="s">
        <v>372</v>
      </c>
      <c r="G178" s="224" t="s">
        <v>373</v>
      </c>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row>
    <row r="179" spans="1:31" ht="15.75" customHeight="1">
      <c r="A179" s="1034" t="s">
        <v>374</v>
      </c>
      <c r="B179" s="1035"/>
      <c r="C179" s="523">
        <v>76</v>
      </c>
      <c r="D179" s="523">
        <v>80</v>
      </c>
      <c r="E179" s="523">
        <v>80</v>
      </c>
      <c r="F179" s="523">
        <v>80</v>
      </c>
      <c r="G179" s="502">
        <v>79</v>
      </c>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row>
    <row r="180" spans="1:31" ht="18" customHeight="1">
      <c r="A180" s="1019" t="s">
        <v>375</v>
      </c>
      <c r="B180" s="58" t="s">
        <v>376</v>
      </c>
      <c r="C180" s="203">
        <v>25</v>
      </c>
      <c r="D180" s="203">
        <v>38</v>
      </c>
      <c r="E180" s="203">
        <v>36</v>
      </c>
      <c r="F180" s="203">
        <v>42</v>
      </c>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row>
    <row r="181" spans="1:31" ht="15.75" customHeight="1">
      <c r="A181" s="889"/>
      <c r="B181" s="58" t="s">
        <v>377</v>
      </c>
      <c r="C181" s="203">
        <v>43</v>
      </c>
      <c r="D181" s="203">
        <v>61</v>
      </c>
      <c r="E181" s="203">
        <v>57</v>
      </c>
      <c r="F181" s="203">
        <v>62</v>
      </c>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row>
    <row r="182" spans="1:31" ht="15.75" customHeight="1">
      <c r="A182" s="889"/>
      <c r="B182" s="58" t="s">
        <v>378</v>
      </c>
      <c r="C182" s="203">
        <v>50</v>
      </c>
      <c r="D182" s="203">
        <v>67</v>
      </c>
      <c r="E182" s="203">
        <v>64</v>
      </c>
      <c r="F182" s="203">
        <v>68</v>
      </c>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row>
    <row r="183" spans="1:31" ht="15.75" customHeight="1">
      <c r="A183" s="889"/>
      <c r="B183" s="58" t="s">
        <v>379</v>
      </c>
      <c r="C183" s="203">
        <v>59</v>
      </c>
      <c r="D183" s="203">
        <v>76</v>
      </c>
      <c r="E183" s="203">
        <v>73</v>
      </c>
      <c r="F183" s="203">
        <v>74</v>
      </c>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row>
    <row r="184" spans="1:31" ht="14.25" customHeight="1">
      <c r="A184" s="1018"/>
      <c r="B184" s="225" t="s">
        <v>380</v>
      </c>
      <c r="C184" s="206">
        <v>73</v>
      </c>
      <c r="D184" s="206">
        <v>80</v>
      </c>
      <c r="E184" s="206">
        <v>80</v>
      </c>
      <c r="F184" s="206">
        <v>80</v>
      </c>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row>
    <row r="185" spans="1:31" ht="21" customHeight="1">
      <c r="A185" s="1036" t="s">
        <v>381</v>
      </c>
      <c r="B185" s="521" t="s">
        <v>382</v>
      </c>
      <c r="C185" s="522">
        <v>59</v>
      </c>
      <c r="D185" s="522">
        <v>76</v>
      </c>
      <c r="E185" s="522">
        <v>73</v>
      </c>
      <c r="F185" s="522">
        <v>74</v>
      </c>
      <c r="G185" s="501">
        <v>70.5</v>
      </c>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row>
    <row r="186" spans="1:31" ht="15.75" customHeight="1">
      <c r="A186" s="1037"/>
      <c r="B186" s="225" t="s">
        <v>383</v>
      </c>
      <c r="C186" s="1053">
        <v>18</v>
      </c>
      <c r="D186" s="1054"/>
      <c r="E186" s="1054"/>
      <c r="F186" s="1055"/>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row>
    <row r="187" spans="1:31" ht="15.75" customHeight="1">
      <c r="A187" s="1038" t="s">
        <v>384</v>
      </c>
      <c r="B187" s="1039"/>
      <c r="C187" s="1056">
        <v>5</v>
      </c>
      <c r="D187" s="1057"/>
      <c r="E187" s="1057"/>
      <c r="F187" s="1039"/>
      <c r="G187" s="501">
        <v>5</v>
      </c>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row>
    <row r="188" spans="1:31" ht="15.75" customHeight="1">
      <c r="A188" s="1058" t="s">
        <v>385</v>
      </c>
      <c r="B188" s="1027"/>
      <c r="C188" s="1025">
        <v>5</v>
      </c>
      <c r="D188" s="1026"/>
      <c r="E188" s="1026"/>
      <c r="F188" s="1027"/>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row>
    <row r="189" spans="1:31" ht="15.75" customHeight="1">
      <c r="A189" s="1058" t="s">
        <v>386</v>
      </c>
      <c r="B189" s="1027"/>
      <c r="C189" s="1025">
        <v>1.5</v>
      </c>
      <c r="D189" s="1026"/>
      <c r="E189" s="1026"/>
      <c r="F189" s="1027"/>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row>
    <row r="190" spans="1:31" ht="15.75" customHeight="1">
      <c r="A190" s="1059" t="s">
        <v>387</v>
      </c>
      <c r="B190" s="1027"/>
      <c r="C190" s="1025">
        <v>2.5</v>
      </c>
      <c r="D190" s="1026"/>
      <c r="E190" s="1026"/>
      <c r="F190" s="1027"/>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row>
    <row r="191" spans="1:31" ht="15.75" customHeight="1">
      <c r="A191" s="1038" t="s">
        <v>388</v>
      </c>
      <c r="B191" s="1039"/>
      <c r="C191" s="1056">
        <v>2</v>
      </c>
      <c r="D191" s="1057"/>
      <c r="E191" s="1057"/>
      <c r="F191" s="1039"/>
      <c r="G191" s="501">
        <v>2</v>
      </c>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row>
    <row r="192" spans="1:31" ht="15.75" customHeight="1">
      <c r="A192" s="1038" t="s">
        <v>389</v>
      </c>
      <c r="B192" s="1039"/>
      <c r="C192" s="1056">
        <v>1</v>
      </c>
      <c r="D192" s="1057"/>
      <c r="E192" s="1057"/>
      <c r="F192" s="1039"/>
      <c r="G192" s="501">
        <v>1</v>
      </c>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row>
    <row r="193" spans="1:31" ht="15.75" customHeight="1">
      <c r="A193" s="1059" t="s">
        <v>390</v>
      </c>
      <c r="B193" s="1027"/>
      <c r="C193" s="1025">
        <v>0.5</v>
      </c>
      <c r="D193" s="1026"/>
      <c r="E193" s="1026"/>
      <c r="F193" s="1027"/>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row>
    <row r="194" spans="1:31" ht="20.25" customHeight="1">
      <c r="A194" s="1060" t="s">
        <v>391</v>
      </c>
      <c r="B194" s="1039"/>
      <c r="C194" s="1056">
        <v>2.5</v>
      </c>
      <c r="D194" s="1057"/>
      <c r="E194" s="1057"/>
      <c r="F194" s="1039"/>
      <c r="G194" s="501">
        <v>2.5</v>
      </c>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row>
    <row r="195" spans="1:31" ht="15.75" customHeight="1">
      <c r="A195" s="1058" t="s">
        <v>392</v>
      </c>
      <c r="B195" s="1027"/>
      <c r="C195" s="1025">
        <v>1.5</v>
      </c>
      <c r="D195" s="1026"/>
      <c r="E195" s="1026"/>
      <c r="F195" s="1027"/>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row>
    <row r="196" spans="1:31" ht="21" customHeight="1">
      <c r="A196" s="1058" t="s">
        <v>393</v>
      </c>
      <c r="B196" s="1027"/>
      <c r="C196" s="1025">
        <v>2.5</v>
      </c>
      <c r="D196" s="1026"/>
      <c r="E196" s="1026"/>
      <c r="F196" s="1027"/>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row>
    <row r="197" spans="1:31" ht="15.75" customHeight="1">
      <c r="A197" s="1038" t="s">
        <v>394</v>
      </c>
      <c r="B197" s="1039"/>
      <c r="C197" s="1056">
        <v>0.47</v>
      </c>
      <c r="D197" s="1057"/>
      <c r="E197" s="1057"/>
      <c r="F197" s="1039"/>
      <c r="G197" s="501">
        <v>0.47</v>
      </c>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row>
    <row r="198" spans="1:31" ht="18.75" customHeight="1">
      <c r="A198" s="1058" t="s">
        <v>395</v>
      </c>
      <c r="B198" s="1027"/>
      <c r="C198" s="1025">
        <v>1.5</v>
      </c>
      <c r="D198" s="1026"/>
      <c r="E198" s="1026"/>
      <c r="F198" s="1027"/>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row>
    <row r="199" spans="1:31" ht="15.75" customHeight="1">
      <c r="A199" s="1060" t="s">
        <v>396</v>
      </c>
      <c r="B199" s="1039"/>
      <c r="C199" s="1056">
        <v>0</v>
      </c>
      <c r="D199" s="1057"/>
      <c r="E199" s="1057"/>
      <c r="F199" s="1039"/>
      <c r="G199" s="501">
        <v>0</v>
      </c>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row>
    <row r="200" spans="1:31" ht="15.75" customHeight="1">
      <c r="A200" s="1060" t="s">
        <v>397</v>
      </c>
      <c r="B200" s="1039"/>
      <c r="C200" s="1056">
        <v>10</v>
      </c>
      <c r="D200" s="1057"/>
      <c r="E200" s="1057"/>
      <c r="F200" s="1039"/>
      <c r="G200" s="501">
        <v>10</v>
      </c>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row>
    <row r="201" spans="1:31" ht="33.75" customHeight="1">
      <c r="A201" s="1060" t="s">
        <v>398</v>
      </c>
      <c r="B201" s="1039"/>
      <c r="C201" s="1056">
        <v>1</v>
      </c>
      <c r="D201" s="1057"/>
      <c r="E201" s="1057"/>
      <c r="F201" s="1039"/>
      <c r="G201" s="501">
        <v>1</v>
      </c>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row>
    <row r="202" spans="1:31" ht="36" customHeight="1">
      <c r="A202" s="1060" t="s">
        <v>399</v>
      </c>
      <c r="B202" s="1039"/>
      <c r="C202" s="1056">
        <v>1.41</v>
      </c>
      <c r="D202" s="1057"/>
      <c r="E202" s="1057"/>
      <c r="F202" s="1039"/>
      <c r="G202" s="501">
        <v>1.41</v>
      </c>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row>
    <row r="203" spans="1:31" ht="32.25" customHeight="1">
      <c r="A203" s="1058" t="s">
        <v>400</v>
      </c>
      <c r="B203" s="1027"/>
      <c r="C203" s="1025">
        <v>4.59</v>
      </c>
      <c r="D203" s="1026"/>
      <c r="E203" s="1026"/>
      <c r="F203" s="1027"/>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row>
    <row r="204" spans="1:31" ht="31.5" customHeight="1">
      <c r="A204" s="1058" t="s">
        <v>401</v>
      </c>
      <c r="B204" s="1027"/>
      <c r="C204" s="1025">
        <v>9.59</v>
      </c>
      <c r="D204" s="1026"/>
      <c r="E204" s="1026"/>
      <c r="F204" s="1027"/>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row>
    <row r="205" spans="1:31" ht="33" customHeight="1">
      <c r="A205" s="1058" t="s">
        <v>402</v>
      </c>
      <c r="B205" s="1027"/>
      <c r="C205" s="1025">
        <v>10</v>
      </c>
      <c r="D205" s="1026"/>
      <c r="E205" s="1026"/>
      <c r="F205" s="1027"/>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row>
    <row r="206" spans="1:31" ht="26.25" customHeight="1">
      <c r="A206" s="1061" t="s">
        <v>403</v>
      </c>
      <c r="B206" s="1008"/>
      <c r="C206" s="1028">
        <v>13.17</v>
      </c>
      <c r="D206" s="946"/>
      <c r="E206" s="946"/>
      <c r="F206" s="100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row>
    <row r="207" spans="1:31" ht="15.7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row>
    <row r="208" spans="1:31" ht="15.7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row>
    <row r="209" spans="1:31" ht="15.75" customHeight="1">
      <c r="A209" s="1010" t="s">
        <v>404</v>
      </c>
      <c r="B209" s="1011"/>
      <c r="C209" s="1011"/>
      <c r="D209" s="1011"/>
      <c r="E209" s="1011"/>
      <c r="F209" s="1011"/>
      <c r="G209" s="1011"/>
      <c r="H209" s="1011"/>
      <c r="I209" s="1011"/>
      <c r="J209" s="1011"/>
      <c r="K209" s="1011"/>
      <c r="L209" s="1011"/>
      <c r="M209" s="1011"/>
      <c r="N209" s="1011"/>
      <c r="O209" s="1011"/>
      <c r="P209" s="1011"/>
      <c r="Q209" s="1011"/>
      <c r="R209" s="1011"/>
      <c r="S209" s="1011"/>
      <c r="T209" s="1011"/>
      <c r="U209" s="1012"/>
      <c r="V209" s="226"/>
      <c r="W209" s="226"/>
      <c r="X209" s="226"/>
      <c r="Y209" s="226"/>
      <c r="Z209" s="226"/>
      <c r="AA209" s="227"/>
      <c r="AB209" s="227"/>
      <c r="AC209" s="227"/>
      <c r="AD209" s="227"/>
      <c r="AE209" s="227"/>
    </row>
    <row r="210" spans="1:31" s="520" customFormat="1" ht="15.75" customHeight="1">
      <c r="A210" s="517" t="s">
        <v>405</v>
      </c>
      <c r="B210" s="518"/>
      <c r="C210" s="518"/>
      <c r="D210" s="518"/>
      <c r="E210" s="518"/>
      <c r="F210" s="518"/>
      <c r="G210" s="518"/>
      <c r="H210" s="518"/>
      <c r="I210" s="518"/>
      <c r="J210" s="518"/>
      <c r="K210" s="518"/>
      <c r="L210" s="518"/>
      <c r="M210" s="518"/>
      <c r="N210" s="518"/>
      <c r="O210" s="518"/>
      <c r="P210" s="518"/>
      <c r="Q210" s="518"/>
      <c r="R210" s="518"/>
      <c r="S210" s="518"/>
      <c r="T210" s="518"/>
      <c r="U210" s="518"/>
      <c r="V210" s="518"/>
      <c r="W210" s="518"/>
      <c r="X210" s="518"/>
      <c r="Y210" s="518"/>
      <c r="Z210" s="518"/>
      <c r="AA210" s="519"/>
      <c r="AB210" s="519"/>
      <c r="AC210" s="519"/>
      <c r="AD210" s="519"/>
      <c r="AE210" s="519"/>
    </row>
    <row r="211" spans="1:31" ht="15.75" customHeight="1">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58"/>
      <c r="AB211" s="58"/>
      <c r="AC211" s="58"/>
      <c r="AD211" s="58"/>
      <c r="AE211" s="58"/>
    </row>
    <row r="212" spans="1:31" ht="15.7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row>
    <row r="213" spans="1:31" ht="34.5" customHeight="1">
      <c r="A213" s="983" t="s">
        <v>406</v>
      </c>
      <c r="B213" s="984"/>
      <c r="C213" s="984"/>
      <c r="D213" s="984"/>
      <c r="E213" s="985"/>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row>
    <row r="214" spans="1:31" ht="42" customHeight="1">
      <c r="A214" s="228" t="s">
        <v>366</v>
      </c>
      <c r="B214" s="228" t="s">
        <v>407</v>
      </c>
      <c r="C214" s="228"/>
      <c r="D214" s="229" t="s">
        <v>408</v>
      </c>
      <c r="E214" s="228" t="s">
        <v>373</v>
      </c>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row>
    <row r="215" spans="1:31" ht="123" customHeight="1">
      <c r="A215" s="159" t="s">
        <v>409</v>
      </c>
      <c r="B215" s="161" t="s">
        <v>410</v>
      </c>
      <c r="C215" s="161"/>
      <c r="D215" s="161" t="s">
        <v>411</v>
      </c>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row>
    <row r="216" spans="1:31" ht="27.75" customHeight="1">
      <c r="A216" s="494" t="s">
        <v>389</v>
      </c>
      <c r="B216" s="516" t="s">
        <v>412</v>
      </c>
      <c r="C216" s="516"/>
      <c r="D216" s="516">
        <v>0</v>
      </c>
      <c r="E216" s="501">
        <v>0</v>
      </c>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row>
    <row r="217" spans="1:31" ht="15.75" customHeight="1">
      <c r="A217" s="494" t="s">
        <v>413</v>
      </c>
      <c r="B217" s="516" t="s">
        <v>414</v>
      </c>
      <c r="C217" s="515"/>
      <c r="D217" s="515">
        <v>0.01</v>
      </c>
      <c r="E217" s="501">
        <v>0.01</v>
      </c>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row>
    <row r="218" spans="1:31" ht="15.75" customHeight="1">
      <c r="A218" s="161" t="s">
        <v>415</v>
      </c>
      <c r="B218" s="161" t="s">
        <v>416</v>
      </c>
      <c r="C218" s="161"/>
      <c r="D218" s="161">
        <v>0.01</v>
      </c>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row>
    <row r="219" spans="1:31" ht="15.75" customHeight="1">
      <c r="A219" s="161" t="s">
        <v>386</v>
      </c>
      <c r="B219" s="161" t="s">
        <v>417</v>
      </c>
      <c r="C219" s="161"/>
      <c r="D219" s="161">
        <v>5.0000000000000001E-3</v>
      </c>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row>
    <row r="220" spans="1:31" ht="15.75" customHeight="1">
      <c r="A220" s="159" t="s">
        <v>387</v>
      </c>
      <c r="B220" s="161" t="s">
        <v>418</v>
      </c>
      <c r="C220" s="161"/>
      <c r="D220" s="161">
        <v>5.0000000000000001E-3</v>
      </c>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row>
    <row r="221" spans="1:31" ht="15.75" customHeight="1">
      <c r="A221" s="494" t="s">
        <v>388</v>
      </c>
      <c r="B221" s="516" t="s">
        <v>419</v>
      </c>
      <c r="C221" s="516"/>
      <c r="D221" s="516">
        <v>0.02</v>
      </c>
      <c r="E221" s="511">
        <v>0.02</v>
      </c>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row>
    <row r="222" spans="1:31" ht="45" customHeight="1">
      <c r="A222" s="1013" t="s">
        <v>420</v>
      </c>
      <c r="B222" s="1019" t="s">
        <v>421</v>
      </c>
      <c r="C222" s="151" t="s">
        <v>422</v>
      </c>
      <c r="D222" s="151">
        <v>5.0000000000000001E-3</v>
      </c>
      <c r="E222" s="157"/>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row>
    <row r="223" spans="1:31" ht="15.75" customHeight="1">
      <c r="A223" s="889"/>
      <c r="B223" s="889"/>
      <c r="C223" s="151" t="s">
        <v>423</v>
      </c>
      <c r="D223" s="151">
        <v>0</v>
      </c>
      <c r="E223" s="157"/>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row>
    <row r="224" spans="1:31" ht="15.75" customHeight="1">
      <c r="A224" s="1018"/>
      <c r="B224" s="1018"/>
      <c r="C224" s="161" t="s">
        <v>424</v>
      </c>
      <c r="D224" s="161">
        <v>5.0000000000000001E-3</v>
      </c>
      <c r="E224" s="157"/>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row>
    <row r="225" spans="1:31" ht="169.5" customHeight="1">
      <c r="A225" s="494" t="s">
        <v>374</v>
      </c>
      <c r="B225" s="516" t="s">
        <v>425</v>
      </c>
      <c r="C225" s="516"/>
      <c r="D225" s="516">
        <v>0</v>
      </c>
      <c r="E225" s="511">
        <v>0</v>
      </c>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row>
    <row r="226" spans="1:31" ht="15.75" customHeight="1">
      <c r="A226" s="161" t="s">
        <v>426</v>
      </c>
      <c r="B226" s="161" t="s">
        <v>427</v>
      </c>
      <c r="C226" s="230"/>
      <c r="D226" s="161">
        <v>2E-3</v>
      </c>
      <c r="E226" s="162"/>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row>
    <row r="227" spans="1:31" ht="75" customHeight="1">
      <c r="A227" s="516" t="s">
        <v>428</v>
      </c>
      <c r="B227" s="516" t="s">
        <v>429</v>
      </c>
      <c r="C227" s="515"/>
      <c r="D227" s="516">
        <v>5.9999999999999995E-4</v>
      </c>
      <c r="E227" s="511">
        <v>5.9999999999999995E-4</v>
      </c>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row>
    <row r="228" spans="1:31" ht="75" customHeight="1">
      <c r="A228" s="1013" t="s">
        <v>430</v>
      </c>
      <c r="B228" s="151" t="s">
        <v>431</v>
      </c>
      <c r="C228" s="150"/>
      <c r="D228" s="151" t="s">
        <v>432</v>
      </c>
      <c r="E228" s="157"/>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row>
    <row r="229" spans="1:31" ht="75" customHeight="1">
      <c r="A229" s="1018"/>
      <c r="B229" s="159" t="s">
        <v>433</v>
      </c>
      <c r="C229" s="230"/>
      <c r="D229" s="161" t="s">
        <v>434</v>
      </c>
      <c r="E229" s="157"/>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row>
    <row r="230" spans="1:31" ht="39.75" customHeight="1">
      <c r="A230" s="1040" t="s">
        <v>381</v>
      </c>
      <c r="B230" s="1040" t="s">
        <v>435</v>
      </c>
      <c r="C230" s="150" t="s">
        <v>436</v>
      </c>
      <c r="D230" s="151">
        <v>0.01</v>
      </c>
      <c r="E230" s="157"/>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row>
    <row r="231" spans="1:31" ht="27.75" customHeight="1">
      <c r="A231" s="1037"/>
      <c r="B231" s="1037"/>
      <c r="C231" s="515" t="s">
        <v>437</v>
      </c>
      <c r="D231" s="516">
        <v>7.0000000000000007E-2</v>
      </c>
      <c r="E231" s="511">
        <v>7.0000000000000007E-2</v>
      </c>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row>
    <row r="232" spans="1:31" ht="15.75" customHeight="1">
      <c r="A232" s="161" t="s">
        <v>438</v>
      </c>
      <c r="B232" s="161" t="s">
        <v>439</v>
      </c>
      <c r="C232" s="230"/>
      <c r="D232" s="161">
        <v>6.0000000000000001E-3</v>
      </c>
      <c r="E232" s="162"/>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row>
    <row r="233" spans="1:31" ht="15.75" customHeight="1">
      <c r="A233" s="494" t="s">
        <v>440</v>
      </c>
      <c r="B233" s="494" t="s">
        <v>441</v>
      </c>
      <c r="C233" s="515"/>
      <c r="D233" s="516">
        <v>0.01</v>
      </c>
      <c r="E233" s="511">
        <v>0.01</v>
      </c>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row>
    <row r="234" spans="1:31" ht="15.75" customHeight="1">
      <c r="A234" s="161" t="s">
        <v>442</v>
      </c>
      <c r="B234" s="161" t="s">
        <v>443</v>
      </c>
      <c r="C234" s="230"/>
      <c r="D234" s="161">
        <v>5.0000000000000001E-3</v>
      </c>
      <c r="E234" s="157"/>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row>
    <row r="235" spans="1:31" ht="45" customHeight="1">
      <c r="A235" s="161" t="s">
        <v>444</v>
      </c>
      <c r="B235" s="161" t="s">
        <v>445</v>
      </c>
      <c r="C235" s="230"/>
      <c r="D235" s="161">
        <v>5.0000000000000001E-3</v>
      </c>
      <c r="E235" s="157"/>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row>
    <row r="236" spans="1:31" ht="15.75" customHeight="1">
      <c r="A236" s="159" t="s">
        <v>446</v>
      </c>
      <c r="B236" s="161" t="s">
        <v>447</v>
      </c>
      <c r="C236" s="230"/>
      <c r="D236" s="161">
        <v>1E-3</v>
      </c>
      <c r="E236" s="157"/>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row>
    <row r="237" spans="1:31" ht="15.75" customHeight="1">
      <c r="A237" s="159" t="s">
        <v>448</v>
      </c>
      <c r="B237" s="161" t="s">
        <v>449</v>
      </c>
      <c r="C237" s="230"/>
      <c r="D237" s="161">
        <v>1E-3</v>
      </c>
      <c r="E237" s="157"/>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row>
    <row r="238" spans="1:31" ht="75" customHeight="1">
      <c r="A238" s="1041" t="s">
        <v>396</v>
      </c>
      <c r="B238" s="1040" t="s">
        <v>450</v>
      </c>
      <c r="C238" s="509" t="s">
        <v>451</v>
      </c>
      <c r="D238" s="510">
        <v>0.01</v>
      </c>
      <c r="E238" s="511">
        <v>7.4999999999999997E-3</v>
      </c>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row>
    <row r="239" spans="1:31" ht="15.75" customHeight="1">
      <c r="A239" s="1042"/>
      <c r="B239" s="1042"/>
      <c r="C239" s="512" t="s">
        <v>452</v>
      </c>
      <c r="D239" s="513">
        <v>5.0000000000000001E-3</v>
      </c>
      <c r="E239" s="514"/>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row>
    <row r="240" spans="1:31" ht="29.25" customHeight="1">
      <c r="A240" s="1046" t="s">
        <v>453</v>
      </c>
      <c r="B240" s="1047"/>
      <c r="C240" s="1047"/>
      <c r="D240" s="104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row>
    <row r="241" spans="1:31" ht="29.25" customHeight="1">
      <c r="A241" s="1004"/>
      <c r="B241" s="1005"/>
      <c r="C241" s="1005"/>
      <c r="D241" s="1006"/>
      <c r="E241" s="58"/>
      <c r="F241" s="58"/>
      <c r="G241" s="58"/>
      <c r="H241" s="58"/>
      <c r="I241" s="58"/>
      <c r="J241" s="58"/>
      <c r="K241" s="58"/>
      <c r="L241" s="58"/>
      <c r="M241" s="58"/>
      <c r="N241" s="58"/>
      <c r="O241" s="58"/>
      <c r="P241" s="58"/>
      <c r="Q241" s="58"/>
      <c r="R241" s="58"/>
      <c r="S241" s="58"/>
      <c r="T241" s="58"/>
      <c r="U241" s="58"/>
      <c r="V241" s="58"/>
    </row>
    <row r="242" spans="1:31" ht="99.75" customHeight="1">
      <c r="A242" s="1049" t="s">
        <v>454</v>
      </c>
      <c r="B242" s="977"/>
      <c r="C242" s="978"/>
      <c r="D242" s="58"/>
      <c r="E242" s="58"/>
      <c r="F242" s="58"/>
      <c r="G242" s="58"/>
      <c r="H242" s="58"/>
      <c r="I242" s="58"/>
      <c r="J242" s="58"/>
      <c r="K242" s="58"/>
      <c r="L242" s="58"/>
      <c r="M242" s="58"/>
      <c r="N242" s="58"/>
      <c r="O242" s="58"/>
      <c r="P242" s="58"/>
      <c r="Q242" s="58"/>
      <c r="R242" s="58"/>
      <c r="S242" s="58"/>
      <c r="T242" s="58"/>
      <c r="U242" s="58"/>
      <c r="V242" s="58"/>
    </row>
    <row r="243" spans="1:31" ht="50.25" customHeight="1">
      <c r="A243" s="1009" t="s">
        <v>455</v>
      </c>
      <c r="B243" s="946"/>
      <c r="C243" s="1008"/>
      <c r="D243" s="231"/>
      <c r="E243" s="58"/>
      <c r="F243" s="58"/>
      <c r="G243" s="58"/>
      <c r="H243" s="58"/>
      <c r="I243" s="58"/>
      <c r="J243" s="58"/>
      <c r="K243" s="58"/>
      <c r="L243" s="58"/>
      <c r="M243" s="58"/>
      <c r="N243" s="58"/>
      <c r="O243" s="58"/>
      <c r="P243" s="58"/>
      <c r="Q243" s="58"/>
      <c r="R243" s="58"/>
      <c r="S243" s="58"/>
      <c r="T243" s="58"/>
      <c r="U243" s="58"/>
      <c r="V243" s="58"/>
    </row>
    <row r="244" spans="1:31" ht="15.75"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row>
    <row r="245" spans="1:31" ht="15.75" customHeight="1" thickBo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row>
    <row r="246" spans="1:31" s="508" customFormat="1" ht="15.75" customHeight="1" thickBot="1">
      <c r="A246" s="505" t="s">
        <v>456</v>
      </c>
      <c r="B246" s="506"/>
      <c r="C246" s="506"/>
      <c r="D246" s="506"/>
      <c r="E246" s="506"/>
      <c r="F246" s="506"/>
      <c r="G246" s="506"/>
      <c r="H246" s="506"/>
      <c r="I246" s="506"/>
      <c r="J246" s="506"/>
      <c r="K246" s="506"/>
      <c r="L246" s="506"/>
      <c r="M246" s="506"/>
      <c r="N246" s="506"/>
      <c r="O246" s="506"/>
      <c r="P246" s="506"/>
      <c r="Q246" s="506"/>
      <c r="R246" s="506"/>
      <c r="S246" s="506"/>
      <c r="T246" s="506"/>
      <c r="U246" s="506"/>
      <c r="V246" s="506"/>
      <c r="W246" s="506"/>
      <c r="X246" s="506"/>
      <c r="Y246" s="506"/>
      <c r="Z246" s="506"/>
      <c r="AA246" s="507"/>
      <c r="AB246" s="507"/>
      <c r="AC246" s="507"/>
      <c r="AD246" s="507"/>
      <c r="AE246" s="507"/>
    </row>
    <row r="247" spans="1:31" ht="15.75" customHeight="1">
      <c r="A247" s="232"/>
      <c r="B247" s="232"/>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58"/>
      <c r="AB247" s="58"/>
      <c r="AC247" s="58"/>
      <c r="AD247" s="58"/>
      <c r="AE247" s="58"/>
    </row>
    <row r="248" spans="1:31" ht="15.75" customHeight="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row>
    <row r="249" spans="1:31" ht="55.5" customHeight="1">
      <c r="A249" s="983" t="s">
        <v>457</v>
      </c>
      <c r="B249" s="984"/>
      <c r="C249" s="984"/>
      <c r="D249" s="985"/>
      <c r="E249" s="223"/>
      <c r="F249" s="58"/>
      <c r="G249" s="58"/>
      <c r="H249" s="58"/>
      <c r="I249" s="58"/>
      <c r="J249" s="58"/>
      <c r="K249" s="58"/>
      <c r="L249" s="58"/>
      <c r="M249" s="58"/>
      <c r="N249" s="58"/>
      <c r="O249" s="58"/>
      <c r="P249" s="58"/>
      <c r="Q249" s="58"/>
      <c r="R249" s="58"/>
      <c r="S249" s="58"/>
      <c r="T249" s="58"/>
      <c r="U249" s="58"/>
      <c r="V249" s="58"/>
      <c r="W249" s="58"/>
    </row>
    <row r="250" spans="1:31" ht="70.5" customHeight="1">
      <c r="A250" s="1050" t="s">
        <v>458</v>
      </c>
      <c r="B250" s="233" t="s">
        <v>459</v>
      </c>
      <c r="C250" s="234" t="s">
        <v>459</v>
      </c>
      <c r="D250" s="235" t="s">
        <v>460</v>
      </c>
      <c r="E250" s="236"/>
      <c r="F250" s="58"/>
      <c r="G250" s="58"/>
      <c r="H250" s="58"/>
      <c r="I250" s="58"/>
      <c r="J250" s="58"/>
      <c r="K250" s="58"/>
      <c r="L250" s="58"/>
      <c r="M250" s="58"/>
      <c r="N250" s="58"/>
      <c r="O250" s="58"/>
      <c r="P250" s="58"/>
      <c r="Q250" s="58"/>
      <c r="R250" s="58"/>
      <c r="S250" s="58"/>
      <c r="T250" s="58"/>
      <c r="U250" s="58"/>
      <c r="V250" s="58"/>
      <c r="W250" s="58"/>
    </row>
    <row r="251" spans="1:31" ht="15.75" customHeight="1">
      <c r="A251" s="1051"/>
      <c r="B251" s="237" t="s">
        <v>461</v>
      </c>
      <c r="C251" s="238" t="s">
        <v>462</v>
      </c>
      <c r="D251" s="239" t="s">
        <v>463</v>
      </c>
      <c r="E251" s="236"/>
      <c r="F251" s="58"/>
      <c r="G251" s="58"/>
      <c r="H251" s="58"/>
      <c r="I251" s="58"/>
      <c r="J251" s="58"/>
      <c r="K251" s="58"/>
      <c r="L251" s="58"/>
      <c r="M251" s="58"/>
      <c r="N251" s="58"/>
      <c r="O251" s="58"/>
      <c r="P251" s="58"/>
      <c r="Q251" s="58"/>
      <c r="R251" s="58"/>
      <c r="S251" s="58"/>
      <c r="T251" s="58"/>
      <c r="U251" s="58"/>
      <c r="V251" s="58"/>
      <c r="W251" s="58"/>
    </row>
    <row r="252" spans="1:31" ht="15.75" customHeight="1">
      <c r="A252" s="501" t="s">
        <v>464</v>
      </c>
      <c r="B252" s="502">
        <v>0.35</v>
      </c>
      <c r="C252" s="502">
        <v>0.35</v>
      </c>
      <c r="D252" s="501">
        <v>0</v>
      </c>
      <c r="E252" s="240"/>
      <c r="F252" s="58"/>
      <c r="G252" s="58"/>
      <c r="H252" s="58"/>
      <c r="I252" s="58"/>
      <c r="J252" s="58"/>
      <c r="K252" s="58"/>
      <c r="L252" s="58"/>
      <c r="M252" s="58"/>
      <c r="N252" s="58"/>
      <c r="O252" s="58"/>
      <c r="P252" s="58"/>
      <c r="Q252" s="58"/>
      <c r="R252" s="58"/>
      <c r="S252" s="58"/>
      <c r="T252" s="58"/>
      <c r="U252" s="58"/>
      <c r="V252" s="58"/>
      <c r="W252" s="58"/>
    </row>
    <row r="253" spans="1:31" ht="15.75" customHeight="1">
      <c r="A253" s="203" t="s">
        <v>465</v>
      </c>
      <c r="B253" s="241">
        <v>0.3</v>
      </c>
      <c r="C253" s="241">
        <v>0.3</v>
      </c>
      <c r="D253" s="203">
        <v>0</v>
      </c>
      <c r="E253" s="203"/>
      <c r="F253" s="58"/>
      <c r="G253" s="58"/>
      <c r="H253" s="58"/>
      <c r="I253" s="58"/>
      <c r="J253" s="58"/>
      <c r="K253" s="58"/>
      <c r="L253" s="58"/>
      <c r="M253" s="58"/>
      <c r="N253" s="58"/>
      <c r="O253" s="58"/>
      <c r="P253" s="58"/>
      <c r="Q253" s="58"/>
      <c r="R253" s="58"/>
      <c r="S253" s="58"/>
      <c r="T253" s="58"/>
      <c r="U253" s="58"/>
      <c r="V253" s="58"/>
      <c r="W253" s="58"/>
    </row>
    <row r="254" spans="1:31" ht="15.75" customHeight="1">
      <c r="A254" s="203" t="s">
        <v>466</v>
      </c>
      <c r="B254" s="242">
        <v>0.48</v>
      </c>
      <c r="C254" s="242">
        <v>0.48</v>
      </c>
      <c r="D254" s="203">
        <v>0</v>
      </c>
      <c r="E254" s="203"/>
      <c r="F254" s="58"/>
      <c r="G254" s="58"/>
      <c r="H254" s="58"/>
      <c r="I254" s="58"/>
      <c r="J254" s="58"/>
      <c r="K254" s="58"/>
      <c r="L254" s="58"/>
      <c r="M254" s="58"/>
      <c r="N254" s="58"/>
      <c r="O254" s="58"/>
      <c r="P254" s="58"/>
      <c r="Q254" s="58"/>
      <c r="R254" s="58"/>
      <c r="S254" s="58"/>
      <c r="T254" s="58"/>
      <c r="U254" s="58"/>
      <c r="V254" s="58"/>
      <c r="W254" s="58"/>
    </row>
    <row r="255" spans="1:31" ht="15.75" customHeight="1">
      <c r="A255" s="203" t="s">
        <v>467</v>
      </c>
      <c r="B255" s="241">
        <v>0.1</v>
      </c>
      <c r="C255" s="241">
        <v>0.1</v>
      </c>
      <c r="D255" s="203">
        <v>0</v>
      </c>
      <c r="E255" s="203"/>
      <c r="F255" s="58"/>
      <c r="G255" s="58"/>
      <c r="H255" s="58"/>
      <c r="I255" s="58"/>
      <c r="J255" s="58"/>
      <c r="K255" s="58"/>
      <c r="L255" s="58"/>
      <c r="M255" s="58"/>
      <c r="N255" s="58"/>
      <c r="O255" s="58"/>
      <c r="P255" s="58"/>
      <c r="Q255" s="58"/>
      <c r="R255" s="58"/>
      <c r="S255" s="58"/>
      <c r="T255" s="58"/>
      <c r="U255" s="58"/>
      <c r="V255" s="58"/>
      <c r="W255" s="58"/>
    </row>
    <row r="256" spans="1:31" ht="15.75" customHeight="1">
      <c r="A256" s="203" t="s">
        <v>426</v>
      </c>
      <c r="B256" s="241">
        <v>0.28000000000000003</v>
      </c>
      <c r="C256" s="241">
        <v>0.25</v>
      </c>
      <c r="D256" s="203">
        <v>0</v>
      </c>
      <c r="E256" s="203"/>
      <c r="F256" s="58"/>
      <c r="G256" s="58"/>
      <c r="H256" s="58"/>
      <c r="I256" s="58"/>
      <c r="J256" s="58"/>
      <c r="K256" s="58"/>
      <c r="L256" s="58"/>
      <c r="M256" s="58"/>
      <c r="N256" s="58"/>
      <c r="O256" s="58"/>
      <c r="P256" s="58"/>
      <c r="Q256" s="58"/>
      <c r="R256" s="58"/>
      <c r="S256" s="58"/>
      <c r="T256" s="58"/>
      <c r="U256" s="58"/>
      <c r="V256" s="58"/>
      <c r="W256" s="58"/>
    </row>
    <row r="257" spans="1:31" ht="15.75" customHeight="1">
      <c r="A257" s="501" t="s">
        <v>389</v>
      </c>
      <c r="B257" s="503">
        <v>7.0000000000000007E-2</v>
      </c>
      <c r="C257" s="503">
        <v>7.0000000000000007E-2</v>
      </c>
      <c r="D257" s="501">
        <v>0</v>
      </c>
      <c r="E257" s="203"/>
      <c r="F257" s="58"/>
      <c r="G257" s="58"/>
      <c r="H257" s="58"/>
      <c r="I257" s="58"/>
      <c r="J257" s="58"/>
      <c r="K257" s="58"/>
      <c r="L257" s="58"/>
      <c r="M257" s="58"/>
      <c r="N257" s="58"/>
      <c r="O257" s="58"/>
      <c r="P257" s="58"/>
      <c r="Q257" s="58"/>
      <c r="R257" s="58"/>
      <c r="S257" s="58"/>
      <c r="T257" s="58"/>
      <c r="U257" s="58"/>
      <c r="V257" s="58"/>
      <c r="W257" s="58"/>
    </row>
    <row r="258" spans="1:31" ht="15.75" customHeight="1">
      <c r="A258" s="203" t="s">
        <v>468</v>
      </c>
      <c r="B258" s="204">
        <v>0.14000000000000001</v>
      </c>
      <c r="C258" s="204">
        <v>0.22</v>
      </c>
      <c r="D258" s="203">
        <v>0</v>
      </c>
      <c r="E258" s="203"/>
      <c r="F258" s="58"/>
      <c r="G258" s="58"/>
      <c r="H258" s="58"/>
      <c r="I258" s="58"/>
      <c r="J258" s="58"/>
      <c r="K258" s="58"/>
      <c r="L258" s="58"/>
      <c r="M258" s="58"/>
      <c r="N258" s="58"/>
      <c r="O258" s="58"/>
      <c r="P258" s="58"/>
      <c r="Q258" s="58"/>
      <c r="R258" s="58"/>
      <c r="S258" s="58"/>
      <c r="T258" s="58"/>
      <c r="U258" s="58"/>
      <c r="V258" s="58"/>
      <c r="W258" s="58"/>
    </row>
    <row r="259" spans="1:31" ht="15.75" customHeight="1">
      <c r="A259" s="203" t="s">
        <v>469</v>
      </c>
      <c r="B259" s="204">
        <v>0.38</v>
      </c>
      <c r="C259" s="204">
        <v>0.57999999999999996</v>
      </c>
      <c r="D259" s="203">
        <v>0.02</v>
      </c>
      <c r="E259" s="203"/>
      <c r="F259" s="58"/>
      <c r="G259" s="58"/>
      <c r="H259" s="58"/>
      <c r="I259" s="58"/>
      <c r="J259" s="58"/>
      <c r="K259" s="58"/>
      <c r="L259" s="58"/>
      <c r="M259" s="58"/>
      <c r="N259" s="58"/>
      <c r="O259" s="58"/>
      <c r="P259" s="58"/>
      <c r="Q259" s="58"/>
      <c r="R259" s="58"/>
      <c r="S259" s="58"/>
      <c r="T259" s="58"/>
      <c r="U259" s="58"/>
      <c r="V259" s="58"/>
      <c r="W259" s="58"/>
    </row>
    <row r="260" spans="1:31" ht="15.75" customHeight="1">
      <c r="A260" s="203" t="s">
        <v>470</v>
      </c>
      <c r="B260" s="204">
        <v>0.11</v>
      </c>
      <c r="C260" s="204">
        <v>0.17</v>
      </c>
      <c r="D260" s="203">
        <v>0.02</v>
      </c>
      <c r="E260" s="203"/>
      <c r="F260" s="58"/>
      <c r="G260" s="58"/>
      <c r="H260" s="58"/>
      <c r="I260" s="58"/>
      <c r="J260" s="58"/>
      <c r="K260" s="58"/>
      <c r="L260" s="58"/>
      <c r="M260" s="58"/>
      <c r="N260" s="58"/>
      <c r="O260" s="58"/>
      <c r="P260" s="58"/>
      <c r="Q260" s="58"/>
      <c r="R260" s="58"/>
      <c r="S260" s="58"/>
      <c r="T260" s="58"/>
      <c r="U260" s="58"/>
      <c r="V260" s="58"/>
      <c r="W260" s="58"/>
    </row>
    <row r="261" spans="1:31" ht="15.75" customHeight="1">
      <c r="A261" s="501" t="s">
        <v>384</v>
      </c>
      <c r="B261" s="502">
        <v>0.3</v>
      </c>
      <c r="C261" s="502">
        <v>0.45</v>
      </c>
      <c r="D261" s="501">
        <v>0.02</v>
      </c>
      <c r="E261" s="203"/>
      <c r="F261" s="58"/>
      <c r="G261" s="58"/>
      <c r="H261" s="58"/>
      <c r="I261" s="58"/>
      <c r="J261" s="58"/>
      <c r="K261" s="58"/>
      <c r="L261" s="58"/>
      <c r="M261" s="58"/>
      <c r="N261" s="58"/>
      <c r="O261" s="58"/>
      <c r="P261" s="58"/>
      <c r="Q261" s="58"/>
      <c r="R261" s="58"/>
      <c r="S261" s="58"/>
      <c r="T261" s="58"/>
      <c r="U261" s="58"/>
      <c r="V261" s="58"/>
      <c r="W261" s="58"/>
    </row>
    <row r="262" spans="1:31" ht="15.75" customHeight="1">
      <c r="A262" s="501" t="s">
        <v>388</v>
      </c>
      <c r="B262" s="503">
        <v>0.3</v>
      </c>
      <c r="C262" s="503">
        <v>0.3</v>
      </c>
      <c r="D262" s="501">
        <v>3.5000000000000003E-2</v>
      </c>
      <c r="E262" s="203"/>
      <c r="F262" s="58"/>
      <c r="G262" s="58"/>
      <c r="H262" s="58"/>
      <c r="I262" s="58"/>
      <c r="J262" s="58"/>
      <c r="K262" s="58"/>
      <c r="L262" s="58"/>
      <c r="M262" s="58"/>
      <c r="N262" s="58"/>
      <c r="O262" s="58"/>
      <c r="P262" s="58"/>
      <c r="Q262" s="58"/>
      <c r="R262" s="58"/>
      <c r="S262" s="58"/>
      <c r="T262" s="58"/>
      <c r="U262" s="58"/>
      <c r="V262" s="58"/>
      <c r="W262" s="58"/>
    </row>
    <row r="263" spans="1:31" ht="15.75" customHeight="1">
      <c r="A263" s="501" t="s">
        <v>428</v>
      </c>
      <c r="B263" s="504">
        <v>0.28000000000000003</v>
      </c>
      <c r="C263" s="504">
        <v>0.28000000000000003</v>
      </c>
      <c r="D263" s="501">
        <v>0</v>
      </c>
      <c r="E263" s="203"/>
      <c r="F263" s="58"/>
      <c r="G263" s="58"/>
      <c r="H263" s="58"/>
      <c r="I263" s="58"/>
      <c r="J263" s="58"/>
      <c r="K263" s="58"/>
      <c r="L263" s="58"/>
      <c r="M263" s="58"/>
      <c r="N263" s="58"/>
      <c r="O263" s="58"/>
      <c r="P263" s="58"/>
      <c r="Q263" s="58"/>
      <c r="R263" s="58"/>
      <c r="S263" s="58"/>
      <c r="T263" s="58"/>
      <c r="U263" s="58"/>
      <c r="V263" s="58"/>
      <c r="W263" s="58"/>
    </row>
    <row r="264" spans="1:31" ht="15.75" customHeight="1">
      <c r="A264" s="501" t="s">
        <v>471</v>
      </c>
      <c r="B264" s="502">
        <v>0.25</v>
      </c>
      <c r="C264" s="502">
        <v>0.25</v>
      </c>
      <c r="D264" s="501">
        <v>3.5000000000000003E-2</v>
      </c>
      <c r="E264" s="203"/>
      <c r="F264" s="58"/>
      <c r="G264" s="58"/>
      <c r="H264" s="58"/>
      <c r="I264" s="58"/>
      <c r="J264" s="58"/>
      <c r="K264" s="58"/>
      <c r="L264" s="58"/>
      <c r="M264" s="58"/>
      <c r="N264" s="58"/>
      <c r="O264" s="58"/>
      <c r="P264" s="58"/>
      <c r="Q264" s="58"/>
      <c r="R264" s="58"/>
      <c r="S264" s="58"/>
      <c r="T264" s="58"/>
      <c r="U264" s="58"/>
      <c r="V264" s="58"/>
      <c r="W264" s="58"/>
    </row>
    <row r="265" spans="1:31" ht="15.75" customHeight="1">
      <c r="A265" s="203" t="s">
        <v>472</v>
      </c>
      <c r="B265" s="204">
        <v>0.45</v>
      </c>
      <c r="C265" s="204">
        <v>0.6</v>
      </c>
      <c r="D265" s="203">
        <v>0</v>
      </c>
      <c r="E265" s="203"/>
      <c r="F265" s="58"/>
      <c r="G265" s="58"/>
      <c r="H265" s="58"/>
      <c r="I265" s="58"/>
      <c r="J265" s="58"/>
      <c r="K265" s="58"/>
      <c r="L265" s="58"/>
      <c r="M265" s="58"/>
      <c r="N265" s="58"/>
      <c r="O265" s="58"/>
      <c r="P265" s="58"/>
      <c r="Q265" s="58"/>
      <c r="R265" s="58"/>
      <c r="S265" s="58"/>
      <c r="T265" s="58"/>
      <c r="U265" s="58"/>
      <c r="V265" s="58"/>
      <c r="W265" s="58"/>
    </row>
    <row r="266" spans="1:31" ht="15.75" customHeight="1">
      <c r="A266" s="501" t="s">
        <v>473</v>
      </c>
      <c r="B266" s="502">
        <v>0.5</v>
      </c>
      <c r="C266" s="502">
        <v>0.65</v>
      </c>
      <c r="D266" s="501">
        <v>0.06</v>
      </c>
      <c r="E266" s="203"/>
      <c r="F266" s="58"/>
      <c r="G266" s="58"/>
      <c r="H266" s="58"/>
      <c r="I266" s="58"/>
      <c r="J266" s="58"/>
      <c r="K266" s="58"/>
      <c r="L266" s="58"/>
      <c r="M266" s="58"/>
      <c r="N266" s="58"/>
      <c r="O266" s="58"/>
      <c r="P266" s="58"/>
      <c r="Q266" s="58"/>
      <c r="R266" s="58"/>
      <c r="S266" s="58"/>
      <c r="T266" s="58"/>
      <c r="U266" s="58"/>
      <c r="V266" s="58"/>
      <c r="W266" s="58"/>
    </row>
    <row r="267" spans="1:31" ht="15.75" customHeight="1">
      <c r="A267" s="203" t="s">
        <v>474</v>
      </c>
      <c r="B267" s="204">
        <v>0.5</v>
      </c>
      <c r="C267" s="204">
        <v>0.65</v>
      </c>
      <c r="D267" s="203">
        <v>0.06</v>
      </c>
      <c r="E267" s="203"/>
      <c r="F267" s="58"/>
      <c r="G267" s="58"/>
      <c r="H267" s="58"/>
      <c r="I267" s="58"/>
      <c r="J267" s="58"/>
      <c r="K267" s="58"/>
      <c r="L267" s="58"/>
      <c r="M267" s="58"/>
      <c r="N267" s="58"/>
      <c r="O267" s="58"/>
      <c r="P267" s="58"/>
      <c r="Q267" s="58"/>
      <c r="R267" s="58"/>
      <c r="S267" s="58"/>
      <c r="T267" s="58"/>
      <c r="U267" s="58"/>
      <c r="V267" s="58"/>
      <c r="W267" s="58"/>
    </row>
    <row r="268" spans="1:31" ht="15.75" customHeight="1">
      <c r="A268" s="203" t="s">
        <v>475</v>
      </c>
      <c r="B268" s="204">
        <v>0.45</v>
      </c>
      <c r="C268" s="204">
        <v>0.6</v>
      </c>
      <c r="D268" s="203">
        <v>0.04</v>
      </c>
      <c r="E268" s="203"/>
      <c r="F268" s="58"/>
      <c r="G268" s="58"/>
      <c r="H268" s="58"/>
      <c r="I268" s="58"/>
      <c r="J268" s="58"/>
      <c r="K268" s="58"/>
      <c r="L268" s="58"/>
      <c r="M268" s="58"/>
      <c r="N268" s="58"/>
      <c r="O268" s="58"/>
      <c r="P268" s="58"/>
      <c r="Q268" s="58"/>
      <c r="R268" s="58"/>
      <c r="S268" s="58"/>
      <c r="T268" s="58"/>
      <c r="U268" s="58"/>
      <c r="V268" s="58"/>
      <c r="W268" s="58"/>
    </row>
    <row r="269" spans="1:31" ht="15.75" customHeight="1">
      <c r="A269" s="203" t="s">
        <v>476</v>
      </c>
      <c r="B269" s="204" t="s">
        <v>477</v>
      </c>
      <c r="C269" s="204" t="s">
        <v>478</v>
      </c>
      <c r="D269" s="203">
        <v>0</v>
      </c>
      <c r="E269" s="203"/>
      <c r="F269" s="58"/>
      <c r="G269" s="58"/>
      <c r="H269" s="58"/>
      <c r="I269" s="58"/>
      <c r="J269" s="58"/>
      <c r="K269" s="58"/>
      <c r="L269" s="58"/>
      <c r="M269" s="58"/>
      <c r="N269" s="58"/>
      <c r="O269" s="58"/>
      <c r="P269" s="58"/>
      <c r="Q269" s="58"/>
      <c r="R269" s="58"/>
      <c r="S269" s="58"/>
      <c r="T269" s="58"/>
      <c r="U269" s="58"/>
      <c r="V269" s="58"/>
      <c r="W269" s="58"/>
    </row>
    <row r="270" spans="1:31" ht="15.75" customHeight="1">
      <c r="A270" s="499" t="s">
        <v>479</v>
      </c>
      <c r="B270" s="500">
        <v>0.85</v>
      </c>
      <c r="C270" s="500">
        <v>0.85</v>
      </c>
      <c r="D270" s="499">
        <v>0</v>
      </c>
      <c r="E270" s="203"/>
      <c r="F270" s="58"/>
      <c r="G270" s="58"/>
      <c r="H270" s="58"/>
      <c r="I270" s="58"/>
      <c r="J270" s="58"/>
      <c r="K270" s="58"/>
      <c r="L270" s="58"/>
      <c r="M270" s="58"/>
      <c r="N270" s="58"/>
      <c r="O270" s="58"/>
      <c r="P270" s="58"/>
      <c r="Q270" s="58"/>
      <c r="R270" s="58"/>
      <c r="S270" s="58"/>
      <c r="T270" s="58"/>
      <c r="U270" s="58"/>
      <c r="V270" s="58"/>
      <c r="W270" s="58"/>
    </row>
    <row r="271" spans="1:31" ht="15.75" customHeight="1">
      <c r="A271" s="203"/>
      <c r="B271" s="204"/>
      <c r="C271" s="203"/>
      <c r="D271" s="204"/>
      <c r="E271" s="203"/>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row>
    <row r="272" spans="1:31" ht="15.75" customHeight="1">
      <c r="A272" s="58"/>
      <c r="B272" s="203"/>
      <c r="C272" s="204"/>
      <c r="D272" s="204"/>
      <c r="E272" s="203"/>
      <c r="F272" s="203"/>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row>
    <row r="273" spans="1:18" ht="43.5" customHeight="1">
      <c r="A273" s="991" t="s">
        <v>480</v>
      </c>
      <c r="B273" s="992"/>
      <c r="C273" s="992"/>
      <c r="D273" s="992"/>
      <c r="E273" s="992"/>
      <c r="F273" s="993"/>
      <c r="G273" s="58"/>
      <c r="H273" s="58"/>
      <c r="I273" s="58"/>
      <c r="J273" s="58"/>
      <c r="K273" s="58"/>
      <c r="L273" s="58"/>
      <c r="M273" s="58"/>
      <c r="N273" s="58"/>
      <c r="O273" s="58"/>
      <c r="P273" s="58"/>
      <c r="Q273" s="58"/>
      <c r="R273" s="58"/>
    </row>
    <row r="274" spans="1:18" ht="15.75" customHeight="1">
      <c r="A274" s="1045" t="s">
        <v>481</v>
      </c>
      <c r="B274" s="1022" t="s">
        <v>482</v>
      </c>
      <c r="C274" s="1023"/>
      <c r="D274" s="1043" t="s">
        <v>483</v>
      </c>
      <c r="E274" s="924"/>
      <c r="F274" s="1023"/>
      <c r="G274" s="58"/>
      <c r="H274" s="58"/>
      <c r="I274" s="58"/>
      <c r="J274" s="58"/>
      <c r="K274" s="58"/>
      <c r="L274" s="58"/>
      <c r="M274" s="58"/>
      <c r="N274" s="58"/>
      <c r="O274" s="58"/>
      <c r="P274" s="58"/>
      <c r="Q274" s="58"/>
      <c r="R274" s="58"/>
    </row>
    <row r="275" spans="1:18" ht="15.75" customHeight="1">
      <c r="A275" s="1021"/>
      <c r="B275" s="175" t="s">
        <v>484</v>
      </c>
      <c r="C275" s="175" t="s">
        <v>485</v>
      </c>
      <c r="D275" s="243" t="s">
        <v>486</v>
      </c>
      <c r="E275" s="244" t="s">
        <v>484</v>
      </c>
      <c r="F275" s="175" t="s">
        <v>485</v>
      </c>
      <c r="G275" s="58"/>
      <c r="H275" s="58"/>
      <c r="I275" s="58"/>
      <c r="J275" s="58"/>
      <c r="K275" s="58"/>
      <c r="L275" s="58"/>
      <c r="M275" s="58"/>
      <c r="N275" s="58"/>
      <c r="O275" s="58"/>
      <c r="P275" s="58"/>
      <c r="Q275" s="58"/>
      <c r="R275" s="58"/>
    </row>
    <row r="276" spans="1:18" ht="15.75" customHeight="1">
      <c r="A276" s="1044" t="s">
        <v>487</v>
      </c>
      <c r="B276" s="485">
        <v>0.01</v>
      </c>
      <c r="C276" s="998" t="s">
        <v>488</v>
      </c>
      <c r="D276" s="245" t="s">
        <v>489</v>
      </c>
      <c r="E276" s="245">
        <v>1.4E-2</v>
      </c>
      <c r="F276" s="245" t="s">
        <v>490</v>
      </c>
      <c r="G276" s="58"/>
      <c r="H276" s="58"/>
      <c r="I276" s="58"/>
      <c r="J276" s="58"/>
      <c r="K276" s="58"/>
      <c r="L276" s="58"/>
      <c r="M276" s="58"/>
      <c r="N276" s="58"/>
      <c r="O276" s="58"/>
      <c r="P276" s="58"/>
      <c r="Q276" s="58"/>
      <c r="R276" s="58"/>
    </row>
    <row r="277" spans="1:18" ht="29.25" customHeight="1">
      <c r="A277" s="1037"/>
      <c r="B277" s="494"/>
      <c r="C277" s="1018"/>
      <c r="D277" s="159" t="s">
        <v>491</v>
      </c>
      <c r="E277" s="159">
        <v>5.0000000000000001E-3</v>
      </c>
      <c r="F277" s="159" t="s">
        <v>492</v>
      </c>
      <c r="G277" s="58"/>
      <c r="H277" s="58"/>
      <c r="I277" s="58"/>
      <c r="J277" s="58"/>
      <c r="K277" s="58"/>
      <c r="L277" s="58"/>
      <c r="M277" s="58"/>
      <c r="N277" s="58"/>
      <c r="O277" s="58"/>
      <c r="P277" s="58"/>
      <c r="Q277" s="58"/>
      <c r="R277" s="58"/>
    </row>
    <row r="278" spans="1:18" ht="33" customHeight="1">
      <c r="A278" s="495" t="s">
        <v>493</v>
      </c>
      <c r="B278" s="496">
        <v>1.0999999999999999E-2</v>
      </c>
      <c r="C278" s="188" t="s">
        <v>494</v>
      </c>
      <c r="D278" s="188" t="s">
        <v>495</v>
      </c>
      <c r="E278" s="188" t="s">
        <v>495</v>
      </c>
      <c r="F278" s="188" t="s">
        <v>495</v>
      </c>
      <c r="G278" s="58"/>
      <c r="H278" s="58"/>
      <c r="I278" s="58"/>
      <c r="J278" s="58"/>
      <c r="K278" s="58"/>
      <c r="L278" s="58"/>
      <c r="M278" s="58"/>
      <c r="N278" s="58"/>
      <c r="O278" s="58"/>
      <c r="P278" s="58"/>
      <c r="Q278" s="58"/>
      <c r="R278" s="58"/>
    </row>
    <row r="279" spans="1:18" ht="79.5" customHeight="1">
      <c r="A279" s="495" t="s">
        <v>496</v>
      </c>
      <c r="B279" s="496">
        <v>0.21</v>
      </c>
      <c r="C279" s="188" t="s">
        <v>497</v>
      </c>
      <c r="D279" s="188" t="s">
        <v>495</v>
      </c>
      <c r="E279" s="188" t="s">
        <v>495</v>
      </c>
      <c r="F279" s="188" t="s">
        <v>495</v>
      </c>
      <c r="G279" s="58"/>
      <c r="H279" s="58"/>
      <c r="I279" s="58"/>
      <c r="J279" s="58"/>
      <c r="K279" s="58"/>
      <c r="L279" s="58"/>
      <c r="M279" s="58"/>
      <c r="N279" s="58"/>
      <c r="O279" s="58"/>
      <c r="P279" s="58"/>
      <c r="Q279" s="58"/>
      <c r="R279" s="58"/>
    </row>
    <row r="280" spans="1:18" ht="79.5" customHeight="1">
      <c r="A280" s="497" t="s">
        <v>498</v>
      </c>
      <c r="B280" s="498">
        <v>0.24</v>
      </c>
      <c r="C280" s="246" t="s">
        <v>499</v>
      </c>
      <c r="D280" s="246" t="s">
        <v>495</v>
      </c>
      <c r="E280" s="246" t="s">
        <v>495</v>
      </c>
      <c r="F280" s="246" t="s">
        <v>495</v>
      </c>
      <c r="H280" s="58"/>
      <c r="I280" s="58"/>
      <c r="J280" s="58"/>
      <c r="K280" s="58"/>
      <c r="L280" s="58"/>
      <c r="M280" s="58"/>
      <c r="N280" s="58"/>
      <c r="O280" s="58"/>
      <c r="P280" s="58"/>
      <c r="Q280" s="58"/>
      <c r="R280" s="58"/>
    </row>
    <row r="281" spans="1:18" ht="15.75" customHeight="1">
      <c r="A281" s="58"/>
      <c r="B281" s="58"/>
      <c r="C281" s="58"/>
      <c r="D281" s="58"/>
      <c r="E281" s="58"/>
      <c r="F281" s="58"/>
      <c r="G281" s="58"/>
      <c r="H281" s="58"/>
      <c r="I281" s="58"/>
      <c r="J281" s="58"/>
      <c r="K281" s="58"/>
      <c r="L281" s="58"/>
      <c r="M281" s="58"/>
      <c r="N281" s="58"/>
      <c r="O281" s="58"/>
      <c r="P281" s="58"/>
      <c r="Q281" s="58"/>
      <c r="R281" s="58"/>
    </row>
    <row r="282" spans="1:18" ht="15.75" customHeight="1">
      <c r="A282" s="58"/>
      <c r="B282" s="58"/>
      <c r="C282" s="58"/>
      <c r="D282" s="58"/>
      <c r="E282" s="58"/>
      <c r="F282" s="58"/>
      <c r="G282" s="58"/>
      <c r="H282" s="58"/>
      <c r="I282" s="58"/>
      <c r="J282" s="58"/>
      <c r="K282" s="58"/>
      <c r="L282" s="58"/>
      <c r="M282" s="58"/>
      <c r="N282" s="58"/>
      <c r="O282" s="58"/>
      <c r="P282" s="58"/>
      <c r="Q282" s="58"/>
      <c r="R282" s="58"/>
    </row>
    <row r="283" spans="1:18" ht="50.25" customHeight="1">
      <c r="A283" s="991" t="s">
        <v>500</v>
      </c>
      <c r="B283" s="992"/>
      <c r="C283" s="992"/>
      <c r="D283" s="992"/>
      <c r="E283" s="992"/>
      <c r="F283" s="993"/>
      <c r="G283" s="58"/>
      <c r="H283" s="58"/>
      <c r="I283" s="58"/>
      <c r="J283" s="58"/>
      <c r="K283" s="58"/>
      <c r="L283" s="58"/>
      <c r="M283" s="58"/>
      <c r="N283" s="58"/>
      <c r="O283" s="58"/>
      <c r="P283" s="58"/>
      <c r="Q283" s="58"/>
      <c r="R283" s="58"/>
    </row>
    <row r="284" spans="1:18" ht="15.75" customHeight="1">
      <c r="A284" s="1045" t="s">
        <v>481</v>
      </c>
      <c r="B284" s="1022" t="s">
        <v>482</v>
      </c>
      <c r="C284" s="1023"/>
      <c r="D284" s="1043" t="s">
        <v>483</v>
      </c>
      <c r="E284" s="924"/>
      <c r="F284" s="1023"/>
      <c r="G284" s="58"/>
      <c r="H284" s="58"/>
      <c r="I284" s="58"/>
      <c r="J284" s="58"/>
      <c r="K284" s="58"/>
      <c r="L284" s="58"/>
      <c r="M284" s="58"/>
      <c r="N284" s="58"/>
      <c r="O284" s="58"/>
      <c r="P284" s="58"/>
      <c r="Q284" s="58"/>
      <c r="R284" s="58"/>
    </row>
    <row r="285" spans="1:18" ht="15.75" customHeight="1">
      <c r="A285" s="1021"/>
      <c r="B285" s="175" t="s">
        <v>484</v>
      </c>
      <c r="C285" s="175" t="s">
        <v>485</v>
      </c>
      <c r="D285" s="243" t="s">
        <v>486</v>
      </c>
      <c r="E285" s="244" t="s">
        <v>484</v>
      </c>
      <c r="F285" s="175" t="s">
        <v>485</v>
      </c>
      <c r="G285" s="58"/>
      <c r="H285" s="58"/>
      <c r="I285" s="58"/>
      <c r="J285" s="58"/>
      <c r="K285" s="58"/>
      <c r="L285" s="58"/>
      <c r="M285" s="58"/>
      <c r="N285" s="58"/>
      <c r="O285" s="58"/>
      <c r="P285" s="58"/>
      <c r="Q285" s="58"/>
      <c r="R285" s="58"/>
    </row>
    <row r="286" spans="1:18" ht="15.75" customHeight="1">
      <c r="A286" s="1044" t="s">
        <v>501</v>
      </c>
      <c r="B286" s="485">
        <v>4.0000000000000001E-3</v>
      </c>
      <c r="C286" s="998" t="s">
        <v>502</v>
      </c>
      <c r="D286" s="247" t="s">
        <v>503</v>
      </c>
      <c r="E286" s="245">
        <v>6.0000000000000001E-3</v>
      </c>
      <c r="F286" s="245" t="s">
        <v>504</v>
      </c>
      <c r="G286" s="58"/>
      <c r="H286" s="58"/>
      <c r="I286" s="58"/>
      <c r="J286" s="58"/>
      <c r="K286" s="58"/>
      <c r="L286" s="58"/>
      <c r="M286" s="58"/>
      <c r="N286" s="58"/>
      <c r="O286" s="58"/>
      <c r="P286" s="58"/>
      <c r="Q286" s="58"/>
      <c r="R286" s="58"/>
    </row>
    <row r="287" spans="1:18" ht="32.25" customHeight="1">
      <c r="A287" s="1042"/>
      <c r="B287" s="486"/>
      <c r="C287" s="1021"/>
      <c r="D287" s="248" t="s">
        <v>505</v>
      </c>
      <c r="E287" s="172">
        <v>2E-3</v>
      </c>
      <c r="F287" s="172" t="s">
        <v>506</v>
      </c>
      <c r="G287" s="58"/>
      <c r="H287" s="58"/>
      <c r="I287" s="58"/>
      <c r="J287" s="58"/>
      <c r="K287" s="58"/>
      <c r="L287" s="58"/>
      <c r="M287" s="58"/>
      <c r="N287" s="58"/>
      <c r="O287" s="58"/>
      <c r="P287" s="58"/>
      <c r="Q287" s="58"/>
      <c r="R287" s="58"/>
    </row>
    <row r="288" spans="1:18" ht="15.75" customHeight="1">
      <c r="A288" s="58"/>
      <c r="B288" s="58"/>
      <c r="C288" s="58"/>
      <c r="D288" s="58"/>
      <c r="E288" s="58"/>
      <c r="F288" s="58"/>
      <c r="G288" s="58"/>
      <c r="H288" s="58"/>
      <c r="I288" s="58"/>
      <c r="J288" s="58"/>
      <c r="K288" s="58"/>
      <c r="L288" s="58"/>
      <c r="M288" s="58"/>
      <c r="N288" s="58"/>
      <c r="O288" s="58"/>
      <c r="P288" s="58"/>
      <c r="Q288" s="58"/>
      <c r="R288" s="58"/>
    </row>
    <row r="289" spans="1:31" ht="15.75" customHeight="1">
      <c r="A289" s="58"/>
      <c r="B289" s="58"/>
      <c r="C289" s="58"/>
      <c r="D289" s="58"/>
      <c r="E289" s="58"/>
      <c r="F289" s="58"/>
      <c r="G289" s="58"/>
      <c r="H289" s="58"/>
      <c r="I289" s="58"/>
      <c r="J289" s="58"/>
      <c r="K289" s="58"/>
      <c r="L289" s="58"/>
      <c r="M289" s="58"/>
      <c r="N289" s="58"/>
      <c r="O289" s="58"/>
      <c r="P289" s="58"/>
      <c r="Q289" s="58"/>
      <c r="R289" s="58"/>
    </row>
    <row r="290" spans="1:31" ht="15.75" customHeight="1">
      <c r="A290" s="249"/>
      <c r="B290" s="250" t="s">
        <v>507</v>
      </c>
      <c r="C290" s="251" t="s">
        <v>508</v>
      </c>
      <c r="D290" s="252" t="s">
        <v>509</v>
      </c>
      <c r="E290" s="252" t="s">
        <v>510</v>
      </c>
      <c r="F290" s="252" t="s">
        <v>511</v>
      </c>
      <c r="G290" s="253" t="s">
        <v>1104</v>
      </c>
      <c r="H290" s="253" t="s">
        <v>1105</v>
      </c>
      <c r="I290" s="253" t="s">
        <v>1106</v>
      </c>
      <c r="J290" s="253" t="s">
        <v>1107</v>
      </c>
      <c r="K290" s="254" t="s">
        <v>1103</v>
      </c>
      <c r="L290" s="249"/>
      <c r="M290" s="249"/>
      <c r="N290" s="249"/>
      <c r="O290" s="249"/>
      <c r="P290" s="249"/>
      <c r="Q290" s="249"/>
      <c r="R290" s="249"/>
      <c r="S290" s="249"/>
      <c r="T290" s="249"/>
      <c r="U290" s="249"/>
      <c r="V290" s="249"/>
      <c r="W290" s="249"/>
      <c r="X290" s="249"/>
      <c r="Y290" s="249"/>
      <c r="Z290" s="249"/>
      <c r="AA290" s="249"/>
      <c r="AB290" s="249"/>
      <c r="AC290" s="249"/>
      <c r="AD290" s="249"/>
      <c r="AE290" s="249"/>
    </row>
    <row r="291" spans="1:31" ht="15.75" customHeight="1">
      <c r="A291" s="255" t="s">
        <v>512</v>
      </c>
      <c r="B291" s="256"/>
      <c r="C291" s="256"/>
      <c r="D291" s="256"/>
      <c r="E291" s="256"/>
      <c r="F291" s="256"/>
      <c r="G291" s="256"/>
      <c r="H291" s="256"/>
      <c r="I291" s="256"/>
      <c r="J291" s="256"/>
      <c r="K291" s="256"/>
      <c r="L291" s="249"/>
      <c r="M291" s="249"/>
      <c r="N291" s="249"/>
      <c r="O291" s="249"/>
      <c r="P291" s="249"/>
      <c r="Q291" s="249"/>
      <c r="R291" s="249"/>
      <c r="S291" s="249"/>
      <c r="T291" s="249"/>
      <c r="U291" s="249"/>
      <c r="V291" s="249"/>
      <c r="W291" s="249"/>
      <c r="X291" s="249"/>
      <c r="Y291" s="249"/>
      <c r="Z291" s="249"/>
      <c r="AA291" s="249"/>
      <c r="AB291" s="249"/>
      <c r="AC291" s="249"/>
      <c r="AD291" s="249"/>
      <c r="AE291" s="249"/>
    </row>
    <row r="292" spans="1:31" ht="15.75" customHeight="1">
      <c r="A292" s="257" t="s">
        <v>508</v>
      </c>
      <c r="B292" s="256"/>
      <c r="C292" s="258">
        <v>1</v>
      </c>
      <c r="D292" s="259">
        <v>0.9</v>
      </c>
      <c r="E292" s="259">
        <v>0.98</v>
      </c>
      <c r="F292" s="259">
        <v>1.03</v>
      </c>
      <c r="G292" s="259">
        <v>0.85</v>
      </c>
      <c r="H292" s="259">
        <v>0.95</v>
      </c>
      <c r="I292" s="259">
        <v>0.95</v>
      </c>
      <c r="J292" s="259">
        <v>0.98</v>
      </c>
      <c r="K292" s="259">
        <v>1.02</v>
      </c>
      <c r="L292" s="249"/>
      <c r="M292" s="249"/>
      <c r="N292" s="249"/>
      <c r="O292" s="249"/>
      <c r="P292" s="249"/>
      <c r="Q292" s="249"/>
      <c r="R292" s="249"/>
      <c r="S292" s="249"/>
      <c r="T292" s="249"/>
      <c r="U292" s="249"/>
      <c r="V292" s="249"/>
      <c r="W292" s="249"/>
      <c r="X292" s="249"/>
      <c r="Y292" s="249"/>
      <c r="Z292" s="249"/>
      <c r="AA292" s="249"/>
      <c r="AB292" s="249"/>
      <c r="AC292" s="249"/>
      <c r="AD292" s="249"/>
      <c r="AE292" s="249"/>
    </row>
    <row r="293" spans="1:31" ht="15.75" customHeight="1">
      <c r="A293" s="260" t="s">
        <v>509</v>
      </c>
      <c r="B293" s="256"/>
      <c r="C293" s="261"/>
      <c r="D293" s="258">
        <v>1</v>
      </c>
      <c r="E293" s="259">
        <v>1.0888888888888888</v>
      </c>
      <c r="F293" s="259">
        <v>1.1444444444444444</v>
      </c>
      <c r="G293" s="259">
        <v>0.94444444444444442</v>
      </c>
      <c r="H293" s="259">
        <v>1.0555555555555556</v>
      </c>
      <c r="I293" s="259">
        <v>1.0555555555555556</v>
      </c>
      <c r="J293" s="259">
        <v>1.0888888888888888</v>
      </c>
      <c r="K293" s="259">
        <v>1.1333333333333333</v>
      </c>
      <c r="L293" s="249"/>
      <c r="M293" s="249"/>
      <c r="N293" s="249"/>
      <c r="O293" s="249"/>
      <c r="P293" s="249"/>
      <c r="Q293" s="249"/>
      <c r="R293" s="249"/>
      <c r="S293" s="249"/>
      <c r="T293" s="249"/>
      <c r="U293" s="249"/>
      <c r="V293" s="249"/>
      <c r="W293" s="249"/>
      <c r="X293" s="249"/>
      <c r="Y293" s="249"/>
      <c r="Z293" s="249"/>
      <c r="AA293" s="249"/>
      <c r="AB293" s="249"/>
      <c r="AC293" s="249"/>
      <c r="AD293" s="249"/>
      <c r="AE293" s="249"/>
    </row>
    <row r="294" spans="1:31" ht="15.75" customHeight="1">
      <c r="A294" s="260" t="s">
        <v>510</v>
      </c>
      <c r="B294" s="256"/>
      <c r="C294" s="261"/>
      <c r="D294" s="259">
        <v>0.91836734693877553</v>
      </c>
      <c r="E294" s="258">
        <v>1</v>
      </c>
      <c r="F294" s="259">
        <v>1.0510204081632653</v>
      </c>
      <c r="G294" s="259">
        <v>0.86734693877551017</v>
      </c>
      <c r="H294" s="259">
        <v>0.96938775510204078</v>
      </c>
      <c r="I294" s="259">
        <v>0.96938775510204078</v>
      </c>
      <c r="J294" s="259">
        <v>1</v>
      </c>
      <c r="K294" s="259">
        <v>1.0408163265306123</v>
      </c>
      <c r="L294" s="249"/>
      <c r="M294" s="249"/>
      <c r="N294" s="249"/>
      <c r="O294" s="249"/>
      <c r="P294" s="249"/>
      <c r="Q294" s="249"/>
      <c r="R294" s="249"/>
      <c r="S294" s="249"/>
      <c r="T294" s="249"/>
      <c r="U294" s="249"/>
      <c r="V294" s="249"/>
      <c r="W294" s="249"/>
      <c r="X294" s="249"/>
      <c r="Y294" s="249"/>
      <c r="Z294" s="249"/>
      <c r="AA294" s="249"/>
      <c r="AB294" s="249"/>
      <c r="AC294" s="249"/>
      <c r="AD294" s="249"/>
      <c r="AE294" s="249"/>
    </row>
    <row r="295" spans="1:31" ht="15.75" customHeight="1">
      <c r="A295" s="260" t="s">
        <v>511</v>
      </c>
      <c r="B295" s="256"/>
      <c r="C295" s="261"/>
      <c r="D295" s="259">
        <v>0.87378640776699024</v>
      </c>
      <c r="E295" s="259">
        <v>0.95145631067961156</v>
      </c>
      <c r="F295" s="258">
        <v>1</v>
      </c>
      <c r="G295" s="259">
        <v>0.82524271844660191</v>
      </c>
      <c r="H295" s="259">
        <v>0.92233009708737856</v>
      </c>
      <c r="I295" s="259">
        <v>0.92233009708737856</v>
      </c>
      <c r="J295" s="259">
        <v>0.95145631067961156</v>
      </c>
      <c r="K295" s="259">
        <v>0.99029126213592233</v>
      </c>
      <c r="L295" s="249"/>
      <c r="M295" s="249"/>
      <c r="N295" s="249"/>
      <c r="O295" s="249"/>
      <c r="P295" s="249"/>
      <c r="Q295" s="249"/>
      <c r="R295" s="249"/>
      <c r="S295" s="249"/>
      <c r="T295" s="249"/>
      <c r="U295" s="249"/>
      <c r="V295" s="249"/>
      <c r="W295" s="249"/>
      <c r="X295" s="249"/>
      <c r="Y295" s="249"/>
      <c r="Z295" s="249"/>
      <c r="AA295" s="249"/>
      <c r="AB295" s="249"/>
      <c r="AC295" s="249"/>
      <c r="AD295" s="249"/>
      <c r="AE295" s="249"/>
    </row>
    <row r="296" spans="1:31" ht="15.75" customHeight="1">
      <c r="A296" s="253" t="s">
        <v>1104</v>
      </c>
      <c r="B296" s="256"/>
      <c r="C296" s="261"/>
      <c r="D296" s="259">
        <v>1.0588235294117647</v>
      </c>
      <c r="E296" s="259">
        <v>1.1529411764705881</v>
      </c>
      <c r="F296" s="259">
        <v>1.2117647058823531</v>
      </c>
      <c r="G296" s="258">
        <v>1</v>
      </c>
      <c r="H296" s="259">
        <v>1.1176470588235294</v>
      </c>
      <c r="I296" s="259">
        <v>1.1176470588235294</v>
      </c>
      <c r="J296" s="259">
        <v>1.1529411764705881</v>
      </c>
      <c r="K296" s="259">
        <v>1.2</v>
      </c>
      <c r="L296" s="249"/>
      <c r="M296" s="249"/>
      <c r="N296" s="249"/>
      <c r="O296" s="249"/>
      <c r="P296" s="249"/>
      <c r="Q296" s="249"/>
      <c r="R296" s="249"/>
      <c r="S296" s="249"/>
      <c r="T296" s="249"/>
      <c r="U296" s="249"/>
      <c r="V296" s="249"/>
      <c r="W296" s="249"/>
      <c r="X296" s="249"/>
      <c r="Y296" s="249"/>
      <c r="Z296" s="249"/>
      <c r="AA296" s="249"/>
      <c r="AB296" s="249"/>
      <c r="AC296" s="249"/>
      <c r="AD296" s="249"/>
      <c r="AE296" s="249"/>
    </row>
    <row r="297" spans="1:31" ht="15.75" customHeight="1">
      <c r="A297" s="253" t="s">
        <v>1105</v>
      </c>
      <c r="B297" s="256"/>
      <c r="C297" s="261"/>
      <c r="D297" s="259">
        <v>0.94736842105263164</v>
      </c>
      <c r="E297" s="259">
        <v>1.0315789473684212</v>
      </c>
      <c r="F297" s="259">
        <v>1.0842105263157895</v>
      </c>
      <c r="G297" s="259">
        <v>0.89473684210526316</v>
      </c>
      <c r="H297" s="258">
        <v>1</v>
      </c>
      <c r="I297" s="259">
        <v>1</v>
      </c>
      <c r="J297" s="259">
        <v>1.0315789473684212</v>
      </c>
      <c r="K297" s="259">
        <v>1.0736842105263158</v>
      </c>
      <c r="L297" s="249"/>
      <c r="M297" s="249"/>
      <c r="N297" s="249"/>
      <c r="O297" s="249"/>
      <c r="P297" s="249"/>
      <c r="Q297" s="249"/>
      <c r="R297" s="249"/>
      <c r="S297" s="249"/>
      <c r="T297" s="249"/>
      <c r="U297" s="249"/>
      <c r="V297" s="249"/>
      <c r="W297" s="249"/>
      <c r="X297" s="249"/>
      <c r="Y297" s="249"/>
      <c r="Z297" s="249"/>
      <c r="AA297" s="249"/>
      <c r="AB297" s="249"/>
      <c r="AC297" s="249"/>
      <c r="AD297" s="249"/>
      <c r="AE297" s="249"/>
    </row>
    <row r="298" spans="1:31" ht="15.75" customHeight="1">
      <c r="A298" s="253" t="s">
        <v>1106</v>
      </c>
      <c r="B298" s="256"/>
      <c r="C298" s="261"/>
      <c r="D298" s="259">
        <v>0.94736842105263164</v>
      </c>
      <c r="E298" s="259">
        <v>1.0315789473684212</v>
      </c>
      <c r="F298" s="259">
        <v>1.0842105263157895</v>
      </c>
      <c r="G298" s="259">
        <v>0.89473684210526316</v>
      </c>
      <c r="H298" s="259">
        <v>1</v>
      </c>
      <c r="I298" s="258">
        <v>1</v>
      </c>
      <c r="J298" s="259">
        <v>1.0888888888888888</v>
      </c>
      <c r="K298" s="259">
        <v>1.1333333333333333</v>
      </c>
      <c r="L298" s="249"/>
      <c r="M298" s="249"/>
      <c r="N298" s="249"/>
      <c r="O298" s="249"/>
      <c r="P298" s="249"/>
      <c r="Q298" s="249"/>
      <c r="R298" s="249"/>
      <c r="S298" s="249"/>
      <c r="T298" s="249"/>
      <c r="U298" s="249"/>
      <c r="V298" s="249"/>
      <c r="W298" s="249"/>
      <c r="X298" s="249"/>
      <c r="Y298" s="249"/>
      <c r="Z298" s="249"/>
      <c r="AA298" s="249"/>
      <c r="AB298" s="249"/>
      <c r="AC298" s="249"/>
      <c r="AD298" s="249"/>
      <c r="AE298" s="249"/>
    </row>
    <row r="299" spans="1:31" ht="15.75" customHeight="1">
      <c r="A299" s="262" t="s">
        <v>1107</v>
      </c>
      <c r="B299" s="256"/>
      <c r="C299" s="261"/>
      <c r="D299" s="259">
        <v>0.91836734693877553</v>
      </c>
      <c r="E299" s="259">
        <v>1</v>
      </c>
      <c r="F299" s="259">
        <v>1.0510204081632653</v>
      </c>
      <c r="G299" s="259">
        <v>0.86734693877551017</v>
      </c>
      <c r="H299" s="259">
        <v>0.96938775510204078</v>
      </c>
      <c r="I299" s="259">
        <v>0.96938775510204078</v>
      </c>
      <c r="J299" s="258">
        <v>1</v>
      </c>
      <c r="K299" s="259">
        <v>1.0408163265306123</v>
      </c>
      <c r="L299" s="249"/>
      <c r="M299" s="249"/>
      <c r="N299" s="249"/>
      <c r="O299" s="249"/>
      <c r="P299" s="249"/>
      <c r="Q299" s="249"/>
      <c r="R299" s="249"/>
      <c r="S299" s="249"/>
      <c r="T299" s="249"/>
      <c r="U299" s="249"/>
      <c r="V299" s="249"/>
      <c r="W299" s="249"/>
      <c r="X299" s="249"/>
      <c r="Y299" s="249"/>
      <c r="Z299" s="249"/>
      <c r="AA299" s="249"/>
      <c r="AB299" s="249"/>
      <c r="AC299" s="249"/>
      <c r="AD299" s="249"/>
      <c r="AE299" s="249"/>
    </row>
    <row r="300" spans="1:31" ht="15.75" customHeight="1">
      <c r="A300" s="254" t="s">
        <v>1103</v>
      </c>
      <c r="B300" s="256"/>
      <c r="C300" s="261"/>
      <c r="D300" s="259">
        <v>0.88235294117647056</v>
      </c>
      <c r="E300" s="259">
        <v>0.96078431372549011</v>
      </c>
      <c r="F300" s="259">
        <v>1.0098039215686274</v>
      </c>
      <c r="G300" s="259">
        <v>0.83333333333333326</v>
      </c>
      <c r="H300" s="259">
        <v>0.93137254901960775</v>
      </c>
      <c r="I300" s="259">
        <v>0.93137254901960775</v>
      </c>
      <c r="J300" s="259">
        <v>0.96078431372549011</v>
      </c>
      <c r="K300" s="258">
        <v>1</v>
      </c>
      <c r="L300" s="249"/>
      <c r="M300" s="249"/>
      <c r="N300" s="249"/>
      <c r="O300" s="249"/>
      <c r="P300" s="249"/>
      <c r="Q300" s="249"/>
      <c r="R300" s="249"/>
      <c r="S300" s="249"/>
      <c r="T300" s="249"/>
      <c r="U300" s="249"/>
      <c r="V300" s="249"/>
      <c r="W300" s="249"/>
      <c r="X300" s="249"/>
      <c r="Y300" s="249"/>
      <c r="Z300" s="249"/>
      <c r="AA300" s="249"/>
      <c r="AB300" s="249"/>
      <c r="AC300" s="249"/>
      <c r="AD300" s="249"/>
      <c r="AE300" s="249"/>
    </row>
    <row r="301" spans="1:31" ht="15.75" customHeight="1">
      <c r="A301" s="58"/>
      <c r="B301" s="58"/>
      <c r="C301" s="58"/>
      <c r="D301" s="58"/>
      <c r="E301" s="58"/>
      <c r="F301" s="58"/>
      <c r="G301" s="58"/>
      <c r="H301" s="58"/>
    </row>
    <row r="302" spans="1:31" ht="15.75" customHeight="1" thickBot="1">
      <c r="A302" s="58"/>
      <c r="B302" s="58"/>
      <c r="C302" s="58"/>
      <c r="D302" s="58"/>
      <c r="E302" s="58"/>
      <c r="F302" s="58"/>
      <c r="G302" s="58"/>
      <c r="H302" s="58"/>
    </row>
    <row r="303" spans="1:31" ht="15.75" customHeight="1" thickBot="1">
      <c r="A303" s="969" t="s">
        <v>1041</v>
      </c>
      <c r="B303" s="970"/>
      <c r="C303" s="970"/>
      <c r="D303" s="970"/>
      <c r="E303" s="970"/>
      <c r="F303" s="970"/>
      <c r="G303" s="970"/>
      <c r="H303" s="971"/>
      <c r="I303" s="487"/>
    </row>
    <row r="304" spans="1:31" ht="15.75" customHeight="1" thickBot="1">
      <c r="A304" s="967" t="s">
        <v>1042</v>
      </c>
      <c r="B304" s="967" t="s">
        <v>57</v>
      </c>
      <c r="C304" s="474" t="s">
        <v>1043</v>
      </c>
      <c r="D304" s="474" t="s">
        <v>1044</v>
      </c>
      <c r="E304" s="474" t="s">
        <v>1045</v>
      </c>
      <c r="F304" s="474" t="s">
        <v>1046</v>
      </c>
      <c r="G304" s="474" t="s">
        <v>1047</v>
      </c>
      <c r="H304" s="474" t="s">
        <v>1048</v>
      </c>
      <c r="I304" s="488"/>
    </row>
    <row r="305" spans="1:9" ht="15.75" customHeight="1" thickBot="1">
      <c r="A305" s="968"/>
      <c r="B305" s="968"/>
      <c r="C305" s="475" t="s">
        <v>1049</v>
      </c>
      <c r="D305" s="475" t="s">
        <v>1050</v>
      </c>
      <c r="E305" s="475" t="s">
        <v>1051</v>
      </c>
      <c r="F305" s="475" t="s">
        <v>1052</v>
      </c>
      <c r="G305" s="475" t="s">
        <v>1053</v>
      </c>
      <c r="H305" s="475" t="s">
        <v>1054</v>
      </c>
      <c r="I305" s="488"/>
    </row>
    <row r="306" spans="1:9" ht="15.75" customHeight="1">
      <c r="A306" s="476" t="s">
        <v>1055</v>
      </c>
      <c r="B306" s="476" t="s">
        <v>1039</v>
      </c>
      <c r="C306" s="476">
        <v>8</v>
      </c>
      <c r="D306" s="476">
        <v>166</v>
      </c>
      <c r="E306" s="476">
        <v>155</v>
      </c>
      <c r="F306" s="477">
        <f t="shared" ref="F306" si="0">E306/C306</f>
        <v>19.375</v>
      </c>
      <c r="G306" s="477">
        <f>E306/(D306*C306)</f>
        <v>0.11671686746987951</v>
      </c>
      <c r="H306" s="477">
        <f>AVERAGE(G306:G307)*500*0.4645*3.667</f>
        <v>83.972620626707268</v>
      </c>
      <c r="I306" s="489"/>
    </row>
    <row r="307" spans="1:9" ht="15.75" customHeight="1">
      <c r="A307" s="478" t="s">
        <v>1055</v>
      </c>
      <c r="B307" s="478" t="s">
        <v>1039</v>
      </c>
      <c r="C307" s="478">
        <v>5</v>
      </c>
      <c r="D307" s="478">
        <v>333</v>
      </c>
      <c r="E307" s="478">
        <v>134</v>
      </c>
      <c r="F307" s="479">
        <f>E307/C307</f>
        <v>26.8</v>
      </c>
      <c r="G307" s="479">
        <f>E307/(D307*C307)</f>
        <v>8.0480480480480482E-2</v>
      </c>
      <c r="H307" s="479"/>
      <c r="I307" s="489"/>
    </row>
    <row r="308" spans="1:9" ht="15.75" customHeight="1">
      <c r="A308" s="478" t="s">
        <v>1056</v>
      </c>
      <c r="B308" s="478" t="s">
        <v>1057</v>
      </c>
      <c r="C308" s="478">
        <v>10</v>
      </c>
      <c r="D308" s="478">
        <v>60</v>
      </c>
      <c r="E308" s="478">
        <v>40</v>
      </c>
      <c r="F308" s="479">
        <f t="shared" ref="F308" si="1">E308/C308</f>
        <v>4</v>
      </c>
      <c r="G308" s="479">
        <f t="shared" ref="G308" si="2">E308/(D308*C308)</f>
        <v>6.6666666666666666E-2</v>
      </c>
      <c r="H308" s="479">
        <f>AVERAGE(G308:G309)*620*0.4645*3.667</f>
        <v>70.403955333333343</v>
      </c>
      <c r="I308" s="489"/>
    </row>
    <row r="309" spans="1:9" ht="15.75" customHeight="1">
      <c r="A309" s="972"/>
      <c r="B309" s="972"/>
      <c r="C309" s="972"/>
      <c r="D309" s="972"/>
      <c r="E309" s="972"/>
      <c r="F309" s="972"/>
      <c r="G309" s="972"/>
      <c r="H309" s="480">
        <v>77.19</v>
      </c>
      <c r="I309" s="490"/>
    </row>
    <row r="310" spans="1:9" ht="15.75" customHeight="1">
      <c r="A310" s="481" t="s">
        <v>1058</v>
      </c>
      <c r="B310" s="683" t="s">
        <v>1059</v>
      </c>
      <c r="C310" s="481">
        <v>6</v>
      </c>
      <c r="D310" s="481">
        <v>166</v>
      </c>
      <c r="E310" s="481">
        <v>55</v>
      </c>
      <c r="F310" s="482">
        <f>E310/C310</f>
        <v>9.1666666666666661</v>
      </c>
      <c r="G310" s="482">
        <f>E310/(D310*C310)</f>
        <v>5.5220883534136546E-2</v>
      </c>
      <c r="H310" s="482">
        <f>AVERAGE(G310)*730*0.4645*3.667</f>
        <v>68.663010266064262</v>
      </c>
      <c r="I310" s="491"/>
    </row>
    <row r="311" spans="1:9" ht="15.75" customHeight="1">
      <c r="A311" s="481" t="s">
        <v>1060</v>
      </c>
      <c r="B311" s="481" t="s">
        <v>1059</v>
      </c>
      <c r="C311" s="481">
        <v>19</v>
      </c>
      <c r="D311" s="481">
        <v>222</v>
      </c>
      <c r="E311" s="481">
        <v>314.88400000000001</v>
      </c>
      <c r="F311" s="482">
        <f t="shared" ref="F311" si="3">E311/C311</f>
        <v>16.57284210526316</v>
      </c>
      <c r="G311" s="482">
        <f>F311/D311</f>
        <v>7.4652441915599818E-2</v>
      </c>
      <c r="H311" s="482">
        <f>AVERAGE(G307:G312)*493*0.4645*3.667</f>
        <v>58.156119742203806</v>
      </c>
      <c r="I311" s="491"/>
    </row>
    <row r="312" spans="1:9" ht="15.75" customHeight="1">
      <c r="A312" s="972"/>
      <c r="B312" s="972"/>
      <c r="C312" s="972"/>
      <c r="D312" s="972"/>
      <c r="E312" s="972"/>
      <c r="F312" s="972"/>
      <c r="G312" s="972"/>
      <c r="H312" s="480">
        <v>63.41</v>
      </c>
      <c r="I312" s="490"/>
    </row>
    <row r="313" spans="1:9" ht="15.75" customHeight="1">
      <c r="A313" s="481" t="s">
        <v>1060</v>
      </c>
      <c r="B313" s="481" t="s">
        <v>1040</v>
      </c>
      <c r="C313" s="481">
        <v>20</v>
      </c>
      <c r="D313" s="481">
        <v>95</v>
      </c>
      <c r="E313" s="481">
        <f>D313*1.55</f>
        <v>147.25</v>
      </c>
      <c r="F313" s="482">
        <f t="shared" ref="F313" si="4">E313/C313</f>
        <v>7.3624999999999998</v>
      </c>
      <c r="G313" s="482">
        <f>F313/D313</f>
        <v>7.7499999999999999E-2</v>
      </c>
      <c r="H313" s="482">
        <f>AVERAGE(G310:G315)*493*0.4645*3.667</f>
        <v>58.046385925387106</v>
      </c>
      <c r="I313" s="491"/>
    </row>
    <row r="314" spans="1:9" ht="15.75" customHeight="1" thickBot="1">
      <c r="A314" s="973"/>
      <c r="B314" s="973"/>
      <c r="C314" s="973"/>
      <c r="D314" s="973"/>
      <c r="E314" s="973"/>
      <c r="F314" s="973"/>
      <c r="G314" s="973"/>
      <c r="H314" s="483">
        <v>58.05</v>
      </c>
      <c r="I314" s="490"/>
    </row>
    <row r="315" spans="1:9" ht="15.75" customHeight="1">
      <c r="A315" t="s">
        <v>1061</v>
      </c>
      <c r="B315" s="484"/>
      <c r="C315" s="484"/>
      <c r="D315" s="484"/>
      <c r="I315" s="492"/>
    </row>
    <row r="316" spans="1:9" ht="15.75" customHeight="1">
      <c r="A316" s="974" t="s">
        <v>1062</v>
      </c>
      <c r="B316" s="974"/>
      <c r="C316" s="974"/>
      <c r="D316" s="974"/>
      <c r="E316" s="974"/>
      <c r="F316" s="974"/>
      <c r="G316" s="974"/>
      <c r="H316" s="974"/>
      <c r="I316" s="493"/>
    </row>
    <row r="317" spans="1:9" ht="15.75" customHeight="1">
      <c r="A317" t="s">
        <v>1063</v>
      </c>
      <c r="I317" s="492"/>
    </row>
    <row r="318" spans="1:9" ht="15.75" customHeight="1">
      <c r="A318" t="s">
        <v>1064</v>
      </c>
      <c r="I318" s="492"/>
    </row>
    <row r="319" spans="1:9" ht="15.75" customHeight="1"/>
    <row r="320" spans="1:9"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6">
    <mergeCell ref="C196:F196"/>
    <mergeCell ref="C197:F197"/>
    <mergeCell ref="A203:B203"/>
    <mergeCell ref="A204:B204"/>
    <mergeCell ref="A205:B205"/>
    <mergeCell ref="A206:B206"/>
    <mergeCell ref="A213:E213"/>
    <mergeCell ref="A196:B196"/>
    <mergeCell ref="A197:B197"/>
    <mergeCell ref="A198:B198"/>
    <mergeCell ref="A199:B199"/>
    <mergeCell ref="A200:B200"/>
    <mergeCell ref="A201:B201"/>
    <mergeCell ref="A202:B202"/>
    <mergeCell ref="A209:U209"/>
    <mergeCell ref="C198:F198"/>
    <mergeCell ref="C199:F199"/>
    <mergeCell ref="C200:F200"/>
    <mergeCell ref="C201:F201"/>
    <mergeCell ref="C202:F202"/>
    <mergeCell ref="C203:F203"/>
    <mergeCell ref="C204:F204"/>
    <mergeCell ref="A192:B192"/>
    <mergeCell ref="A193:B193"/>
    <mergeCell ref="A194:B194"/>
    <mergeCell ref="A195:B195"/>
    <mergeCell ref="C191:F191"/>
    <mergeCell ref="C192:F192"/>
    <mergeCell ref="C193:F193"/>
    <mergeCell ref="C194:F194"/>
    <mergeCell ref="C195:F195"/>
    <mergeCell ref="C177:F177"/>
    <mergeCell ref="C186:F186"/>
    <mergeCell ref="C187:F187"/>
    <mergeCell ref="C188:F188"/>
    <mergeCell ref="C189:F189"/>
    <mergeCell ref="C190:F190"/>
    <mergeCell ref="A189:B189"/>
    <mergeCell ref="A190:B190"/>
    <mergeCell ref="A191:B191"/>
    <mergeCell ref="A188:B188"/>
    <mergeCell ref="A283:F283"/>
    <mergeCell ref="A284:A285"/>
    <mergeCell ref="B284:C284"/>
    <mergeCell ref="D284:F284"/>
    <mergeCell ref="A286:A287"/>
    <mergeCell ref="C286:C287"/>
    <mergeCell ref="A240:D241"/>
    <mergeCell ref="A242:C242"/>
    <mergeCell ref="A243:C243"/>
    <mergeCell ref="A249:D249"/>
    <mergeCell ref="A250:A251"/>
    <mergeCell ref="A273:F273"/>
    <mergeCell ref="A274:A275"/>
    <mergeCell ref="A228:A229"/>
    <mergeCell ref="A230:A231"/>
    <mergeCell ref="B230:B231"/>
    <mergeCell ref="A238:A239"/>
    <mergeCell ref="B238:B239"/>
    <mergeCell ref="B274:C274"/>
    <mergeCell ref="D274:F274"/>
    <mergeCell ref="A276:A277"/>
    <mergeCell ref="C276:C277"/>
    <mergeCell ref="A222:A224"/>
    <mergeCell ref="B222:B224"/>
    <mergeCell ref="A145:A146"/>
    <mergeCell ref="B145:B146"/>
    <mergeCell ref="C145:E145"/>
    <mergeCell ref="A147:A148"/>
    <mergeCell ref="A149:A150"/>
    <mergeCell ref="A151:A152"/>
    <mergeCell ref="A153:A154"/>
    <mergeCell ref="C205:F205"/>
    <mergeCell ref="C206:F206"/>
    <mergeCell ref="A155:A156"/>
    <mergeCell ref="A157:A158"/>
    <mergeCell ref="A159:A160"/>
    <mergeCell ref="A161:A162"/>
    <mergeCell ref="A163:A164"/>
    <mergeCell ref="A168:A169"/>
    <mergeCell ref="A175:F175"/>
    <mergeCell ref="A171:A172"/>
    <mergeCell ref="A176:B178"/>
    <mergeCell ref="A179:B179"/>
    <mergeCell ref="A180:A184"/>
    <mergeCell ref="A185:A186"/>
    <mergeCell ref="A187:B187"/>
    <mergeCell ref="A113:A114"/>
    <mergeCell ref="A115:A116"/>
    <mergeCell ref="A117:A118"/>
    <mergeCell ref="A134:D134"/>
    <mergeCell ref="A135:D136"/>
    <mergeCell ref="C176:F176"/>
    <mergeCell ref="A137:D137"/>
    <mergeCell ref="A140:U140"/>
    <mergeCell ref="A144:E144"/>
    <mergeCell ref="A119:A120"/>
    <mergeCell ref="A121:A122"/>
    <mergeCell ref="A123:A124"/>
    <mergeCell ref="A125:A126"/>
    <mergeCell ref="A127:A128"/>
    <mergeCell ref="A129:A130"/>
    <mergeCell ref="A132:A133"/>
    <mergeCell ref="A53:A54"/>
    <mergeCell ref="A55:A56"/>
    <mergeCell ref="A57:A58"/>
    <mergeCell ref="A59:A60"/>
    <mergeCell ref="A61:A62"/>
    <mergeCell ref="A105:A106"/>
    <mergeCell ref="A107:A108"/>
    <mergeCell ref="A109:A110"/>
    <mergeCell ref="A111:A112"/>
    <mergeCell ref="B304:B305"/>
    <mergeCell ref="A303:H303"/>
    <mergeCell ref="A304:A305"/>
    <mergeCell ref="A309:G309"/>
    <mergeCell ref="A312:G312"/>
    <mergeCell ref="A314:G314"/>
    <mergeCell ref="A316:H316"/>
    <mergeCell ref="A1:U1"/>
    <mergeCell ref="A2:U2"/>
    <mergeCell ref="A3:U3"/>
    <mergeCell ref="A23:U23"/>
    <mergeCell ref="A26:C26"/>
    <mergeCell ref="A45:D45"/>
    <mergeCell ref="A47:A48"/>
    <mergeCell ref="A63:A64"/>
    <mergeCell ref="A68:A69"/>
    <mergeCell ref="A70:A71"/>
    <mergeCell ref="A72:A73"/>
    <mergeCell ref="A76:C76"/>
    <mergeCell ref="A95:B95"/>
    <mergeCell ref="A100:U100"/>
    <mergeCell ref="A103:D103"/>
    <mergeCell ref="A49:A50"/>
    <mergeCell ref="A51:A52"/>
  </mergeCells>
  <pageMargins left="0.511811024" right="0.511811024" top="0.78740157499999996" bottom="0.78740157499999996" header="0" footer="0"/>
  <pageSetup orientation="landscape"/>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51" workbookViewId="0">
      <selection activeCell="B67" sqref="B67:C67"/>
    </sheetView>
  </sheetViews>
  <sheetFormatPr defaultColWidth="14.42578125" defaultRowHeight="15" customHeight="1"/>
  <cols>
    <col min="1" max="1" width="9.140625" customWidth="1"/>
    <col min="2" max="2" width="20.140625" customWidth="1"/>
    <col min="3" max="3" width="64.5703125" customWidth="1"/>
    <col min="4" max="4" width="13.85546875" customWidth="1"/>
    <col min="5" max="13" width="9.140625" customWidth="1"/>
    <col min="14" max="24" width="8.7109375" customWidth="1"/>
  </cols>
  <sheetData>
    <row r="1" spans="1:26" ht="15.75">
      <c r="A1" s="88"/>
      <c r="B1" s="939" t="s">
        <v>170</v>
      </c>
      <c r="C1" s="940"/>
      <c r="D1" s="941"/>
      <c r="E1" s="88"/>
      <c r="F1" s="88"/>
      <c r="G1" s="88"/>
      <c r="H1" s="88"/>
      <c r="I1" s="88"/>
      <c r="J1" s="88"/>
      <c r="K1" s="88"/>
      <c r="L1" s="88"/>
      <c r="M1" s="88"/>
      <c r="N1" s="88"/>
      <c r="O1" s="88"/>
      <c r="P1" s="88"/>
      <c r="Q1" s="88"/>
      <c r="R1" s="88"/>
      <c r="S1" s="88"/>
      <c r="T1" s="88"/>
      <c r="U1" s="88"/>
      <c r="V1" s="88"/>
      <c r="W1" s="88"/>
      <c r="X1" s="88"/>
      <c r="Y1" s="88"/>
      <c r="Z1" s="88"/>
    </row>
    <row r="2" spans="1:26" ht="15.75" customHeight="1">
      <c r="A2" s="263"/>
      <c r="B2" s="1062" t="s">
        <v>171</v>
      </c>
      <c r="C2" s="943"/>
      <c r="D2" s="944"/>
      <c r="E2" s="264"/>
      <c r="F2" s="264"/>
      <c r="G2" s="264"/>
      <c r="H2" s="264"/>
      <c r="I2" s="264"/>
      <c r="J2" s="264"/>
      <c r="K2" s="264"/>
      <c r="L2" s="264"/>
      <c r="M2" s="264"/>
      <c r="N2" s="265"/>
      <c r="O2" s="265"/>
      <c r="P2" s="265"/>
      <c r="Q2" s="265"/>
      <c r="R2" s="265"/>
      <c r="S2" s="265"/>
      <c r="T2" s="265"/>
      <c r="U2" s="265"/>
      <c r="V2" s="265"/>
      <c r="W2" s="265"/>
      <c r="X2" s="265"/>
      <c r="Y2" s="265"/>
      <c r="Z2" s="265"/>
    </row>
    <row r="3" spans="1:26" ht="15.75" customHeight="1">
      <c r="A3" s="264"/>
      <c r="B3" s="264"/>
      <c r="C3" s="266"/>
      <c r="D3" s="264"/>
      <c r="E3" s="264"/>
      <c r="F3" s="264"/>
      <c r="G3" s="264"/>
      <c r="H3" s="264"/>
      <c r="I3" s="264"/>
      <c r="J3" s="264"/>
      <c r="K3" s="264"/>
      <c r="L3" s="264"/>
      <c r="M3" s="264"/>
      <c r="N3" s="264"/>
      <c r="O3" s="264"/>
      <c r="P3" s="264"/>
      <c r="Q3" s="264"/>
      <c r="R3" s="264"/>
      <c r="S3" s="264"/>
      <c r="T3" s="264"/>
      <c r="U3" s="264"/>
      <c r="V3" s="264"/>
      <c r="W3" s="264"/>
      <c r="X3" s="264"/>
      <c r="Y3" s="264"/>
      <c r="Z3" s="264"/>
    </row>
    <row r="4" spans="1:26" ht="36.75" customHeight="1">
      <c r="A4" s="264"/>
      <c r="B4" s="1063" t="s">
        <v>513</v>
      </c>
      <c r="C4" s="924"/>
      <c r="D4" s="1064"/>
      <c r="E4" s="264"/>
      <c r="F4" s="264"/>
      <c r="G4" s="264"/>
      <c r="H4" s="264"/>
      <c r="I4" s="264"/>
      <c r="J4" s="264"/>
      <c r="K4" s="264"/>
      <c r="L4" s="264"/>
      <c r="M4" s="264"/>
      <c r="N4" s="264"/>
      <c r="O4" s="264"/>
      <c r="P4" s="264"/>
      <c r="Q4" s="264"/>
      <c r="R4" s="264"/>
      <c r="S4" s="264"/>
      <c r="T4" s="264"/>
      <c r="U4" s="264"/>
      <c r="V4" s="264"/>
      <c r="W4" s="264"/>
      <c r="X4" s="264"/>
      <c r="Y4" s="264"/>
      <c r="Z4" s="264"/>
    </row>
    <row r="5" spans="1:26" ht="15.75" customHeight="1">
      <c r="A5" s="264"/>
      <c r="B5" s="1065" t="s">
        <v>514</v>
      </c>
      <c r="C5" s="1047"/>
      <c r="D5" s="1066"/>
      <c r="E5" s="264"/>
      <c r="F5" s="264"/>
      <c r="G5" s="264"/>
      <c r="H5" s="264"/>
      <c r="I5" s="264"/>
      <c r="J5" s="264"/>
      <c r="K5" s="264"/>
      <c r="L5" s="264"/>
      <c r="M5" s="264"/>
      <c r="N5" s="264"/>
      <c r="O5" s="264"/>
      <c r="P5" s="264"/>
      <c r="Q5" s="264"/>
      <c r="R5" s="264"/>
      <c r="S5" s="264"/>
      <c r="T5" s="264"/>
      <c r="U5" s="264"/>
      <c r="V5" s="264"/>
      <c r="W5" s="264"/>
      <c r="X5" s="264"/>
      <c r="Y5" s="264"/>
      <c r="Z5" s="264"/>
    </row>
    <row r="6" spans="1:26" ht="15.75" customHeight="1">
      <c r="A6" s="264"/>
      <c r="B6" s="1067"/>
      <c r="C6" s="987"/>
      <c r="D6" s="1068"/>
      <c r="E6" s="264"/>
      <c r="F6" s="264"/>
      <c r="G6" s="264"/>
      <c r="H6" s="264"/>
      <c r="I6" s="264"/>
      <c r="J6" s="264"/>
      <c r="K6" s="264"/>
      <c r="L6" s="264"/>
      <c r="M6" s="264"/>
      <c r="N6" s="264"/>
      <c r="O6" s="264"/>
      <c r="P6" s="264"/>
      <c r="Q6" s="264"/>
      <c r="R6" s="264"/>
      <c r="S6" s="264"/>
      <c r="T6" s="264"/>
      <c r="U6" s="264"/>
      <c r="V6" s="264"/>
      <c r="W6" s="264"/>
      <c r="X6" s="264"/>
      <c r="Y6" s="264"/>
      <c r="Z6" s="264"/>
    </row>
    <row r="7" spans="1:26" ht="15.75" customHeight="1">
      <c r="A7" s="264"/>
      <c r="B7" s="1069"/>
      <c r="C7" s="990"/>
      <c r="D7" s="1070"/>
      <c r="E7" s="264"/>
      <c r="F7" s="264"/>
      <c r="G7" s="264"/>
      <c r="H7" s="264"/>
      <c r="I7" s="264"/>
      <c r="J7" s="264"/>
      <c r="K7" s="264"/>
      <c r="L7" s="264"/>
      <c r="M7" s="264"/>
      <c r="N7" s="264"/>
      <c r="O7" s="264"/>
      <c r="P7" s="264"/>
      <c r="Q7" s="264"/>
      <c r="R7" s="264"/>
      <c r="S7" s="264"/>
      <c r="T7" s="264"/>
      <c r="U7" s="264"/>
      <c r="V7" s="264"/>
      <c r="W7" s="264"/>
      <c r="X7" s="264"/>
      <c r="Y7" s="264"/>
      <c r="Z7" s="264"/>
    </row>
    <row r="8" spans="1:26" ht="15.75" customHeight="1">
      <c r="A8" s="264"/>
      <c r="B8" s="1071" t="s">
        <v>515</v>
      </c>
      <c r="C8" s="1023"/>
      <c r="D8" s="1072" t="s">
        <v>516</v>
      </c>
      <c r="E8" s="264"/>
      <c r="F8" s="264"/>
      <c r="G8" s="264"/>
      <c r="H8" s="264"/>
      <c r="I8" s="264"/>
      <c r="J8" s="264"/>
      <c r="K8" s="264"/>
      <c r="L8" s="264"/>
      <c r="M8" s="264"/>
      <c r="N8" s="264"/>
      <c r="O8" s="264"/>
      <c r="P8" s="264"/>
      <c r="Q8" s="264"/>
      <c r="R8" s="264"/>
      <c r="S8" s="264"/>
      <c r="T8" s="264"/>
      <c r="U8" s="264"/>
      <c r="V8" s="264"/>
      <c r="W8" s="264"/>
      <c r="X8" s="264"/>
      <c r="Y8" s="264"/>
      <c r="Z8" s="264"/>
    </row>
    <row r="9" spans="1:26" ht="15.75" customHeight="1">
      <c r="A9" s="264"/>
      <c r="B9" s="267" t="s">
        <v>517</v>
      </c>
      <c r="C9" s="268" t="s">
        <v>334</v>
      </c>
      <c r="D9" s="1073"/>
      <c r="E9" s="264"/>
      <c r="F9" s="264"/>
      <c r="G9" s="264"/>
      <c r="H9" s="264"/>
      <c r="I9" s="264"/>
      <c r="J9" s="264"/>
      <c r="K9" s="264"/>
      <c r="L9" s="264"/>
      <c r="M9" s="264"/>
      <c r="N9" s="264"/>
      <c r="O9" s="264"/>
      <c r="P9" s="264"/>
      <c r="Q9" s="264"/>
      <c r="R9" s="264"/>
      <c r="S9" s="264"/>
      <c r="T9" s="264"/>
      <c r="U9" s="264"/>
      <c r="V9" s="264"/>
      <c r="W9" s="264"/>
      <c r="X9" s="264"/>
      <c r="Y9" s="264"/>
      <c r="Z9" s="264"/>
    </row>
    <row r="10" spans="1:26" ht="15.75" customHeight="1">
      <c r="A10" s="264"/>
      <c r="B10" s="269" t="s">
        <v>518</v>
      </c>
      <c r="C10" s="264" t="s">
        <v>519</v>
      </c>
      <c r="D10" s="270" t="s">
        <v>520</v>
      </c>
      <c r="E10" s="264"/>
      <c r="F10" s="264"/>
      <c r="G10" s="264"/>
      <c r="H10" s="264"/>
      <c r="I10" s="264"/>
      <c r="J10" s="264"/>
      <c r="K10" s="264"/>
      <c r="L10" s="264"/>
      <c r="M10" s="264"/>
      <c r="N10" s="264"/>
      <c r="O10" s="264"/>
      <c r="P10" s="264"/>
      <c r="Q10" s="264"/>
      <c r="R10" s="264"/>
      <c r="S10" s="264"/>
      <c r="T10" s="264"/>
      <c r="U10" s="264"/>
      <c r="V10" s="264"/>
      <c r="W10" s="264"/>
      <c r="X10" s="264"/>
      <c r="Y10" s="264"/>
      <c r="Z10" s="264"/>
    </row>
    <row r="11" spans="1:26" ht="15.75" customHeight="1">
      <c r="A11" s="264"/>
      <c r="B11" s="271" t="s">
        <v>521</v>
      </c>
      <c r="C11" s="272" t="s">
        <v>522</v>
      </c>
      <c r="D11" s="273" t="s">
        <v>520</v>
      </c>
      <c r="E11" s="264"/>
      <c r="F11" s="264"/>
      <c r="G11" s="264"/>
      <c r="H11" s="264"/>
      <c r="I11" s="264"/>
      <c r="J11" s="264"/>
      <c r="K11" s="264"/>
      <c r="L11" s="264"/>
      <c r="M11" s="264"/>
      <c r="N11" s="264"/>
      <c r="O11" s="264"/>
      <c r="P11" s="264"/>
      <c r="Q11" s="264"/>
      <c r="R11" s="264"/>
      <c r="S11" s="264"/>
      <c r="T11" s="264"/>
      <c r="U11" s="264"/>
      <c r="V11" s="264"/>
      <c r="W11" s="264"/>
      <c r="X11" s="264"/>
      <c r="Y11" s="264"/>
      <c r="Z11" s="264"/>
    </row>
    <row r="12" spans="1:26" ht="15.75" customHeight="1">
      <c r="A12" s="264"/>
      <c r="B12" s="271" t="s">
        <v>523</v>
      </c>
      <c r="C12" s="272" t="s">
        <v>524</v>
      </c>
      <c r="D12" s="273" t="s">
        <v>520</v>
      </c>
      <c r="E12" s="264"/>
      <c r="F12" s="264"/>
      <c r="G12" s="264"/>
      <c r="H12" s="264"/>
      <c r="I12" s="264"/>
      <c r="J12" s="264"/>
      <c r="K12" s="264"/>
      <c r="L12" s="264"/>
      <c r="M12" s="264"/>
      <c r="N12" s="264"/>
      <c r="O12" s="264"/>
      <c r="P12" s="264"/>
      <c r="Q12" s="264"/>
      <c r="R12" s="264"/>
      <c r="S12" s="264"/>
      <c r="T12" s="264"/>
      <c r="U12" s="264"/>
      <c r="V12" s="264"/>
      <c r="W12" s="264"/>
      <c r="X12" s="264"/>
      <c r="Y12" s="264"/>
      <c r="Z12" s="264"/>
    </row>
    <row r="13" spans="1:26" ht="15.75" customHeight="1">
      <c r="A13" s="264"/>
      <c r="B13" s="271" t="s">
        <v>525</v>
      </c>
      <c r="C13" s="272" t="s">
        <v>526</v>
      </c>
      <c r="D13" s="273" t="s">
        <v>520</v>
      </c>
      <c r="E13" s="264"/>
      <c r="F13" s="264"/>
      <c r="G13" s="264"/>
      <c r="H13" s="264"/>
      <c r="I13" s="264"/>
      <c r="J13" s="264"/>
      <c r="K13" s="264"/>
      <c r="L13" s="264"/>
      <c r="M13" s="264"/>
      <c r="N13" s="264"/>
      <c r="O13" s="264"/>
      <c r="P13" s="264"/>
      <c r="Q13" s="264"/>
      <c r="R13" s="264"/>
      <c r="S13" s="264"/>
      <c r="T13" s="264"/>
      <c r="U13" s="264"/>
      <c r="V13" s="264"/>
      <c r="W13" s="264"/>
      <c r="X13" s="264"/>
      <c r="Y13" s="264"/>
      <c r="Z13" s="264"/>
    </row>
    <row r="14" spans="1:26" ht="15.75" customHeight="1">
      <c r="A14" s="264"/>
      <c r="B14" s="271" t="s">
        <v>527</v>
      </c>
      <c r="C14" s="272" t="s">
        <v>528</v>
      </c>
      <c r="D14" s="273" t="s">
        <v>520</v>
      </c>
      <c r="E14" s="264"/>
      <c r="F14" s="264"/>
      <c r="G14" s="264"/>
      <c r="H14" s="264"/>
      <c r="I14" s="264"/>
      <c r="J14" s="264"/>
      <c r="K14" s="264"/>
      <c r="L14" s="264"/>
      <c r="M14" s="264"/>
      <c r="N14" s="264"/>
      <c r="O14" s="264"/>
      <c r="P14" s="264"/>
      <c r="Q14" s="264"/>
      <c r="R14" s="264"/>
      <c r="S14" s="264"/>
      <c r="T14" s="264"/>
      <c r="U14" s="264"/>
      <c r="V14" s="264"/>
      <c r="W14" s="264"/>
      <c r="X14" s="264"/>
      <c r="Y14" s="264"/>
      <c r="Z14" s="264"/>
    </row>
    <row r="15" spans="1:26" ht="15.75" customHeight="1">
      <c r="A15" s="264"/>
      <c r="B15" s="271" t="s">
        <v>529</v>
      </c>
      <c r="C15" s="272" t="s">
        <v>530</v>
      </c>
      <c r="D15" s="273" t="s">
        <v>520</v>
      </c>
      <c r="E15" s="264"/>
      <c r="F15" s="264"/>
      <c r="G15" s="264"/>
      <c r="H15" s="264"/>
      <c r="I15" s="264"/>
      <c r="J15" s="264"/>
      <c r="K15" s="264"/>
      <c r="L15" s="264"/>
      <c r="M15" s="264"/>
      <c r="N15" s="264"/>
      <c r="O15" s="264"/>
      <c r="P15" s="264"/>
      <c r="Q15" s="264"/>
      <c r="R15" s="264"/>
      <c r="S15" s="264"/>
      <c r="T15" s="264"/>
      <c r="U15" s="264"/>
      <c r="V15" s="264"/>
      <c r="W15" s="264"/>
      <c r="X15" s="264"/>
      <c r="Y15" s="264"/>
      <c r="Z15" s="264"/>
    </row>
    <row r="16" spans="1:26" ht="15.75" customHeight="1">
      <c r="A16" s="264"/>
      <c r="B16" s="271" t="s">
        <v>531</v>
      </c>
      <c r="C16" s="272" t="s">
        <v>532</v>
      </c>
      <c r="D16" s="273" t="s">
        <v>520</v>
      </c>
      <c r="E16" s="264"/>
      <c r="F16" s="264"/>
      <c r="G16" s="264"/>
      <c r="H16" s="264"/>
      <c r="I16" s="264"/>
      <c r="J16" s="264"/>
      <c r="K16" s="264"/>
      <c r="L16" s="264"/>
      <c r="M16" s="264"/>
      <c r="N16" s="264"/>
      <c r="O16" s="264"/>
      <c r="P16" s="264"/>
      <c r="Q16" s="264"/>
      <c r="R16" s="264"/>
      <c r="S16" s="264"/>
      <c r="T16" s="264"/>
      <c r="U16" s="264"/>
      <c r="V16" s="264"/>
      <c r="W16" s="264"/>
      <c r="X16" s="264"/>
      <c r="Y16" s="264"/>
      <c r="Z16" s="264"/>
    </row>
    <row r="17" spans="1:26" ht="15.75" customHeight="1">
      <c r="A17" s="264"/>
      <c r="B17" s="271" t="s">
        <v>533</v>
      </c>
      <c r="C17" s="274" t="s">
        <v>534</v>
      </c>
      <c r="D17" s="273" t="s">
        <v>520</v>
      </c>
      <c r="E17" s="264"/>
      <c r="F17" s="264"/>
      <c r="G17" s="264"/>
      <c r="H17" s="264"/>
      <c r="I17" s="264"/>
      <c r="J17" s="264"/>
      <c r="K17" s="264"/>
      <c r="L17" s="264"/>
      <c r="M17" s="264"/>
      <c r="N17" s="264"/>
      <c r="O17" s="264"/>
      <c r="P17" s="264"/>
      <c r="Q17" s="264"/>
      <c r="R17" s="264"/>
      <c r="S17" s="264"/>
      <c r="T17" s="264"/>
      <c r="U17" s="264"/>
      <c r="V17" s="264"/>
      <c r="W17" s="264"/>
      <c r="X17" s="264"/>
      <c r="Y17" s="264"/>
      <c r="Z17" s="264"/>
    </row>
    <row r="18" spans="1:26" ht="16.5" customHeight="1">
      <c r="A18" s="264"/>
      <c r="B18" s="271" t="s">
        <v>535</v>
      </c>
      <c r="C18" s="275" t="s">
        <v>536</v>
      </c>
      <c r="D18" s="273" t="s">
        <v>520</v>
      </c>
      <c r="E18" s="264"/>
      <c r="F18" s="264"/>
      <c r="G18" s="264"/>
      <c r="H18" s="264"/>
      <c r="I18" s="264"/>
      <c r="J18" s="264"/>
      <c r="K18" s="264"/>
      <c r="L18" s="264"/>
      <c r="M18" s="264"/>
      <c r="N18" s="264"/>
      <c r="O18" s="264"/>
      <c r="P18" s="264"/>
      <c r="Q18" s="264"/>
      <c r="R18" s="264"/>
      <c r="S18" s="264"/>
      <c r="T18" s="264"/>
      <c r="U18" s="264"/>
      <c r="V18" s="264"/>
      <c r="W18" s="264"/>
      <c r="X18" s="264"/>
      <c r="Y18" s="264"/>
      <c r="Z18" s="264"/>
    </row>
    <row r="19" spans="1:26" ht="38.25" customHeight="1">
      <c r="A19" s="264"/>
      <c r="B19" s="276" t="s">
        <v>537</v>
      </c>
      <c r="C19" s="277" t="s">
        <v>538</v>
      </c>
      <c r="D19" s="278" t="s">
        <v>520</v>
      </c>
      <c r="E19" s="264"/>
      <c r="F19" s="264"/>
      <c r="G19" s="264"/>
      <c r="H19" s="264"/>
      <c r="I19" s="264"/>
      <c r="J19" s="264"/>
      <c r="K19" s="264"/>
      <c r="L19" s="264"/>
      <c r="M19" s="264"/>
      <c r="N19" s="264"/>
      <c r="O19" s="264"/>
      <c r="P19" s="264"/>
      <c r="Q19" s="264"/>
      <c r="R19" s="264"/>
      <c r="S19" s="264"/>
      <c r="T19" s="264"/>
      <c r="U19" s="264"/>
      <c r="V19" s="264"/>
      <c r="W19" s="264"/>
      <c r="X19" s="264"/>
      <c r="Y19" s="264"/>
      <c r="Z19" s="264"/>
    </row>
    <row r="20" spans="1:26" ht="15.75" customHeight="1">
      <c r="A20" s="264"/>
      <c r="B20" s="264"/>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row>
    <row r="21" spans="1:26" ht="45.75" customHeight="1">
      <c r="A21" s="264"/>
      <c r="B21" s="1063" t="s">
        <v>539</v>
      </c>
      <c r="C21" s="924"/>
      <c r="D21" s="1064"/>
      <c r="E21" s="264"/>
      <c r="F21" s="264"/>
      <c r="G21" s="264"/>
      <c r="H21" s="264"/>
      <c r="I21" s="264"/>
      <c r="J21" s="264"/>
      <c r="K21" s="264"/>
      <c r="L21" s="264"/>
      <c r="M21" s="264"/>
      <c r="N21" s="264"/>
      <c r="O21" s="264"/>
      <c r="P21" s="264"/>
      <c r="Q21" s="264"/>
      <c r="R21" s="264"/>
      <c r="S21" s="264"/>
      <c r="T21" s="264"/>
      <c r="U21" s="264"/>
      <c r="V21" s="264"/>
      <c r="W21" s="264"/>
      <c r="X21" s="264"/>
      <c r="Y21" s="264"/>
      <c r="Z21" s="264"/>
    </row>
    <row r="22" spans="1:26" ht="15.75" customHeight="1">
      <c r="A22" s="264"/>
      <c r="B22" s="1065" t="s">
        <v>540</v>
      </c>
      <c r="C22" s="1047"/>
      <c r="D22" s="1066"/>
      <c r="E22" s="264"/>
      <c r="F22" s="264"/>
      <c r="G22" s="264"/>
      <c r="H22" s="264"/>
      <c r="I22" s="264"/>
      <c r="J22" s="264"/>
      <c r="K22" s="264"/>
      <c r="L22" s="264"/>
      <c r="M22" s="264"/>
      <c r="N22" s="264"/>
      <c r="O22" s="264"/>
      <c r="P22" s="264"/>
      <c r="Q22" s="264"/>
      <c r="R22" s="264"/>
      <c r="S22" s="264"/>
      <c r="T22" s="264"/>
      <c r="U22" s="264"/>
      <c r="V22" s="264"/>
      <c r="W22" s="264"/>
      <c r="X22" s="264"/>
      <c r="Y22" s="264"/>
      <c r="Z22" s="264"/>
    </row>
    <row r="23" spans="1:26" ht="15.75" customHeight="1">
      <c r="A23" s="264"/>
      <c r="B23" s="1067"/>
      <c r="C23" s="987"/>
      <c r="D23" s="1068"/>
      <c r="E23" s="264"/>
      <c r="F23" s="264"/>
      <c r="G23" s="264"/>
      <c r="H23" s="264"/>
      <c r="I23" s="264"/>
      <c r="J23" s="264"/>
      <c r="K23" s="264"/>
      <c r="L23" s="264"/>
      <c r="M23" s="264"/>
      <c r="N23" s="264"/>
      <c r="O23" s="264"/>
      <c r="P23" s="264"/>
      <c r="Q23" s="264"/>
      <c r="R23" s="264"/>
      <c r="S23" s="264"/>
      <c r="T23" s="264"/>
      <c r="U23" s="264"/>
      <c r="V23" s="264"/>
      <c r="W23" s="264"/>
      <c r="X23" s="264"/>
      <c r="Y23" s="264"/>
      <c r="Z23" s="264"/>
    </row>
    <row r="24" spans="1:26" ht="15.75" customHeight="1">
      <c r="A24" s="264"/>
      <c r="B24" s="1069"/>
      <c r="C24" s="990"/>
      <c r="D24" s="1070"/>
      <c r="E24" s="264"/>
      <c r="F24" s="264"/>
      <c r="G24" s="264"/>
      <c r="H24" s="264"/>
      <c r="I24" s="264"/>
      <c r="J24" s="264"/>
      <c r="K24" s="264"/>
      <c r="L24" s="264"/>
      <c r="M24" s="264"/>
      <c r="N24" s="264"/>
      <c r="O24" s="264"/>
      <c r="P24" s="264"/>
      <c r="Q24" s="264"/>
      <c r="R24" s="264"/>
      <c r="S24" s="264"/>
      <c r="T24" s="264"/>
      <c r="U24" s="264"/>
      <c r="V24" s="264"/>
      <c r="W24" s="264"/>
      <c r="X24" s="264"/>
      <c r="Y24" s="264"/>
      <c r="Z24" s="264"/>
    </row>
    <row r="25" spans="1:26" ht="15.75" customHeight="1">
      <c r="A25" s="264"/>
      <c r="B25" s="1071" t="s">
        <v>515</v>
      </c>
      <c r="C25" s="1023"/>
      <c r="D25" s="1072" t="s">
        <v>516</v>
      </c>
      <c r="E25" s="264"/>
      <c r="F25" s="264"/>
      <c r="G25" s="264"/>
      <c r="H25" s="264"/>
      <c r="I25" s="264"/>
      <c r="J25" s="264"/>
      <c r="K25" s="264"/>
      <c r="L25" s="264"/>
      <c r="M25" s="264"/>
      <c r="N25" s="264"/>
      <c r="O25" s="264"/>
      <c r="P25" s="264"/>
      <c r="Q25" s="264"/>
      <c r="R25" s="264"/>
      <c r="S25" s="264"/>
      <c r="T25" s="264"/>
      <c r="U25" s="264"/>
      <c r="V25" s="264"/>
      <c r="W25" s="264"/>
      <c r="X25" s="264"/>
      <c r="Y25" s="264"/>
      <c r="Z25" s="264"/>
    </row>
    <row r="26" spans="1:26" ht="15.75" customHeight="1">
      <c r="A26" s="264"/>
      <c r="B26" s="267" t="s">
        <v>517</v>
      </c>
      <c r="C26" s="268" t="s">
        <v>334</v>
      </c>
      <c r="D26" s="1073"/>
      <c r="E26" s="264"/>
      <c r="F26" s="264"/>
      <c r="G26" s="264"/>
      <c r="H26" s="264"/>
      <c r="I26" s="264"/>
      <c r="J26" s="264"/>
      <c r="K26" s="264"/>
      <c r="L26" s="264"/>
      <c r="M26" s="264"/>
      <c r="N26" s="264"/>
      <c r="O26" s="264"/>
      <c r="P26" s="264"/>
      <c r="Q26" s="264"/>
      <c r="R26" s="264"/>
      <c r="S26" s="264"/>
      <c r="T26" s="264"/>
      <c r="U26" s="264"/>
      <c r="V26" s="264"/>
      <c r="W26" s="264"/>
      <c r="X26" s="264"/>
      <c r="Y26" s="264"/>
      <c r="Z26" s="264"/>
    </row>
    <row r="27" spans="1:26" ht="15.75" customHeight="1">
      <c r="A27" s="264"/>
      <c r="B27" s="279" t="s">
        <v>541</v>
      </c>
      <c r="C27" s="264" t="s">
        <v>542</v>
      </c>
      <c r="D27" s="270" t="s">
        <v>520</v>
      </c>
      <c r="E27" s="264"/>
      <c r="F27" s="264"/>
      <c r="G27" s="264"/>
      <c r="H27" s="264"/>
      <c r="I27" s="264"/>
      <c r="J27" s="264"/>
      <c r="K27" s="264"/>
      <c r="L27" s="264"/>
      <c r="M27" s="264"/>
      <c r="N27" s="264"/>
      <c r="O27" s="264"/>
      <c r="P27" s="264"/>
      <c r="Q27" s="264"/>
      <c r="R27" s="264"/>
      <c r="S27" s="264"/>
      <c r="T27" s="264"/>
      <c r="U27" s="264"/>
      <c r="V27" s="264"/>
      <c r="W27" s="264"/>
      <c r="X27" s="264"/>
      <c r="Y27" s="264"/>
      <c r="Z27" s="264"/>
    </row>
    <row r="28" spans="1:26" ht="15.75" customHeight="1">
      <c r="A28" s="264"/>
      <c r="B28" s="280" t="s">
        <v>543</v>
      </c>
      <c r="C28" s="281" t="s">
        <v>544</v>
      </c>
      <c r="D28" s="282" t="s">
        <v>545</v>
      </c>
      <c r="E28" s="264"/>
      <c r="F28" s="264"/>
      <c r="G28" s="264"/>
      <c r="H28" s="264"/>
      <c r="I28" s="264"/>
      <c r="J28" s="264"/>
      <c r="K28" s="264"/>
      <c r="L28" s="264"/>
      <c r="M28" s="264"/>
      <c r="N28" s="264"/>
      <c r="O28" s="264"/>
      <c r="P28" s="264"/>
      <c r="Q28" s="264"/>
      <c r="R28" s="264"/>
      <c r="S28" s="264"/>
      <c r="T28" s="264"/>
      <c r="U28" s="264"/>
      <c r="V28" s="264"/>
      <c r="W28" s="264"/>
      <c r="X28" s="264"/>
      <c r="Y28" s="264"/>
      <c r="Z28" s="264"/>
    </row>
    <row r="29" spans="1:26" ht="15.75" customHeight="1">
      <c r="A29" s="264"/>
      <c r="B29" s="283" t="s">
        <v>546</v>
      </c>
      <c r="C29" s="284" t="s">
        <v>547</v>
      </c>
      <c r="D29" s="285" t="s">
        <v>520</v>
      </c>
      <c r="E29" s="264"/>
      <c r="F29" s="264"/>
      <c r="G29" s="264"/>
      <c r="H29" s="264"/>
      <c r="I29" s="264"/>
      <c r="J29" s="264"/>
      <c r="K29" s="264"/>
      <c r="L29" s="264"/>
      <c r="M29" s="264"/>
      <c r="N29" s="264"/>
      <c r="O29" s="264"/>
      <c r="P29" s="264"/>
      <c r="Q29" s="264"/>
      <c r="R29" s="264"/>
      <c r="S29" s="264"/>
      <c r="T29" s="264"/>
      <c r="U29" s="264"/>
      <c r="V29" s="264"/>
      <c r="W29" s="264"/>
      <c r="X29" s="264"/>
      <c r="Y29" s="264"/>
      <c r="Z29" s="264"/>
    </row>
    <row r="30" spans="1:26" ht="15.75" customHeight="1">
      <c r="A30" s="264"/>
      <c r="B30" s="264"/>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row>
    <row r="31" spans="1:26" ht="32.25" customHeight="1">
      <c r="A31" s="264"/>
      <c r="B31" s="1063" t="s">
        <v>548</v>
      </c>
      <c r="C31" s="924"/>
      <c r="D31" s="1064"/>
      <c r="E31" s="264"/>
      <c r="F31" s="264"/>
      <c r="G31" s="264"/>
      <c r="H31" s="264"/>
      <c r="I31" s="264"/>
      <c r="J31" s="264"/>
      <c r="K31" s="264"/>
      <c r="L31" s="264"/>
      <c r="M31" s="264"/>
      <c r="N31" s="264"/>
      <c r="O31" s="264"/>
      <c r="P31" s="264"/>
      <c r="Q31" s="264"/>
      <c r="R31" s="264"/>
      <c r="S31" s="264"/>
      <c r="T31" s="264"/>
      <c r="U31" s="264"/>
      <c r="V31" s="264"/>
      <c r="W31" s="264"/>
      <c r="X31" s="264"/>
      <c r="Y31" s="264"/>
      <c r="Z31" s="264"/>
    </row>
    <row r="32" spans="1:26" ht="15.75" customHeight="1">
      <c r="A32" s="264"/>
      <c r="B32" s="1065" t="s">
        <v>549</v>
      </c>
      <c r="C32" s="1047"/>
      <c r="D32" s="1066"/>
      <c r="E32" s="264"/>
      <c r="F32" s="264"/>
      <c r="G32" s="264"/>
      <c r="H32" s="264"/>
      <c r="I32" s="264"/>
      <c r="J32" s="264"/>
      <c r="K32" s="264"/>
      <c r="L32" s="264"/>
      <c r="M32" s="264"/>
      <c r="N32" s="264"/>
      <c r="O32" s="264"/>
      <c r="P32" s="264"/>
      <c r="Q32" s="264"/>
      <c r="R32" s="264"/>
      <c r="S32" s="264"/>
      <c r="T32" s="264"/>
      <c r="U32" s="264"/>
      <c r="V32" s="264"/>
      <c r="W32" s="264"/>
      <c r="X32" s="264"/>
      <c r="Y32" s="264"/>
      <c r="Z32" s="264"/>
    </row>
    <row r="33" spans="1:26" ht="15.75" customHeight="1">
      <c r="A33" s="264"/>
      <c r="B33" s="1067"/>
      <c r="C33" s="987"/>
      <c r="D33" s="1068"/>
      <c r="E33" s="264"/>
      <c r="F33" s="264"/>
      <c r="G33" s="264"/>
      <c r="H33" s="264"/>
      <c r="I33" s="264"/>
      <c r="J33" s="264"/>
      <c r="K33" s="264"/>
      <c r="L33" s="264"/>
      <c r="M33" s="264"/>
      <c r="N33" s="264"/>
      <c r="O33" s="264"/>
      <c r="P33" s="264"/>
      <c r="Q33" s="264"/>
      <c r="R33" s="264"/>
      <c r="S33" s="264"/>
      <c r="T33" s="264"/>
      <c r="U33" s="264"/>
      <c r="V33" s="264"/>
      <c r="W33" s="264"/>
      <c r="X33" s="264"/>
      <c r="Y33" s="264"/>
      <c r="Z33" s="264"/>
    </row>
    <row r="34" spans="1:26" ht="15.75" customHeight="1">
      <c r="A34" s="264"/>
      <c r="B34" s="1069"/>
      <c r="C34" s="990"/>
      <c r="D34" s="1070"/>
      <c r="E34" s="264"/>
      <c r="F34" s="264"/>
      <c r="G34" s="264"/>
      <c r="H34" s="264"/>
      <c r="I34" s="264"/>
      <c r="J34" s="264"/>
      <c r="K34" s="264"/>
      <c r="L34" s="264"/>
      <c r="M34" s="264"/>
      <c r="N34" s="264"/>
      <c r="O34" s="264"/>
      <c r="P34" s="264"/>
      <c r="Q34" s="264"/>
      <c r="R34" s="264"/>
      <c r="S34" s="264"/>
      <c r="T34" s="264"/>
      <c r="U34" s="264"/>
      <c r="V34" s="264"/>
      <c r="W34" s="264"/>
      <c r="X34" s="264"/>
      <c r="Y34" s="264"/>
      <c r="Z34" s="264"/>
    </row>
    <row r="35" spans="1:26" ht="15.75" customHeight="1">
      <c r="A35" s="264"/>
      <c r="B35" s="1071" t="s">
        <v>515</v>
      </c>
      <c r="C35" s="1023"/>
      <c r="D35" s="1072" t="s">
        <v>516</v>
      </c>
      <c r="E35" s="264"/>
      <c r="F35" s="264"/>
      <c r="G35" s="264"/>
      <c r="H35" s="264"/>
      <c r="I35" s="264"/>
      <c r="J35" s="264"/>
      <c r="K35" s="264"/>
      <c r="L35" s="264"/>
      <c r="M35" s="264"/>
      <c r="N35" s="264"/>
      <c r="O35" s="264"/>
      <c r="P35" s="264"/>
      <c r="Q35" s="264"/>
      <c r="R35" s="264"/>
      <c r="S35" s="264"/>
      <c r="T35" s="264"/>
      <c r="U35" s="264"/>
      <c r="V35" s="264"/>
      <c r="W35" s="264"/>
      <c r="X35" s="264"/>
      <c r="Y35" s="264"/>
      <c r="Z35" s="264"/>
    </row>
    <row r="36" spans="1:26" ht="15.75" customHeight="1">
      <c r="A36" s="264"/>
      <c r="B36" s="267" t="s">
        <v>517</v>
      </c>
      <c r="C36" s="268" t="s">
        <v>334</v>
      </c>
      <c r="D36" s="1073"/>
      <c r="E36" s="264"/>
      <c r="F36" s="264"/>
      <c r="G36" s="264"/>
      <c r="H36" s="264"/>
      <c r="I36" s="264"/>
      <c r="J36" s="264"/>
      <c r="K36" s="264"/>
      <c r="L36" s="264"/>
      <c r="M36" s="264"/>
      <c r="N36" s="264"/>
      <c r="O36" s="264"/>
      <c r="P36" s="264"/>
      <c r="Q36" s="264"/>
      <c r="R36" s="264"/>
      <c r="S36" s="264"/>
      <c r="T36" s="264"/>
      <c r="U36" s="264"/>
      <c r="V36" s="264"/>
      <c r="W36" s="264"/>
      <c r="X36" s="264"/>
      <c r="Y36" s="264"/>
      <c r="Z36" s="264"/>
    </row>
    <row r="37" spans="1:26" ht="15.75" customHeight="1">
      <c r="A37" s="264"/>
      <c r="B37" s="286" t="s">
        <v>550</v>
      </c>
      <c r="C37" s="264" t="s">
        <v>551</v>
      </c>
      <c r="D37" s="273" t="s">
        <v>520</v>
      </c>
      <c r="E37" s="264"/>
      <c r="F37" s="264"/>
      <c r="G37" s="264"/>
      <c r="H37" s="264"/>
      <c r="I37" s="264"/>
      <c r="J37" s="264"/>
      <c r="K37" s="264"/>
      <c r="L37" s="264"/>
      <c r="M37" s="264"/>
      <c r="N37" s="264"/>
      <c r="O37" s="264"/>
      <c r="P37" s="264"/>
      <c r="Q37" s="264"/>
      <c r="R37" s="264"/>
      <c r="S37" s="264"/>
      <c r="T37" s="264"/>
      <c r="U37" s="264"/>
      <c r="V37" s="264"/>
      <c r="W37" s="264"/>
      <c r="X37" s="264"/>
      <c r="Y37" s="264"/>
      <c r="Z37" s="264"/>
    </row>
    <row r="38" spans="1:26" ht="88.5" customHeight="1">
      <c r="A38" s="264"/>
      <c r="B38" s="286" t="s">
        <v>552</v>
      </c>
      <c r="C38" s="287" t="s">
        <v>553</v>
      </c>
      <c r="D38" s="282" t="s">
        <v>545</v>
      </c>
      <c r="E38" s="264"/>
      <c r="F38" s="264"/>
      <c r="G38" s="264"/>
      <c r="H38" s="264"/>
      <c r="I38" s="264"/>
      <c r="J38" s="264"/>
      <c r="K38" s="264"/>
      <c r="L38" s="264"/>
      <c r="M38" s="264"/>
      <c r="N38" s="264"/>
      <c r="O38" s="264"/>
      <c r="P38" s="264"/>
      <c r="Q38" s="264"/>
      <c r="R38" s="264"/>
      <c r="S38" s="264"/>
      <c r="T38" s="264"/>
      <c r="U38" s="264"/>
      <c r="V38" s="264"/>
      <c r="W38" s="264"/>
      <c r="X38" s="264"/>
      <c r="Y38" s="264"/>
      <c r="Z38" s="264"/>
    </row>
    <row r="39" spans="1:26" ht="15.75" customHeight="1">
      <c r="A39" s="264"/>
      <c r="B39" s="276" t="s">
        <v>554</v>
      </c>
      <c r="C39" s="288" t="s">
        <v>555</v>
      </c>
      <c r="D39" s="278" t="s">
        <v>520</v>
      </c>
      <c r="E39" s="264"/>
      <c r="F39" s="264"/>
      <c r="G39" s="264"/>
      <c r="H39" s="264"/>
      <c r="I39" s="264"/>
      <c r="J39" s="264"/>
      <c r="K39" s="264"/>
      <c r="L39" s="264"/>
      <c r="M39" s="264"/>
      <c r="N39" s="264"/>
      <c r="O39" s="264"/>
      <c r="P39" s="264"/>
      <c r="Q39" s="264"/>
      <c r="R39" s="264"/>
      <c r="S39" s="264"/>
      <c r="T39" s="264"/>
      <c r="U39" s="264"/>
      <c r="V39" s="264"/>
      <c r="W39" s="264"/>
      <c r="X39" s="264"/>
      <c r="Y39" s="264"/>
      <c r="Z39" s="264"/>
    </row>
    <row r="40" spans="1:26" ht="15.75" customHeight="1">
      <c r="A40" s="264"/>
      <c r="B40" s="264"/>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row>
    <row r="41" spans="1:26" ht="31.5" customHeight="1">
      <c r="A41" s="264"/>
      <c r="B41" s="1063" t="s">
        <v>556</v>
      </c>
      <c r="C41" s="924"/>
      <c r="D41" s="1064"/>
      <c r="E41" s="264"/>
      <c r="F41" s="264"/>
      <c r="G41" s="264"/>
      <c r="H41" s="264"/>
      <c r="I41" s="264"/>
      <c r="J41" s="264"/>
      <c r="K41" s="264"/>
      <c r="L41" s="264"/>
      <c r="M41" s="264"/>
      <c r="N41" s="264"/>
      <c r="O41" s="264"/>
      <c r="P41" s="264"/>
      <c r="Q41" s="264"/>
      <c r="R41" s="264"/>
      <c r="S41" s="264"/>
      <c r="T41" s="264"/>
      <c r="U41" s="264"/>
      <c r="V41" s="264"/>
      <c r="W41" s="264"/>
      <c r="X41" s="264"/>
      <c r="Y41" s="264"/>
      <c r="Z41" s="264"/>
    </row>
    <row r="42" spans="1:26" ht="15.75" customHeight="1">
      <c r="A42" s="264"/>
      <c r="B42" s="1065" t="s">
        <v>557</v>
      </c>
      <c r="C42" s="1047"/>
      <c r="D42" s="1066"/>
      <c r="E42" s="264"/>
      <c r="F42" s="264"/>
      <c r="G42" s="264"/>
      <c r="H42" s="264"/>
      <c r="I42" s="264"/>
      <c r="J42" s="264"/>
      <c r="K42" s="264"/>
      <c r="L42" s="264"/>
      <c r="M42" s="264"/>
      <c r="N42" s="264"/>
      <c r="O42" s="264"/>
      <c r="P42" s="264"/>
      <c r="Q42" s="264"/>
      <c r="R42" s="264"/>
      <c r="S42" s="264"/>
      <c r="T42" s="264"/>
      <c r="U42" s="264"/>
      <c r="V42" s="264"/>
      <c r="W42" s="264"/>
      <c r="X42" s="264"/>
      <c r="Y42" s="264"/>
      <c r="Z42" s="264"/>
    </row>
    <row r="43" spans="1:26" ht="15.75" customHeight="1">
      <c r="A43" s="264"/>
      <c r="B43" s="1067"/>
      <c r="C43" s="987"/>
      <c r="D43" s="1068"/>
      <c r="E43" s="264"/>
      <c r="F43" s="264"/>
      <c r="G43" s="264"/>
      <c r="H43" s="264"/>
      <c r="I43" s="264"/>
      <c r="J43" s="264"/>
      <c r="K43" s="264"/>
      <c r="L43" s="264"/>
      <c r="M43" s="264"/>
      <c r="N43" s="264"/>
      <c r="O43" s="264"/>
      <c r="P43" s="264"/>
      <c r="Q43" s="264"/>
      <c r="R43" s="264"/>
      <c r="S43" s="264"/>
      <c r="T43" s="264"/>
      <c r="U43" s="264"/>
      <c r="V43" s="264"/>
      <c r="W43" s="264"/>
      <c r="X43" s="264"/>
      <c r="Y43" s="264"/>
      <c r="Z43" s="264"/>
    </row>
    <row r="44" spans="1:26" ht="15.75" customHeight="1">
      <c r="A44" s="264"/>
      <c r="B44" s="1069"/>
      <c r="C44" s="990"/>
      <c r="D44" s="1070"/>
      <c r="E44" s="264"/>
      <c r="F44" s="264"/>
      <c r="G44" s="264"/>
      <c r="H44" s="264"/>
      <c r="I44" s="264"/>
      <c r="J44" s="264"/>
      <c r="K44" s="264"/>
      <c r="L44" s="264"/>
      <c r="M44" s="264"/>
      <c r="N44" s="264"/>
      <c r="O44" s="264"/>
      <c r="P44" s="264"/>
      <c r="Q44" s="264"/>
      <c r="R44" s="264"/>
      <c r="S44" s="264"/>
      <c r="T44" s="264"/>
      <c r="U44" s="264"/>
      <c r="V44" s="264"/>
      <c r="W44" s="264"/>
      <c r="X44" s="264"/>
      <c r="Y44" s="264"/>
      <c r="Z44" s="264"/>
    </row>
    <row r="45" spans="1:26" ht="15.75" customHeight="1">
      <c r="A45" s="264"/>
      <c r="B45" s="1071" t="s">
        <v>515</v>
      </c>
      <c r="C45" s="1023"/>
      <c r="D45" s="1072" t="s">
        <v>516</v>
      </c>
      <c r="E45" s="264"/>
      <c r="F45" s="264"/>
      <c r="G45" s="264"/>
      <c r="H45" s="264"/>
      <c r="I45" s="264"/>
      <c r="J45" s="264"/>
      <c r="K45" s="264"/>
      <c r="L45" s="264"/>
      <c r="M45" s="264"/>
      <c r="N45" s="264"/>
      <c r="O45" s="264"/>
      <c r="P45" s="264"/>
      <c r="Q45" s="264"/>
      <c r="R45" s="264"/>
      <c r="S45" s="264"/>
      <c r="T45" s="264"/>
      <c r="U45" s="264"/>
      <c r="V45" s="264"/>
      <c r="W45" s="264"/>
      <c r="X45" s="264"/>
      <c r="Y45" s="264"/>
      <c r="Z45" s="264"/>
    </row>
    <row r="46" spans="1:26" ht="15.75" customHeight="1">
      <c r="A46" s="264"/>
      <c r="B46" s="267" t="s">
        <v>517</v>
      </c>
      <c r="C46" s="268" t="s">
        <v>334</v>
      </c>
      <c r="D46" s="1073"/>
      <c r="E46" s="264"/>
      <c r="F46" s="264"/>
      <c r="G46" s="264"/>
      <c r="H46" s="264"/>
      <c r="I46" s="264"/>
      <c r="J46" s="264"/>
      <c r="K46" s="264"/>
      <c r="L46" s="264"/>
      <c r="M46" s="264"/>
      <c r="N46" s="264"/>
      <c r="O46" s="264"/>
      <c r="P46" s="264"/>
      <c r="Q46" s="264"/>
      <c r="R46" s="264"/>
      <c r="S46" s="264"/>
      <c r="T46" s="264"/>
      <c r="U46" s="264"/>
      <c r="V46" s="264"/>
      <c r="W46" s="264"/>
      <c r="X46" s="264"/>
      <c r="Y46" s="264"/>
      <c r="Z46" s="264"/>
    </row>
    <row r="47" spans="1:26" ht="15.75" customHeight="1">
      <c r="A47" s="264"/>
      <c r="B47" s="289" t="s">
        <v>558</v>
      </c>
      <c r="C47" s="264" t="s">
        <v>559</v>
      </c>
      <c r="D47" s="290" t="s">
        <v>520</v>
      </c>
      <c r="E47" s="264"/>
      <c r="F47" s="264"/>
      <c r="G47" s="264"/>
      <c r="H47" s="264"/>
      <c r="I47" s="264"/>
      <c r="J47" s="264"/>
      <c r="K47" s="264"/>
      <c r="L47" s="264"/>
      <c r="M47" s="264"/>
      <c r="N47" s="264"/>
      <c r="O47" s="264"/>
      <c r="P47" s="264"/>
      <c r="Q47" s="264"/>
      <c r="R47" s="264"/>
      <c r="S47" s="264"/>
      <c r="T47" s="264"/>
      <c r="U47" s="264"/>
      <c r="V47" s="264"/>
      <c r="W47" s="264"/>
      <c r="X47" s="264"/>
      <c r="Y47" s="264"/>
      <c r="Z47" s="264"/>
    </row>
    <row r="48" spans="1:26" ht="15.75" customHeight="1">
      <c r="A48" s="264"/>
      <c r="B48" s="271" t="s">
        <v>560</v>
      </c>
      <c r="C48" s="264" t="s">
        <v>561</v>
      </c>
      <c r="D48" s="273" t="s">
        <v>520</v>
      </c>
      <c r="E48" s="264"/>
      <c r="F48" s="264"/>
      <c r="G48" s="264"/>
      <c r="H48" s="264"/>
      <c r="I48" s="264"/>
      <c r="J48" s="264"/>
      <c r="K48" s="264"/>
      <c r="L48" s="264"/>
      <c r="M48" s="264"/>
      <c r="N48" s="264"/>
      <c r="O48" s="264"/>
      <c r="P48" s="264"/>
      <c r="Q48" s="264"/>
      <c r="R48" s="264"/>
      <c r="S48" s="264"/>
      <c r="T48" s="264"/>
      <c r="U48" s="264"/>
      <c r="V48" s="264"/>
      <c r="W48" s="264"/>
      <c r="X48" s="264"/>
      <c r="Y48" s="264"/>
      <c r="Z48" s="264"/>
    </row>
    <row r="49" spans="1:26" ht="33" customHeight="1">
      <c r="A49" s="264"/>
      <c r="B49" s="291" t="s">
        <v>325</v>
      </c>
      <c r="C49" s="275" t="s">
        <v>562</v>
      </c>
      <c r="D49" s="273" t="s">
        <v>563</v>
      </c>
      <c r="E49" s="264"/>
      <c r="F49" s="264"/>
      <c r="G49" s="264"/>
      <c r="H49" s="264"/>
      <c r="I49" s="264"/>
      <c r="J49" s="264"/>
      <c r="K49" s="264"/>
      <c r="L49" s="264"/>
      <c r="M49" s="264"/>
      <c r="N49" s="264"/>
      <c r="O49" s="264"/>
      <c r="P49" s="264"/>
      <c r="Q49" s="264"/>
      <c r="R49" s="264"/>
      <c r="S49" s="264"/>
      <c r="T49" s="264"/>
      <c r="U49" s="264"/>
      <c r="V49" s="264"/>
      <c r="W49" s="264"/>
      <c r="X49" s="264"/>
      <c r="Y49" s="264"/>
      <c r="Z49" s="264"/>
    </row>
    <row r="50" spans="1:26" ht="30" customHeight="1">
      <c r="A50" s="264"/>
      <c r="B50" s="291" t="s">
        <v>564</v>
      </c>
      <c r="C50" s="292" t="s">
        <v>1066</v>
      </c>
      <c r="D50" s="273" t="s">
        <v>520</v>
      </c>
      <c r="E50" s="264"/>
      <c r="F50" s="264"/>
      <c r="G50" s="264"/>
      <c r="H50" s="264"/>
      <c r="I50" s="264"/>
      <c r="J50" s="264"/>
      <c r="K50" s="264"/>
      <c r="L50" s="264"/>
      <c r="M50" s="264"/>
      <c r="N50" s="264"/>
      <c r="O50" s="264"/>
      <c r="P50" s="264"/>
      <c r="Q50" s="264"/>
      <c r="R50" s="264"/>
      <c r="S50" s="264"/>
      <c r="T50" s="264"/>
      <c r="U50" s="264"/>
      <c r="V50" s="264"/>
      <c r="W50" s="264"/>
      <c r="X50" s="264"/>
      <c r="Y50" s="264"/>
      <c r="Z50" s="264"/>
    </row>
    <row r="51" spans="1:26" ht="15.75" customHeight="1">
      <c r="A51" s="264"/>
      <c r="B51" s="293" t="s">
        <v>565</v>
      </c>
      <c r="C51" s="294" t="s">
        <v>566</v>
      </c>
      <c r="D51" s="278" t="s">
        <v>520</v>
      </c>
      <c r="E51" s="264"/>
      <c r="F51" s="264"/>
      <c r="G51" s="264"/>
      <c r="H51" s="264"/>
      <c r="I51" s="264"/>
      <c r="J51" s="264"/>
      <c r="K51" s="264"/>
      <c r="L51" s="264"/>
      <c r="M51" s="264"/>
      <c r="N51" s="264"/>
      <c r="O51" s="264"/>
      <c r="P51" s="264"/>
      <c r="Q51" s="264"/>
      <c r="R51" s="264"/>
      <c r="S51" s="264"/>
      <c r="T51" s="264"/>
      <c r="U51" s="264"/>
      <c r="V51" s="264"/>
      <c r="W51" s="264"/>
      <c r="X51" s="264"/>
      <c r="Y51" s="264"/>
      <c r="Z51" s="264"/>
    </row>
    <row r="52" spans="1:26" ht="15.75" customHeight="1">
      <c r="A52" s="264"/>
      <c r="B52" s="264"/>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row>
    <row r="53" spans="1:26" ht="35.25" customHeight="1">
      <c r="A53" s="264"/>
      <c r="B53" s="1063" t="s">
        <v>567</v>
      </c>
      <c r="C53" s="924"/>
      <c r="D53" s="1064"/>
      <c r="E53" s="264"/>
      <c r="F53" s="264"/>
      <c r="G53" s="264"/>
      <c r="H53" s="264"/>
      <c r="I53" s="264"/>
      <c r="J53" s="264"/>
      <c r="K53" s="264"/>
      <c r="L53" s="264"/>
      <c r="M53" s="264"/>
      <c r="N53" s="264"/>
      <c r="O53" s="264"/>
      <c r="P53" s="264"/>
      <c r="Q53" s="264"/>
      <c r="R53" s="264"/>
      <c r="S53" s="264"/>
      <c r="T53" s="264"/>
      <c r="U53" s="264"/>
      <c r="V53" s="264"/>
      <c r="W53" s="264"/>
      <c r="X53" s="264"/>
      <c r="Y53" s="264"/>
      <c r="Z53" s="264"/>
    </row>
    <row r="54" spans="1:26" ht="15.75" customHeight="1">
      <c r="A54" s="264"/>
      <c r="B54" s="1065" t="s">
        <v>568</v>
      </c>
      <c r="C54" s="1047"/>
      <c r="D54" s="1066"/>
      <c r="E54" s="264"/>
      <c r="F54" s="264"/>
      <c r="G54" s="264"/>
      <c r="H54" s="264"/>
      <c r="I54" s="264"/>
      <c r="J54" s="264"/>
      <c r="K54" s="264"/>
      <c r="L54" s="264"/>
      <c r="M54" s="264"/>
      <c r="N54" s="264"/>
      <c r="O54" s="264"/>
      <c r="P54" s="264"/>
      <c r="Q54" s="264"/>
      <c r="R54" s="264"/>
      <c r="S54" s="264"/>
      <c r="T54" s="264"/>
      <c r="U54" s="264"/>
      <c r="V54" s="264"/>
      <c r="W54" s="264"/>
      <c r="X54" s="264"/>
      <c r="Y54" s="264"/>
      <c r="Z54" s="264"/>
    </row>
    <row r="55" spans="1:26" ht="15.75" customHeight="1">
      <c r="A55" s="264"/>
      <c r="B55" s="1067"/>
      <c r="C55" s="987"/>
      <c r="D55" s="1068"/>
      <c r="E55" s="264"/>
      <c r="F55" s="264"/>
      <c r="G55" s="264"/>
      <c r="H55" s="264"/>
      <c r="I55" s="264"/>
      <c r="J55" s="264"/>
      <c r="K55" s="264"/>
      <c r="L55" s="264"/>
      <c r="M55" s="264"/>
      <c r="N55" s="264"/>
      <c r="O55" s="264"/>
      <c r="P55" s="264"/>
      <c r="Q55" s="264"/>
      <c r="R55" s="264"/>
      <c r="S55" s="264"/>
      <c r="T55" s="264"/>
      <c r="U55" s="264"/>
      <c r="V55" s="264"/>
      <c r="W55" s="264"/>
      <c r="X55" s="264"/>
      <c r="Y55" s="264"/>
      <c r="Z55" s="264"/>
    </row>
    <row r="56" spans="1:26" ht="15.75" customHeight="1">
      <c r="A56" s="264"/>
      <c r="B56" s="1069"/>
      <c r="C56" s="990"/>
      <c r="D56" s="1070"/>
      <c r="E56" s="264"/>
      <c r="F56" s="264"/>
      <c r="G56" s="264"/>
      <c r="H56" s="264"/>
      <c r="I56" s="264"/>
      <c r="J56" s="264"/>
      <c r="K56" s="264"/>
      <c r="L56" s="264"/>
      <c r="M56" s="264"/>
      <c r="N56" s="264"/>
      <c r="O56" s="264"/>
      <c r="P56" s="264"/>
      <c r="Q56" s="264"/>
      <c r="R56" s="264"/>
      <c r="S56" s="264"/>
      <c r="T56" s="264"/>
      <c r="U56" s="264"/>
      <c r="V56" s="264"/>
      <c r="W56" s="264"/>
      <c r="X56" s="264"/>
      <c r="Y56" s="264"/>
      <c r="Z56" s="264"/>
    </row>
    <row r="57" spans="1:26" ht="15.75" customHeight="1">
      <c r="A57" s="264"/>
      <c r="B57" s="1071" t="s">
        <v>515</v>
      </c>
      <c r="C57" s="1023"/>
      <c r="D57" s="1072" t="s">
        <v>516</v>
      </c>
      <c r="E57" s="264"/>
      <c r="F57" s="264"/>
      <c r="G57" s="264"/>
      <c r="H57" s="264"/>
      <c r="I57" s="264"/>
      <c r="J57" s="264"/>
      <c r="K57" s="264"/>
      <c r="L57" s="264"/>
      <c r="M57" s="264"/>
      <c r="N57" s="264"/>
      <c r="O57" s="264"/>
      <c r="P57" s="264"/>
      <c r="Q57" s="264"/>
      <c r="R57" s="264"/>
      <c r="S57" s="264"/>
      <c r="T57" s="264"/>
      <c r="U57" s="264"/>
      <c r="V57" s="264"/>
      <c r="W57" s="264"/>
      <c r="X57" s="264"/>
      <c r="Y57" s="264"/>
      <c r="Z57" s="264"/>
    </row>
    <row r="58" spans="1:26" ht="15.75" customHeight="1">
      <c r="A58" s="264"/>
      <c r="B58" s="267" t="s">
        <v>517</v>
      </c>
      <c r="C58" s="268" t="s">
        <v>334</v>
      </c>
      <c r="D58" s="1073"/>
      <c r="E58" s="264"/>
      <c r="F58" s="264"/>
      <c r="G58" s="264"/>
      <c r="H58" s="264"/>
      <c r="I58" s="264"/>
      <c r="J58" s="264"/>
      <c r="K58" s="264"/>
      <c r="L58" s="264"/>
      <c r="M58" s="264"/>
      <c r="N58" s="264"/>
      <c r="O58" s="264"/>
      <c r="P58" s="264"/>
      <c r="Q58" s="264"/>
      <c r="R58" s="264"/>
      <c r="S58" s="264"/>
      <c r="T58" s="264"/>
      <c r="U58" s="264"/>
      <c r="V58" s="264"/>
      <c r="W58" s="264"/>
      <c r="X58" s="264"/>
      <c r="Y58" s="264"/>
      <c r="Z58" s="264"/>
    </row>
    <row r="59" spans="1:26" ht="15.75" customHeight="1">
      <c r="A59" s="264"/>
      <c r="B59" s="289" t="s">
        <v>569</v>
      </c>
      <c r="C59" s="264" t="s">
        <v>570</v>
      </c>
      <c r="D59" s="290" t="s">
        <v>520</v>
      </c>
      <c r="E59" s="264"/>
      <c r="F59" s="264"/>
      <c r="G59" s="264"/>
      <c r="H59" s="264"/>
      <c r="I59" s="264"/>
      <c r="J59" s="264"/>
      <c r="K59" s="264"/>
      <c r="L59" s="264"/>
      <c r="M59" s="264"/>
      <c r="N59" s="264"/>
      <c r="O59" s="264"/>
      <c r="P59" s="264"/>
      <c r="Q59" s="264"/>
      <c r="R59" s="264"/>
      <c r="S59" s="264"/>
      <c r="T59" s="264"/>
      <c r="U59" s="264"/>
      <c r="V59" s="264"/>
      <c r="W59" s="264"/>
      <c r="X59" s="264"/>
      <c r="Y59" s="264"/>
      <c r="Z59" s="264"/>
    </row>
    <row r="60" spans="1:26" ht="15.75" customHeight="1">
      <c r="A60" s="264"/>
      <c r="B60" s="271" t="s">
        <v>571</v>
      </c>
      <c r="C60" s="272" t="s">
        <v>572</v>
      </c>
      <c r="D60" s="282" t="s">
        <v>573</v>
      </c>
      <c r="E60" s="264"/>
      <c r="F60" s="264"/>
      <c r="G60" s="264"/>
      <c r="H60" s="264"/>
      <c r="I60" s="264"/>
      <c r="J60" s="264"/>
      <c r="K60" s="264"/>
      <c r="L60" s="264"/>
      <c r="M60" s="264"/>
      <c r="N60" s="264"/>
      <c r="O60" s="264"/>
      <c r="P60" s="264"/>
      <c r="Q60" s="264"/>
      <c r="R60" s="264"/>
      <c r="S60" s="264"/>
      <c r="T60" s="264"/>
      <c r="U60" s="264"/>
      <c r="V60" s="264"/>
      <c r="W60" s="264"/>
      <c r="X60" s="264"/>
      <c r="Y60" s="264"/>
      <c r="Z60" s="264"/>
    </row>
    <row r="61" spans="1:26" ht="15.75" customHeight="1">
      <c r="A61" s="264"/>
      <c r="B61" s="293" t="s">
        <v>574</v>
      </c>
      <c r="C61" s="294" t="s">
        <v>575</v>
      </c>
      <c r="D61" s="278" t="s">
        <v>576</v>
      </c>
      <c r="E61" s="264"/>
      <c r="F61" s="264"/>
      <c r="G61" s="264"/>
      <c r="H61" s="264"/>
      <c r="I61" s="264"/>
      <c r="J61" s="264"/>
      <c r="K61" s="264"/>
      <c r="L61" s="264"/>
      <c r="M61" s="264"/>
      <c r="N61" s="264"/>
      <c r="O61" s="264"/>
      <c r="P61" s="264"/>
      <c r="Q61" s="264"/>
      <c r="R61" s="264"/>
      <c r="S61" s="264"/>
      <c r="T61" s="264"/>
      <c r="U61" s="264"/>
      <c r="V61" s="264"/>
      <c r="W61" s="264"/>
      <c r="X61" s="264"/>
      <c r="Y61" s="264"/>
      <c r="Z61" s="264"/>
    </row>
    <row r="62" spans="1:26" ht="15.75" customHeight="1">
      <c r="A62" s="264"/>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row>
    <row r="63" spans="1:26" ht="31.5" customHeight="1">
      <c r="A63" s="264"/>
      <c r="B63" s="1063" t="s">
        <v>577</v>
      </c>
      <c r="C63" s="924"/>
      <c r="D63" s="1064"/>
      <c r="E63" s="264"/>
      <c r="F63" s="264"/>
      <c r="G63" s="264"/>
      <c r="H63" s="264"/>
      <c r="I63" s="264"/>
      <c r="J63" s="264"/>
      <c r="K63" s="264"/>
      <c r="L63" s="264"/>
      <c r="M63" s="264"/>
      <c r="N63" s="264"/>
      <c r="O63" s="264"/>
      <c r="P63" s="264"/>
      <c r="Q63" s="264"/>
      <c r="R63" s="264"/>
      <c r="S63" s="264"/>
      <c r="T63" s="264"/>
      <c r="U63" s="264"/>
      <c r="V63" s="264"/>
      <c r="W63" s="264"/>
      <c r="X63" s="264"/>
      <c r="Y63" s="264"/>
      <c r="Z63" s="264"/>
    </row>
    <row r="64" spans="1:26" ht="15.75" customHeight="1">
      <c r="A64" s="264"/>
      <c r="B64" s="1065" t="s">
        <v>578</v>
      </c>
      <c r="C64" s="1047"/>
      <c r="D64" s="1066"/>
      <c r="E64" s="264"/>
      <c r="F64" s="264"/>
      <c r="G64" s="264"/>
      <c r="H64" s="264"/>
      <c r="I64" s="264"/>
      <c r="J64" s="264"/>
      <c r="K64" s="264"/>
      <c r="L64" s="264"/>
      <c r="M64" s="264"/>
      <c r="N64" s="264"/>
      <c r="O64" s="264"/>
      <c r="P64" s="264"/>
      <c r="Q64" s="264"/>
      <c r="R64" s="264"/>
      <c r="S64" s="264"/>
      <c r="T64" s="264"/>
      <c r="U64" s="264"/>
      <c r="V64" s="264"/>
      <c r="W64" s="264"/>
      <c r="X64" s="264"/>
      <c r="Y64" s="264"/>
      <c r="Z64" s="264"/>
    </row>
    <row r="65" spans="1:26" ht="15.75" customHeight="1">
      <c r="A65" s="264"/>
      <c r="B65" s="1067"/>
      <c r="C65" s="987"/>
      <c r="D65" s="1068"/>
      <c r="E65" s="264"/>
      <c r="F65" s="264"/>
      <c r="G65" s="264"/>
      <c r="H65" s="264"/>
      <c r="I65" s="264"/>
      <c r="J65" s="264"/>
      <c r="K65" s="264"/>
      <c r="L65" s="264"/>
      <c r="M65" s="264"/>
      <c r="N65" s="264"/>
      <c r="O65" s="264"/>
      <c r="P65" s="264"/>
      <c r="Q65" s="264"/>
      <c r="R65" s="264"/>
      <c r="S65" s="264"/>
      <c r="T65" s="264"/>
      <c r="U65" s="264"/>
      <c r="V65" s="264"/>
      <c r="W65" s="264"/>
      <c r="X65" s="264"/>
      <c r="Y65" s="264"/>
      <c r="Z65" s="264"/>
    </row>
    <row r="66" spans="1:26" ht="15.75" customHeight="1">
      <c r="A66" s="264"/>
      <c r="B66" s="1069"/>
      <c r="C66" s="990"/>
      <c r="D66" s="1070"/>
      <c r="E66" s="264"/>
      <c r="F66" s="264"/>
      <c r="G66" s="264"/>
      <c r="H66" s="264"/>
      <c r="I66" s="264"/>
      <c r="J66" s="264"/>
      <c r="K66" s="264"/>
      <c r="L66" s="264"/>
      <c r="M66" s="264"/>
      <c r="N66" s="264"/>
      <c r="O66" s="264"/>
      <c r="P66" s="264"/>
      <c r="Q66" s="264"/>
      <c r="R66" s="264"/>
      <c r="S66" s="264"/>
      <c r="T66" s="264"/>
      <c r="U66" s="264"/>
      <c r="V66" s="264"/>
      <c r="W66" s="264"/>
      <c r="X66" s="264"/>
      <c r="Y66" s="264"/>
      <c r="Z66" s="264"/>
    </row>
    <row r="67" spans="1:26" ht="15.75" customHeight="1">
      <c r="A67" s="264"/>
      <c r="B67" s="1071" t="s">
        <v>515</v>
      </c>
      <c r="C67" s="1023"/>
      <c r="D67" s="1072" t="s">
        <v>516</v>
      </c>
      <c r="E67" s="264"/>
      <c r="F67" s="264"/>
      <c r="G67" s="264"/>
      <c r="H67" s="264"/>
      <c r="I67" s="264"/>
      <c r="J67" s="264"/>
      <c r="K67" s="264"/>
      <c r="L67" s="264"/>
      <c r="M67" s="264"/>
      <c r="N67" s="264"/>
      <c r="O67" s="264"/>
      <c r="P67" s="264"/>
      <c r="Q67" s="264"/>
      <c r="R67" s="264"/>
      <c r="S67" s="264"/>
      <c r="T67" s="264"/>
      <c r="U67" s="264"/>
      <c r="V67" s="264"/>
      <c r="W67" s="264"/>
      <c r="X67" s="264"/>
      <c r="Y67" s="264"/>
      <c r="Z67" s="264"/>
    </row>
    <row r="68" spans="1:26" ht="15.75" customHeight="1">
      <c r="A68" s="264"/>
      <c r="B68" s="267" t="s">
        <v>517</v>
      </c>
      <c r="C68" s="268" t="s">
        <v>334</v>
      </c>
      <c r="D68" s="1073"/>
      <c r="E68" s="264"/>
      <c r="F68" s="264"/>
      <c r="G68" s="264"/>
      <c r="H68" s="264"/>
      <c r="I68" s="264"/>
      <c r="J68" s="264"/>
      <c r="K68" s="264"/>
      <c r="L68" s="264"/>
      <c r="M68" s="264"/>
      <c r="N68" s="264"/>
      <c r="O68" s="264"/>
      <c r="P68" s="264"/>
      <c r="Q68" s="264"/>
      <c r="R68" s="264"/>
      <c r="S68" s="264"/>
      <c r="T68" s="264"/>
      <c r="U68" s="264"/>
      <c r="V68" s="264"/>
      <c r="W68" s="264"/>
      <c r="X68" s="264"/>
      <c r="Y68" s="264"/>
      <c r="Z68" s="264"/>
    </row>
    <row r="69" spans="1:26" ht="15.75" customHeight="1">
      <c r="A69" s="264"/>
      <c r="B69" s="289" t="s">
        <v>579</v>
      </c>
      <c r="C69" s="264" t="s">
        <v>580</v>
      </c>
      <c r="D69" s="290" t="s">
        <v>520</v>
      </c>
      <c r="E69" s="264"/>
      <c r="F69" s="264"/>
      <c r="G69" s="264"/>
      <c r="H69" s="264"/>
      <c r="I69" s="264"/>
      <c r="J69" s="264"/>
      <c r="K69" s="264"/>
      <c r="L69" s="264"/>
      <c r="M69" s="264"/>
      <c r="N69" s="264"/>
      <c r="O69" s="264"/>
      <c r="P69" s="264"/>
      <c r="Q69" s="264"/>
      <c r="R69" s="264"/>
      <c r="S69" s="264"/>
      <c r="T69" s="264"/>
      <c r="U69" s="264"/>
      <c r="V69" s="264"/>
      <c r="W69" s="264"/>
      <c r="X69" s="264"/>
      <c r="Y69" s="264"/>
      <c r="Z69" s="264"/>
    </row>
    <row r="70" spans="1:26" ht="15.75" customHeight="1">
      <c r="A70" s="264"/>
      <c r="B70" s="271" t="s">
        <v>581</v>
      </c>
      <c r="C70" s="272" t="s">
        <v>582</v>
      </c>
      <c r="D70" s="273" t="s">
        <v>520</v>
      </c>
      <c r="E70" s="264"/>
      <c r="F70" s="264"/>
      <c r="G70" s="264"/>
      <c r="H70" s="264"/>
      <c r="I70" s="264"/>
      <c r="J70" s="264"/>
      <c r="K70" s="264"/>
      <c r="L70" s="264"/>
      <c r="M70" s="264"/>
      <c r="N70" s="264"/>
      <c r="O70" s="264"/>
      <c r="P70" s="264"/>
      <c r="Q70" s="264"/>
      <c r="R70" s="264"/>
      <c r="S70" s="264"/>
      <c r="T70" s="264"/>
      <c r="U70" s="264"/>
      <c r="V70" s="264"/>
      <c r="W70" s="264"/>
      <c r="X70" s="264"/>
      <c r="Y70" s="264"/>
      <c r="Z70" s="264"/>
    </row>
    <row r="71" spans="1:26" ht="15.75" customHeight="1">
      <c r="A71" s="264"/>
      <c r="B71" s="293" t="s">
        <v>583</v>
      </c>
      <c r="C71" s="294" t="s">
        <v>584</v>
      </c>
      <c r="D71" s="278" t="s">
        <v>520</v>
      </c>
      <c r="E71" s="264"/>
      <c r="F71" s="264"/>
      <c r="G71" s="264"/>
      <c r="H71" s="264"/>
      <c r="I71" s="264"/>
      <c r="J71" s="264"/>
      <c r="K71" s="264"/>
      <c r="L71" s="264"/>
      <c r="M71" s="264"/>
      <c r="N71" s="264"/>
      <c r="O71" s="264"/>
      <c r="P71" s="264"/>
      <c r="Q71" s="264"/>
      <c r="R71" s="264"/>
      <c r="S71" s="264"/>
      <c r="T71" s="264"/>
      <c r="U71" s="264"/>
      <c r="V71" s="264"/>
      <c r="W71" s="264"/>
      <c r="X71" s="264"/>
      <c r="Y71" s="264"/>
      <c r="Z71" s="264"/>
    </row>
    <row r="72" spans="1:26" ht="15.75" customHeight="1">
      <c r="A72" s="264"/>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row>
    <row r="73" spans="1:26" ht="33.75" customHeight="1">
      <c r="A73" s="264"/>
      <c r="B73" s="1063" t="s">
        <v>585</v>
      </c>
      <c r="C73" s="924"/>
      <c r="D73" s="1064"/>
      <c r="E73" s="264"/>
      <c r="F73" s="264"/>
      <c r="G73" s="264"/>
      <c r="H73" s="264"/>
      <c r="I73" s="264"/>
      <c r="J73" s="264"/>
      <c r="K73" s="264"/>
      <c r="L73" s="264"/>
      <c r="M73" s="264"/>
      <c r="N73" s="264"/>
      <c r="O73" s="264"/>
      <c r="P73" s="264"/>
      <c r="Q73" s="264"/>
      <c r="R73" s="264"/>
      <c r="S73" s="264"/>
      <c r="T73" s="264"/>
      <c r="U73" s="264"/>
      <c r="V73" s="264"/>
      <c r="W73" s="264"/>
      <c r="X73" s="264"/>
      <c r="Y73" s="264"/>
      <c r="Z73" s="264"/>
    </row>
    <row r="74" spans="1:26" ht="15.75" customHeight="1">
      <c r="A74" s="264"/>
      <c r="B74" s="1065" t="s">
        <v>586</v>
      </c>
      <c r="C74" s="1047"/>
      <c r="D74" s="1066"/>
      <c r="E74" s="264"/>
      <c r="F74" s="264"/>
      <c r="G74" s="264"/>
      <c r="H74" s="264"/>
      <c r="I74" s="264"/>
      <c r="J74" s="264"/>
      <c r="K74" s="264"/>
      <c r="L74" s="264"/>
      <c r="M74" s="264"/>
      <c r="N74" s="264"/>
      <c r="O74" s="264"/>
      <c r="P74" s="264"/>
      <c r="Q74" s="264"/>
      <c r="R74" s="264"/>
      <c r="S74" s="264"/>
      <c r="T74" s="264"/>
      <c r="U74" s="264"/>
      <c r="V74" s="264"/>
      <c r="W74" s="264"/>
      <c r="X74" s="264"/>
      <c r="Y74" s="264"/>
      <c r="Z74" s="264"/>
    </row>
    <row r="75" spans="1:26" ht="15.75" customHeight="1">
      <c r="A75" s="264"/>
      <c r="B75" s="1067"/>
      <c r="C75" s="987"/>
      <c r="D75" s="1068"/>
      <c r="E75" s="264"/>
      <c r="F75" s="264"/>
      <c r="G75" s="264"/>
      <c r="H75" s="264"/>
      <c r="I75" s="264"/>
      <c r="J75" s="264"/>
      <c r="K75" s="264"/>
      <c r="L75" s="264"/>
      <c r="M75" s="264"/>
      <c r="N75" s="264"/>
      <c r="O75" s="264"/>
      <c r="P75" s="264"/>
      <c r="Q75" s="264"/>
      <c r="R75" s="264"/>
      <c r="S75" s="264"/>
      <c r="T75" s="264"/>
      <c r="U75" s="264"/>
      <c r="V75" s="264"/>
      <c r="W75" s="264"/>
      <c r="X75" s="264"/>
      <c r="Y75" s="264"/>
      <c r="Z75" s="264"/>
    </row>
    <row r="76" spans="1:26" ht="15.75" customHeight="1">
      <c r="A76" s="264"/>
      <c r="B76" s="1069"/>
      <c r="C76" s="990"/>
      <c r="D76" s="1070"/>
      <c r="E76" s="264"/>
      <c r="F76" s="264"/>
      <c r="G76" s="264"/>
      <c r="H76" s="264"/>
      <c r="I76" s="264"/>
      <c r="J76" s="264"/>
      <c r="K76" s="264"/>
      <c r="L76" s="264"/>
      <c r="M76" s="264"/>
      <c r="N76" s="264"/>
      <c r="O76" s="264"/>
      <c r="P76" s="264"/>
      <c r="Q76" s="264"/>
      <c r="R76" s="264"/>
      <c r="S76" s="264"/>
      <c r="T76" s="264"/>
      <c r="U76" s="264"/>
      <c r="V76" s="264"/>
      <c r="W76" s="264"/>
      <c r="X76" s="264"/>
      <c r="Y76" s="264"/>
      <c r="Z76" s="264"/>
    </row>
    <row r="77" spans="1:26" ht="15.75" customHeight="1">
      <c r="A77" s="264"/>
      <c r="B77" s="1071" t="s">
        <v>515</v>
      </c>
      <c r="C77" s="1023"/>
      <c r="D77" s="1072" t="s">
        <v>516</v>
      </c>
      <c r="E77" s="264"/>
      <c r="F77" s="264"/>
      <c r="G77" s="264"/>
      <c r="H77" s="264"/>
      <c r="I77" s="264"/>
      <c r="J77" s="264"/>
      <c r="K77" s="264"/>
      <c r="L77" s="264"/>
      <c r="M77" s="264"/>
      <c r="N77" s="264"/>
      <c r="O77" s="264"/>
      <c r="P77" s="264"/>
      <c r="Q77" s="264"/>
      <c r="R77" s="264"/>
      <c r="S77" s="264"/>
      <c r="T77" s="264"/>
      <c r="U77" s="264"/>
      <c r="V77" s="264"/>
      <c r="W77" s="264"/>
      <c r="X77" s="264"/>
      <c r="Y77" s="264"/>
      <c r="Z77" s="264"/>
    </row>
    <row r="78" spans="1:26" ht="15.75" customHeight="1">
      <c r="A78" s="264"/>
      <c r="B78" s="267" t="s">
        <v>517</v>
      </c>
      <c r="C78" s="268" t="s">
        <v>334</v>
      </c>
      <c r="D78" s="1073"/>
      <c r="E78" s="264"/>
      <c r="F78" s="264"/>
      <c r="G78" s="264"/>
      <c r="H78" s="264"/>
      <c r="I78" s="264"/>
      <c r="J78" s="264"/>
      <c r="K78" s="264"/>
      <c r="L78" s="264"/>
      <c r="M78" s="264"/>
      <c r="N78" s="264"/>
      <c r="O78" s="264"/>
      <c r="P78" s="264"/>
      <c r="Q78" s="264"/>
      <c r="R78" s="264"/>
      <c r="S78" s="264"/>
      <c r="T78" s="264"/>
      <c r="U78" s="264"/>
      <c r="V78" s="264"/>
      <c r="W78" s="264"/>
      <c r="X78" s="264"/>
      <c r="Y78" s="264"/>
      <c r="Z78" s="264"/>
    </row>
    <row r="79" spans="1:26" ht="15.75" customHeight="1">
      <c r="A79" s="264"/>
      <c r="B79" s="271" t="s">
        <v>587</v>
      </c>
      <c r="C79" s="264" t="s">
        <v>588</v>
      </c>
      <c r="D79" s="290" t="s">
        <v>520</v>
      </c>
      <c r="E79" s="264"/>
      <c r="F79" s="264"/>
      <c r="G79" s="264"/>
      <c r="H79" s="264"/>
      <c r="I79" s="264"/>
      <c r="J79" s="264"/>
      <c r="K79" s="264"/>
      <c r="L79" s="264"/>
      <c r="M79" s="264"/>
      <c r="N79" s="264"/>
      <c r="O79" s="264"/>
      <c r="P79" s="264"/>
      <c r="Q79" s="264"/>
      <c r="R79" s="264"/>
      <c r="S79" s="264"/>
      <c r="T79" s="264"/>
      <c r="U79" s="264"/>
      <c r="V79" s="264"/>
      <c r="W79" s="264"/>
      <c r="X79" s="264"/>
      <c r="Y79" s="264"/>
      <c r="Z79" s="264"/>
    </row>
    <row r="80" spans="1:26" ht="15.75" customHeight="1">
      <c r="A80" s="264"/>
      <c r="B80" s="271" t="s">
        <v>589</v>
      </c>
      <c r="C80" s="272" t="s">
        <v>590</v>
      </c>
      <c r="D80" s="282" t="s">
        <v>573</v>
      </c>
      <c r="E80" s="264"/>
      <c r="F80" s="264"/>
      <c r="G80" s="264"/>
      <c r="H80" s="264"/>
      <c r="I80" s="264"/>
      <c r="J80" s="264"/>
      <c r="K80" s="264"/>
      <c r="L80" s="264"/>
      <c r="M80" s="264"/>
      <c r="N80" s="264"/>
      <c r="O80" s="264"/>
      <c r="P80" s="264"/>
      <c r="Q80" s="264"/>
      <c r="R80" s="264"/>
      <c r="S80" s="264"/>
      <c r="T80" s="264"/>
      <c r="U80" s="264"/>
      <c r="V80" s="264"/>
      <c r="W80" s="264"/>
      <c r="X80" s="264"/>
      <c r="Y80" s="264"/>
      <c r="Z80" s="264"/>
    </row>
    <row r="81" spans="1:26" ht="15.75" customHeight="1">
      <c r="A81" s="264"/>
      <c r="B81" s="293" t="s">
        <v>591</v>
      </c>
      <c r="C81" s="294" t="s">
        <v>592</v>
      </c>
      <c r="D81" s="278" t="s">
        <v>520</v>
      </c>
      <c r="E81" s="264"/>
      <c r="F81" s="264"/>
      <c r="G81" s="264"/>
      <c r="H81" s="264"/>
      <c r="I81" s="264"/>
      <c r="J81" s="264"/>
      <c r="K81" s="264"/>
      <c r="L81" s="264"/>
      <c r="M81" s="264"/>
      <c r="N81" s="264"/>
      <c r="O81" s="264"/>
      <c r="P81" s="264"/>
      <c r="Q81" s="264"/>
      <c r="R81" s="264"/>
      <c r="S81" s="264"/>
      <c r="T81" s="264"/>
      <c r="U81" s="264"/>
      <c r="V81" s="264"/>
      <c r="W81" s="264"/>
      <c r="X81" s="264"/>
      <c r="Y81" s="264"/>
      <c r="Z81" s="264"/>
    </row>
    <row r="82" spans="1:26" ht="15.75" customHeight="1">
      <c r="A82" s="264"/>
      <c r="B82" s="264"/>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row>
    <row r="83" spans="1:26" ht="32.25" customHeight="1">
      <c r="A83" s="264"/>
      <c r="B83" s="1063" t="s">
        <v>593</v>
      </c>
      <c r="C83" s="924"/>
      <c r="D83" s="1064"/>
      <c r="E83" s="264"/>
      <c r="F83" s="264"/>
      <c r="G83" s="264"/>
      <c r="H83" s="264"/>
      <c r="I83" s="264"/>
      <c r="J83" s="264"/>
      <c r="K83" s="264"/>
      <c r="L83" s="264"/>
      <c r="M83" s="264"/>
      <c r="N83" s="264"/>
      <c r="O83" s="264"/>
      <c r="P83" s="264"/>
      <c r="Q83" s="264"/>
      <c r="R83" s="264"/>
      <c r="S83" s="264"/>
      <c r="T83" s="264"/>
      <c r="U83" s="264"/>
      <c r="V83" s="264"/>
      <c r="W83" s="264"/>
      <c r="X83" s="264"/>
      <c r="Y83" s="264"/>
      <c r="Z83" s="264"/>
    </row>
    <row r="84" spans="1:26" ht="15.75" customHeight="1">
      <c r="A84" s="264"/>
      <c r="B84" s="1065" t="s">
        <v>594</v>
      </c>
      <c r="C84" s="1047"/>
      <c r="D84" s="1066"/>
      <c r="E84" s="264"/>
      <c r="F84" s="264"/>
      <c r="G84" s="264"/>
      <c r="H84" s="264"/>
      <c r="I84" s="264"/>
      <c r="J84" s="264"/>
      <c r="K84" s="264"/>
      <c r="L84" s="264"/>
      <c r="M84" s="264"/>
      <c r="N84" s="264"/>
      <c r="O84" s="264"/>
      <c r="P84" s="264"/>
      <c r="Q84" s="264"/>
      <c r="R84" s="264"/>
      <c r="S84" s="264"/>
      <c r="T84" s="264"/>
      <c r="U84" s="264"/>
      <c r="V84" s="264"/>
      <c r="W84" s="264"/>
      <c r="X84" s="264"/>
      <c r="Y84" s="264"/>
      <c r="Z84" s="264"/>
    </row>
    <row r="85" spans="1:26" ht="15.75" customHeight="1">
      <c r="A85" s="264"/>
      <c r="B85" s="1067"/>
      <c r="C85" s="987"/>
      <c r="D85" s="1068"/>
      <c r="E85" s="264"/>
      <c r="F85" s="264"/>
      <c r="G85" s="264"/>
      <c r="H85" s="264"/>
      <c r="I85" s="264"/>
      <c r="J85" s="264"/>
      <c r="K85" s="264"/>
      <c r="L85" s="264"/>
      <c r="M85" s="264"/>
      <c r="N85" s="264"/>
      <c r="O85" s="264"/>
      <c r="P85" s="264"/>
      <c r="Q85" s="264"/>
      <c r="R85" s="264"/>
      <c r="S85" s="264"/>
      <c r="T85" s="264"/>
      <c r="U85" s="264"/>
      <c r="V85" s="264"/>
      <c r="W85" s="264"/>
      <c r="X85" s="264"/>
      <c r="Y85" s="264"/>
      <c r="Z85" s="264"/>
    </row>
    <row r="86" spans="1:26" ht="15.75" customHeight="1">
      <c r="A86" s="264"/>
      <c r="B86" s="1069"/>
      <c r="C86" s="990"/>
      <c r="D86" s="1070"/>
      <c r="E86" s="264"/>
      <c r="F86" s="264"/>
      <c r="G86" s="264"/>
      <c r="H86" s="264"/>
      <c r="I86" s="264"/>
      <c r="J86" s="264"/>
      <c r="K86" s="264"/>
      <c r="L86" s="264"/>
      <c r="M86" s="264"/>
      <c r="N86" s="264"/>
      <c r="O86" s="264"/>
      <c r="P86" s="264"/>
      <c r="Q86" s="264"/>
      <c r="R86" s="264"/>
      <c r="S86" s="264"/>
      <c r="T86" s="264"/>
      <c r="U86" s="264"/>
      <c r="V86" s="264"/>
      <c r="W86" s="264"/>
      <c r="X86" s="264"/>
      <c r="Y86" s="264"/>
      <c r="Z86" s="264"/>
    </row>
    <row r="87" spans="1:26" ht="15.75" customHeight="1">
      <c r="A87" s="264"/>
      <c r="B87" s="1071" t="s">
        <v>515</v>
      </c>
      <c r="C87" s="1023"/>
      <c r="D87" s="1072" t="s">
        <v>516</v>
      </c>
      <c r="E87" s="264"/>
      <c r="F87" s="264"/>
      <c r="G87" s="264"/>
      <c r="H87" s="264"/>
      <c r="I87" s="264"/>
      <c r="J87" s="264"/>
      <c r="K87" s="264"/>
      <c r="L87" s="264"/>
      <c r="M87" s="264"/>
      <c r="N87" s="264"/>
      <c r="O87" s="264"/>
      <c r="P87" s="264"/>
      <c r="Q87" s="264"/>
      <c r="R87" s="264"/>
      <c r="S87" s="264"/>
      <c r="T87" s="264"/>
      <c r="U87" s="264"/>
      <c r="V87" s="264"/>
      <c r="W87" s="264"/>
      <c r="X87" s="264"/>
      <c r="Y87" s="264"/>
      <c r="Z87" s="264"/>
    </row>
    <row r="88" spans="1:26" ht="15.75" customHeight="1">
      <c r="A88" s="264"/>
      <c r="B88" s="267" t="s">
        <v>517</v>
      </c>
      <c r="C88" s="268" t="s">
        <v>334</v>
      </c>
      <c r="D88" s="1073"/>
      <c r="E88" s="264"/>
      <c r="F88" s="264"/>
      <c r="G88" s="264"/>
      <c r="H88" s="264"/>
      <c r="I88" s="264"/>
      <c r="J88" s="264"/>
      <c r="K88" s="264"/>
      <c r="L88" s="264"/>
      <c r="M88" s="264"/>
      <c r="N88" s="264"/>
      <c r="O88" s="264"/>
      <c r="P88" s="264"/>
      <c r="Q88" s="264"/>
      <c r="R88" s="264"/>
      <c r="S88" s="264"/>
      <c r="T88" s="264"/>
      <c r="U88" s="264"/>
      <c r="V88" s="264"/>
      <c r="W88" s="264"/>
      <c r="X88" s="264"/>
      <c r="Y88" s="264"/>
      <c r="Z88" s="264"/>
    </row>
    <row r="89" spans="1:26" ht="27" customHeight="1">
      <c r="A89" s="264"/>
      <c r="B89" s="279" t="s">
        <v>531</v>
      </c>
      <c r="C89" s="295" t="s">
        <v>595</v>
      </c>
      <c r="D89" s="270" t="s">
        <v>520</v>
      </c>
      <c r="E89" s="264"/>
      <c r="F89" s="264"/>
      <c r="G89" s="264"/>
      <c r="H89" s="264"/>
      <c r="I89" s="264"/>
      <c r="J89" s="264"/>
      <c r="K89" s="264"/>
      <c r="L89" s="264"/>
      <c r="M89" s="264"/>
      <c r="N89" s="264"/>
      <c r="O89" s="264"/>
      <c r="P89" s="264"/>
      <c r="Q89" s="264"/>
      <c r="R89" s="264"/>
      <c r="S89" s="264"/>
      <c r="T89" s="264"/>
      <c r="U89" s="264"/>
      <c r="V89" s="264"/>
      <c r="W89" s="264"/>
      <c r="X89" s="264"/>
      <c r="Y89" s="264"/>
      <c r="Z89" s="264"/>
    </row>
    <row r="90" spans="1:26" ht="30" customHeight="1">
      <c r="A90" s="264"/>
      <c r="B90" s="276" t="s">
        <v>537</v>
      </c>
      <c r="C90" s="277" t="s">
        <v>596</v>
      </c>
      <c r="D90" s="278" t="s">
        <v>520</v>
      </c>
      <c r="E90" s="264"/>
      <c r="F90" s="264"/>
      <c r="G90" s="264"/>
      <c r="H90" s="264"/>
      <c r="I90" s="264"/>
      <c r="J90" s="264"/>
      <c r="K90" s="264"/>
      <c r="L90" s="264"/>
      <c r="M90" s="264"/>
      <c r="N90" s="264"/>
      <c r="O90" s="264"/>
      <c r="P90" s="264"/>
      <c r="Q90" s="264"/>
      <c r="R90" s="264"/>
      <c r="S90" s="264"/>
      <c r="T90" s="264"/>
      <c r="U90" s="264"/>
      <c r="V90" s="264"/>
      <c r="W90" s="264"/>
      <c r="X90" s="264"/>
      <c r="Y90" s="264"/>
      <c r="Z90" s="264"/>
    </row>
    <row r="91" spans="1:26" ht="15.75" customHeight="1">
      <c r="A91" s="264"/>
      <c r="B91" s="264"/>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row>
    <row r="92" spans="1:26" ht="31.5" customHeight="1">
      <c r="A92" s="264"/>
      <c r="B92" s="1063" t="s">
        <v>597</v>
      </c>
      <c r="C92" s="924"/>
      <c r="D92" s="1064"/>
      <c r="E92" s="264"/>
      <c r="F92" s="264"/>
      <c r="G92" s="264"/>
      <c r="H92" s="264"/>
      <c r="I92" s="264"/>
      <c r="J92" s="264"/>
      <c r="K92" s="264"/>
      <c r="L92" s="264"/>
      <c r="M92" s="264"/>
      <c r="N92" s="264"/>
      <c r="O92" s="264"/>
      <c r="P92" s="264"/>
      <c r="Q92" s="264"/>
      <c r="R92" s="264"/>
      <c r="S92" s="264"/>
      <c r="T92" s="264"/>
      <c r="U92" s="264"/>
      <c r="V92" s="264"/>
      <c r="W92" s="264"/>
      <c r="X92" s="264"/>
      <c r="Y92" s="264"/>
      <c r="Z92" s="264"/>
    </row>
    <row r="93" spans="1:26" ht="15.75" customHeight="1">
      <c r="A93" s="264"/>
      <c r="B93" s="1065" t="s">
        <v>598</v>
      </c>
      <c r="C93" s="1047"/>
      <c r="D93" s="1066"/>
      <c r="E93" s="264"/>
      <c r="F93" s="264"/>
      <c r="G93" s="264"/>
      <c r="H93" s="264"/>
      <c r="I93" s="264"/>
      <c r="J93" s="264"/>
      <c r="K93" s="264"/>
      <c r="L93" s="264"/>
      <c r="M93" s="264"/>
      <c r="N93" s="264"/>
      <c r="O93" s="264"/>
      <c r="P93" s="264"/>
      <c r="Q93" s="264"/>
      <c r="R93" s="264"/>
      <c r="S93" s="264"/>
      <c r="T93" s="264"/>
      <c r="U93" s="264"/>
      <c r="V93" s="264"/>
      <c r="W93" s="264"/>
      <c r="X93" s="264"/>
      <c r="Y93" s="264"/>
      <c r="Z93" s="264"/>
    </row>
    <row r="94" spans="1:26" ht="15.75" customHeight="1">
      <c r="A94" s="264"/>
      <c r="B94" s="1067"/>
      <c r="C94" s="987"/>
      <c r="D94" s="1068"/>
      <c r="E94" s="264"/>
      <c r="F94" s="264"/>
      <c r="G94" s="264"/>
      <c r="H94" s="264"/>
      <c r="I94" s="264"/>
      <c r="J94" s="264"/>
      <c r="K94" s="264"/>
      <c r="L94" s="264"/>
      <c r="M94" s="264"/>
      <c r="N94" s="264"/>
      <c r="O94" s="264"/>
      <c r="P94" s="264"/>
      <c r="Q94" s="264"/>
      <c r="R94" s="264"/>
      <c r="S94" s="264"/>
      <c r="T94" s="264"/>
      <c r="U94" s="264"/>
      <c r="V94" s="264"/>
      <c r="W94" s="264"/>
      <c r="X94" s="264"/>
      <c r="Y94" s="264"/>
      <c r="Z94" s="264"/>
    </row>
    <row r="95" spans="1:26" ht="15.75" customHeight="1">
      <c r="A95" s="264"/>
      <c r="B95" s="1069"/>
      <c r="C95" s="990"/>
      <c r="D95" s="1070"/>
      <c r="E95" s="264"/>
      <c r="F95" s="264"/>
      <c r="G95" s="264"/>
      <c r="H95" s="264"/>
      <c r="I95" s="264"/>
      <c r="J95" s="264"/>
      <c r="K95" s="264"/>
      <c r="L95" s="264"/>
      <c r="M95" s="264"/>
      <c r="N95" s="264"/>
      <c r="O95" s="264"/>
      <c r="P95" s="264"/>
      <c r="Q95" s="264"/>
      <c r="R95" s="264"/>
      <c r="S95" s="264"/>
      <c r="T95" s="264"/>
      <c r="U95" s="264"/>
      <c r="V95" s="264"/>
      <c r="W95" s="264"/>
      <c r="X95" s="264"/>
      <c r="Y95" s="264"/>
      <c r="Z95" s="264"/>
    </row>
    <row r="96" spans="1:26" ht="15.75" customHeight="1">
      <c r="A96" s="264"/>
      <c r="B96" s="1071" t="s">
        <v>515</v>
      </c>
      <c r="C96" s="1023"/>
      <c r="D96" s="1072" t="s">
        <v>516</v>
      </c>
      <c r="E96" s="264"/>
      <c r="F96" s="264"/>
      <c r="G96" s="264"/>
      <c r="H96" s="264"/>
      <c r="I96" s="264"/>
      <c r="J96" s="264"/>
      <c r="K96" s="264"/>
      <c r="L96" s="264"/>
      <c r="M96" s="264"/>
      <c r="N96" s="264"/>
      <c r="O96" s="264"/>
      <c r="P96" s="264"/>
      <c r="Q96" s="264"/>
      <c r="R96" s="264"/>
      <c r="S96" s="264"/>
      <c r="T96" s="264"/>
      <c r="U96" s="264"/>
      <c r="V96" s="264"/>
      <c r="W96" s="264"/>
      <c r="X96" s="264"/>
      <c r="Y96" s="264"/>
      <c r="Z96" s="264"/>
    </row>
    <row r="97" spans="1:26" ht="15.75" customHeight="1">
      <c r="A97" s="264"/>
      <c r="B97" s="267" t="s">
        <v>517</v>
      </c>
      <c r="C97" s="268" t="s">
        <v>334</v>
      </c>
      <c r="D97" s="1073"/>
      <c r="E97" s="264"/>
      <c r="F97" s="264"/>
      <c r="G97" s="264"/>
      <c r="H97" s="264"/>
      <c r="I97" s="264"/>
      <c r="J97" s="264"/>
      <c r="K97" s="264"/>
      <c r="L97" s="264"/>
      <c r="M97" s="264"/>
      <c r="N97" s="264"/>
      <c r="O97" s="264"/>
      <c r="P97" s="264"/>
      <c r="Q97" s="264"/>
      <c r="R97" s="264"/>
      <c r="S97" s="264"/>
      <c r="T97" s="264"/>
      <c r="U97" s="264"/>
      <c r="V97" s="264"/>
      <c r="W97" s="264"/>
      <c r="X97" s="264"/>
      <c r="Y97" s="264"/>
      <c r="Z97" s="264"/>
    </row>
    <row r="98" spans="1:26" ht="31.5" customHeight="1">
      <c r="A98" s="264"/>
      <c r="B98" s="280" t="s">
        <v>535</v>
      </c>
      <c r="C98" s="295" t="s">
        <v>599</v>
      </c>
      <c r="D98" s="270" t="s">
        <v>520</v>
      </c>
      <c r="E98" s="264"/>
      <c r="F98" s="264"/>
      <c r="G98" s="264"/>
      <c r="H98" s="264"/>
      <c r="I98" s="264"/>
      <c r="J98" s="264"/>
      <c r="K98" s="264"/>
      <c r="L98" s="264"/>
      <c r="M98" s="264"/>
      <c r="N98" s="264"/>
      <c r="O98" s="264"/>
      <c r="P98" s="264"/>
      <c r="Q98" s="264"/>
      <c r="R98" s="264"/>
      <c r="S98" s="264"/>
      <c r="T98" s="264"/>
      <c r="U98" s="264"/>
      <c r="V98" s="264"/>
      <c r="W98" s="264"/>
      <c r="X98" s="264"/>
      <c r="Y98" s="264"/>
      <c r="Z98" s="264"/>
    </row>
    <row r="99" spans="1:26" ht="30" customHeight="1">
      <c r="A99" s="264"/>
      <c r="B99" s="276" t="s">
        <v>537</v>
      </c>
      <c r="C99" s="277" t="s">
        <v>596</v>
      </c>
      <c r="D99" s="278" t="s">
        <v>520</v>
      </c>
      <c r="E99" s="264"/>
      <c r="F99" s="264"/>
      <c r="G99" s="264"/>
      <c r="H99" s="264"/>
      <c r="I99" s="264"/>
      <c r="J99" s="264"/>
      <c r="K99" s="264"/>
      <c r="L99" s="264"/>
      <c r="M99" s="264"/>
      <c r="N99" s="264"/>
      <c r="O99" s="264"/>
      <c r="P99" s="264"/>
      <c r="Q99" s="264"/>
      <c r="R99" s="264"/>
      <c r="S99" s="264"/>
      <c r="T99" s="264"/>
      <c r="U99" s="264"/>
      <c r="V99" s="264"/>
      <c r="W99" s="264"/>
      <c r="X99" s="264"/>
      <c r="Y99" s="264"/>
      <c r="Z99" s="264"/>
    </row>
    <row r="100" spans="1:26" ht="15.75" customHeight="1">
      <c r="A100" s="264"/>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row>
    <row r="101" spans="1:26" ht="15.75" customHeight="1">
      <c r="A101" s="296"/>
      <c r="B101" s="1074" t="s">
        <v>209</v>
      </c>
      <c r="C101" s="875"/>
      <c r="D101" s="858"/>
      <c r="E101" s="264"/>
      <c r="F101" s="264"/>
      <c r="G101" s="264"/>
      <c r="H101" s="264"/>
      <c r="I101" s="264"/>
      <c r="J101" s="264"/>
      <c r="K101" s="264"/>
      <c r="L101" s="264"/>
      <c r="M101" s="264"/>
      <c r="N101" s="297"/>
      <c r="O101" s="297"/>
      <c r="P101" s="297"/>
      <c r="Q101" s="297"/>
      <c r="R101" s="297"/>
      <c r="S101" s="297"/>
      <c r="T101" s="297"/>
      <c r="U101" s="297"/>
      <c r="V101" s="297"/>
      <c r="W101" s="297"/>
      <c r="X101" s="297"/>
      <c r="Y101" s="297"/>
      <c r="Z101" s="297"/>
    </row>
    <row r="102" spans="1:26" ht="15.75" customHeight="1">
      <c r="A102" s="264"/>
      <c r="B102" s="298"/>
      <c r="C102" s="299"/>
      <c r="D102" s="298"/>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row>
    <row r="103" spans="1:26" ht="35.25" customHeight="1">
      <c r="A103" s="264"/>
      <c r="B103" s="1063" t="s">
        <v>600</v>
      </c>
      <c r="C103" s="924"/>
      <c r="D103" s="10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row>
    <row r="104" spans="1:26" ht="15.75" customHeight="1">
      <c r="A104" s="264"/>
      <c r="B104" s="1065" t="s">
        <v>601</v>
      </c>
      <c r="C104" s="1047"/>
      <c r="D104" s="1066"/>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row>
    <row r="105" spans="1:26" ht="15.75" customHeight="1">
      <c r="A105" s="264"/>
      <c r="B105" s="1067"/>
      <c r="C105" s="987"/>
      <c r="D105" s="1068"/>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row>
    <row r="106" spans="1:26" ht="15.75" customHeight="1">
      <c r="A106" s="264"/>
      <c r="B106" s="1075"/>
      <c r="C106" s="1005"/>
      <c r="D106" s="1076"/>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row>
    <row r="107" spans="1:26" ht="15.75" customHeight="1">
      <c r="A107" s="264"/>
      <c r="B107" s="1071" t="s">
        <v>515</v>
      </c>
      <c r="C107" s="1023"/>
      <c r="D107" s="1072" t="s">
        <v>516</v>
      </c>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row>
    <row r="108" spans="1:26" ht="15.75" customHeight="1">
      <c r="A108" s="264"/>
      <c r="B108" s="267" t="s">
        <v>517</v>
      </c>
      <c r="C108" s="268" t="s">
        <v>334</v>
      </c>
      <c r="D108" s="1073"/>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row>
    <row r="109" spans="1:26" ht="15.75" customHeight="1">
      <c r="A109" s="264"/>
      <c r="B109" s="280" t="s">
        <v>602</v>
      </c>
      <c r="C109" s="300" t="s">
        <v>603</v>
      </c>
      <c r="D109" s="270" t="s">
        <v>520</v>
      </c>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row>
    <row r="110" spans="1:26" ht="15.75" customHeight="1">
      <c r="A110" s="264"/>
      <c r="B110" s="276" t="s">
        <v>604</v>
      </c>
      <c r="C110" s="301" t="s">
        <v>605</v>
      </c>
      <c r="D110" s="278" t="s">
        <v>520</v>
      </c>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row>
    <row r="111" spans="1:26" ht="15.75" customHeight="1">
      <c r="A111" s="264"/>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row>
    <row r="112" spans="1:26" ht="33.75" customHeight="1">
      <c r="A112" s="264"/>
      <c r="B112" s="1063" t="s">
        <v>606</v>
      </c>
      <c r="C112" s="924"/>
      <c r="D112" s="10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row>
    <row r="113" spans="1:26" ht="15.75" customHeight="1">
      <c r="A113" s="264"/>
      <c r="B113" s="1065" t="s">
        <v>607</v>
      </c>
      <c r="C113" s="1047"/>
      <c r="D113" s="1066"/>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row>
    <row r="114" spans="1:26" ht="15.75" customHeight="1">
      <c r="A114" s="264"/>
      <c r="B114" s="1067"/>
      <c r="C114" s="987"/>
      <c r="D114" s="1068"/>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row>
    <row r="115" spans="1:26" ht="15.75" customHeight="1">
      <c r="A115" s="264"/>
      <c r="B115" s="1069"/>
      <c r="C115" s="990"/>
      <c r="D115" s="1070"/>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row>
    <row r="116" spans="1:26" ht="15.75" customHeight="1">
      <c r="A116" s="264"/>
      <c r="B116" s="1071" t="s">
        <v>515</v>
      </c>
      <c r="C116" s="1023"/>
      <c r="D116" s="1072" t="s">
        <v>516</v>
      </c>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row>
    <row r="117" spans="1:26" ht="15.75" customHeight="1">
      <c r="A117" s="264"/>
      <c r="B117" s="267" t="s">
        <v>517</v>
      </c>
      <c r="C117" s="268" t="s">
        <v>334</v>
      </c>
      <c r="D117" s="1077"/>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row>
    <row r="118" spans="1:26" ht="36.75" customHeight="1">
      <c r="A118" s="264"/>
      <c r="B118" s="279" t="s">
        <v>608</v>
      </c>
      <c r="C118" s="302" t="s">
        <v>609</v>
      </c>
      <c r="D118" s="270" t="s">
        <v>520</v>
      </c>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row>
    <row r="119" spans="1:26" ht="33.75" customHeight="1">
      <c r="A119" s="264"/>
      <c r="B119" s="303" t="s">
        <v>610</v>
      </c>
      <c r="C119" s="304" t="s">
        <v>611</v>
      </c>
      <c r="D119" s="273" t="s">
        <v>520</v>
      </c>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row>
    <row r="120" spans="1:26" ht="33" customHeight="1">
      <c r="A120" s="264"/>
      <c r="B120" s="303" t="s">
        <v>612</v>
      </c>
      <c r="C120" s="304" t="s">
        <v>613</v>
      </c>
      <c r="D120" s="273" t="s">
        <v>520</v>
      </c>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row>
    <row r="121" spans="1:26" ht="15.75" customHeight="1">
      <c r="A121" s="264"/>
      <c r="B121" s="305" t="s">
        <v>614</v>
      </c>
      <c r="C121" s="306" t="s">
        <v>615</v>
      </c>
      <c r="D121" s="273" t="s">
        <v>520</v>
      </c>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row>
    <row r="122" spans="1:26" ht="34.5" customHeight="1">
      <c r="A122" s="264"/>
      <c r="B122" s="307" t="s">
        <v>616</v>
      </c>
      <c r="C122" s="308" t="s">
        <v>617</v>
      </c>
      <c r="D122" s="278" t="s">
        <v>520</v>
      </c>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row>
    <row r="123" spans="1:26" ht="15.75" customHeight="1">
      <c r="A123" s="264"/>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row>
    <row r="124" spans="1:26" ht="31.5" customHeight="1">
      <c r="A124" s="264"/>
      <c r="B124" s="1063" t="s">
        <v>618</v>
      </c>
      <c r="C124" s="924"/>
      <c r="D124" s="10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row>
    <row r="125" spans="1:26" ht="15.75" customHeight="1">
      <c r="A125" s="264"/>
      <c r="B125" s="1065" t="s">
        <v>619</v>
      </c>
      <c r="C125" s="1047"/>
      <c r="D125" s="1066"/>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row>
    <row r="126" spans="1:26" ht="15.75" customHeight="1">
      <c r="A126" s="264"/>
      <c r="B126" s="1067"/>
      <c r="C126" s="987"/>
      <c r="D126" s="1068"/>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row>
    <row r="127" spans="1:26" ht="15.75" customHeight="1">
      <c r="A127" s="264"/>
      <c r="B127" s="1069"/>
      <c r="C127" s="990"/>
      <c r="D127" s="1070"/>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row>
    <row r="128" spans="1:26" ht="15.75" customHeight="1">
      <c r="A128" s="264"/>
      <c r="B128" s="1071" t="s">
        <v>515</v>
      </c>
      <c r="C128" s="1023"/>
      <c r="D128" s="1072" t="s">
        <v>516</v>
      </c>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row>
    <row r="129" spans="1:26" ht="15.75" customHeight="1">
      <c r="A129" s="264"/>
      <c r="B129" s="267" t="s">
        <v>517</v>
      </c>
      <c r="C129" s="309" t="s">
        <v>334</v>
      </c>
      <c r="D129" s="1077"/>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row>
    <row r="130" spans="1:26" ht="15.75" customHeight="1">
      <c r="A130" s="264"/>
      <c r="B130" s="279" t="s">
        <v>620</v>
      </c>
      <c r="C130" s="310" t="s">
        <v>621</v>
      </c>
      <c r="D130" s="270" t="s">
        <v>520</v>
      </c>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row>
    <row r="131" spans="1:26" ht="15.75" customHeight="1">
      <c r="A131" s="264"/>
      <c r="B131" s="303" t="s">
        <v>518</v>
      </c>
      <c r="C131" s="306" t="s">
        <v>622</v>
      </c>
      <c r="D131" s="273" t="s">
        <v>520</v>
      </c>
      <c r="E131" s="264"/>
      <c r="F131" s="311"/>
      <c r="G131" s="264"/>
      <c r="H131" s="264"/>
      <c r="I131" s="264"/>
      <c r="J131" s="264"/>
      <c r="K131" s="264"/>
      <c r="L131" s="264"/>
      <c r="M131" s="264"/>
      <c r="N131" s="264"/>
      <c r="O131" s="264"/>
      <c r="P131" s="264"/>
      <c r="Q131" s="264"/>
      <c r="R131" s="264"/>
      <c r="S131" s="264"/>
      <c r="T131" s="264"/>
      <c r="U131" s="264"/>
      <c r="V131" s="264"/>
      <c r="W131" s="264"/>
      <c r="X131" s="264"/>
      <c r="Y131" s="264"/>
      <c r="Z131" s="264"/>
    </row>
    <row r="132" spans="1:26" ht="27.75" customHeight="1">
      <c r="A132" s="264"/>
      <c r="B132" s="312" t="s">
        <v>623</v>
      </c>
      <c r="C132" s="313" t="s">
        <v>624</v>
      </c>
      <c r="D132" s="282" t="s">
        <v>545</v>
      </c>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row>
    <row r="133" spans="1:26" ht="15.75" customHeight="1">
      <c r="A133" s="264"/>
      <c r="B133" s="314">
        <v>55.65</v>
      </c>
      <c r="C133" s="315" t="s">
        <v>625</v>
      </c>
      <c r="D133" s="316" t="s">
        <v>545</v>
      </c>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row>
    <row r="134" spans="1:26" ht="15.75" customHeight="1">
      <c r="A134" s="264"/>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row>
    <row r="135" spans="1:26" ht="15.75" customHeight="1">
      <c r="A135" s="296"/>
      <c r="B135" s="1078" t="s">
        <v>240</v>
      </c>
      <c r="C135" s="875"/>
      <c r="D135" s="858"/>
      <c r="E135" s="264"/>
      <c r="F135" s="264"/>
      <c r="G135" s="264"/>
      <c r="H135" s="264"/>
      <c r="I135" s="264"/>
      <c r="J135" s="264"/>
      <c r="K135" s="264"/>
      <c r="L135" s="264"/>
      <c r="M135" s="264"/>
      <c r="N135" s="317"/>
      <c r="O135" s="317"/>
      <c r="P135" s="317"/>
      <c r="Q135" s="317"/>
      <c r="R135" s="317"/>
      <c r="S135" s="317"/>
      <c r="T135" s="317"/>
      <c r="U135" s="317"/>
      <c r="V135" s="317"/>
      <c r="W135" s="317"/>
      <c r="X135" s="317"/>
      <c r="Y135" s="317"/>
      <c r="Z135" s="317"/>
    </row>
    <row r="136" spans="1:26" ht="15.75" customHeight="1">
      <c r="A136" s="317"/>
      <c r="B136" s="1079" t="s">
        <v>626</v>
      </c>
      <c r="C136" s="875"/>
      <c r="D136" s="858"/>
      <c r="E136" s="317"/>
      <c r="F136" s="317"/>
      <c r="G136" s="317"/>
      <c r="H136" s="317"/>
      <c r="I136" s="317"/>
      <c r="J136" s="317"/>
      <c r="K136" s="317"/>
      <c r="L136" s="317"/>
      <c r="M136" s="317"/>
      <c r="N136" s="317"/>
      <c r="O136" s="317"/>
      <c r="P136" s="317"/>
      <c r="Q136" s="317"/>
      <c r="R136" s="317"/>
      <c r="S136" s="317"/>
      <c r="T136" s="317"/>
      <c r="U136" s="317"/>
      <c r="V136" s="317"/>
      <c r="W136" s="317"/>
      <c r="X136" s="317"/>
      <c r="Y136" s="317"/>
      <c r="Z136" s="317"/>
    </row>
    <row r="137" spans="1:26" ht="15.75" customHeight="1">
      <c r="A137" s="264"/>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row>
    <row r="138" spans="1:26" ht="37.5" customHeight="1">
      <c r="A138" s="264"/>
      <c r="B138" s="1063" t="s">
        <v>627</v>
      </c>
      <c r="C138" s="924"/>
      <c r="D138" s="10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row>
    <row r="139" spans="1:26" ht="15.75" customHeight="1">
      <c r="A139" s="264"/>
      <c r="B139" s="1065" t="s">
        <v>628</v>
      </c>
      <c r="C139" s="1047"/>
      <c r="D139" s="1066"/>
      <c r="E139" s="264"/>
      <c r="F139" s="295"/>
      <c r="G139" s="295"/>
      <c r="H139" s="295"/>
      <c r="I139" s="264"/>
      <c r="J139" s="264"/>
      <c r="K139" s="264"/>
      <c r="L139" s="264"/>
      <c r="M139" s="264"/>
      <c r="N139" s="264"/>
      <c r="O139" s="264"/>
      <c r="P139" s="264"/>
      <c r="Q139" s="264"/>
      <c r="R139" s="264"/>
      <c r="S139" s="264"/>
      <c r="T139" s="264"/>
      <c r="U139" s="264"/>
      <c r="V139" s="264"/>
      <c r="W139" s="264"/>
      <c r="X139" s="264"/>
      <c r="Y139" s="264"/>
      <c r="Z139" s="264"/>
    </row>
    <row r="140" spans="1:26" ht="15.75" customHeight="1">
      <c r="A140" s="264"/>
      <c r="B140" s="1067"/>
      <c r="C140" s="987"/>
      <c r="D140" s="1068"/>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row>
    <row r="141" spans="1:26" ht="15.75" customHeight="1">
      <c r="A141" s="264"/>
      <c r="B141" s="1069"/>
      <c r="C141" s="990"/>
      <c r="D141" s="1070"/>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row>
    <row r="142" spans="1:26" ht="15.75" customHeight="1">
      <c r="A142" s="264"/>
      <c r="B142" s="1071" t="s">
        <v>515</v>
      </c>
      <c r="C142" s="1023"/>
      <c r="D142" s="1072" t="s">
        <v>516</v>
      </c>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row>
    <row r="143" spans="1:26" ht="15.75" customHeight="1">
      <c r="A143" s="264"/>
      <c r="B143" s="269" t="s">
        <v>517</v>
      </c>
      <c r="C143" s="318" t="s">
        <v>334</v>
      </c>
      <c r="D143" s="1077"/>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row>
    <row r="144" spans="1:26" ht="33.75" customHeight="1">
      <c r="A144" s="264"/>
      <c r="B144" s="319" t="s">
        <v>629</v>
      </c>
      <c r="C144" s="320" t="s">
        <v>630</v>
      </c>
      <c r="D144" s="290" t="s">
        <v>520</v>
      </c>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row>
    <row r="145" spans="1:26" ht="33" customHeight="1">
      <c r="A145" s="264"/>
      <c r="B145" s="303" t="s">
        <v>631</v>
      </c>
      <c r="C145" s="295" t="s">
        <v>632</v>
      </c>
      <c r="D145" s="273" t="s">
        <v>520</v>
      </c>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row>
    <row r="146" spans="1:26" ht="35.25" customHeight="1">
      <c r="A146" s="264"/>
      <c r="B146" s="276" t="s">
        <v>633</v>
      </c>
      <c r="C146" s="277" t="s">
        <v>634</v>
      </c>
      <c r="D146" s="278" t="s">
        <v>520</v>
      </c>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row>
    <row r="147" spans="1:26" ht="15.75" customHeight="1">
      <c r="A147" s="264"/>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row>
    <row r="148" spans="1:26" ht="36.75" customHeight="1">
      <c r="A148" s="264"/>
      <c r="B148" s="1063" t="s">
        <v>635</v>
      </c>
      <c r="C148" s="924"/>
      <c r="D148" s="10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row>
    <row r="149" spans="1:26" ht="15.75" customHeight="1">
      <c r="A149" s="264"/>
      <c r="B149" s="1080" t="s">
        <v>636</v>
      </c>
      <c r="C149" s="1047"/>
      <c r="D149" s="1066"/>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row>
    <row r="150" spans="1:26" ht="15.75" customHeight="1">
      <c r="A150" s="264"/>
      <c r="B150" s="1067"/>
      <c r="C150" s="987"/>
      <c r="D150" s="1068"/>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row>
    <row r="151" spans="1:26" ht="15.75" customHeight="1">
      <c r="A151" s="264"/>
      <c r="B151" s="1069"/>
      <c r="C151" s="990"/>
      <c r="D151" s="1070"/>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row>
    <row r="152" spans="1:26" ht="15.75" customHeight="1">
      <c r="A152" s="264"/>
      <c r="B152" s="1071" t="s">
        <v>515</v>
      </c>
      <c r="C152" s="1023"/>
      <c r="D152" s="1072" t="s">
        <v>516</v>
      </c>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row>
    <row r="153" spans="1:26" ht="15.75" customHeight="1">
      <c r="A153" s="264"/>
      <c r="B153" s="267" t="s">
        <v>517</v>
      </c>
      <c r="C153" s="309" t="s">
        <v>334</v>
      </c>
      <c r="D153" s="1073"/>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row>
    <row r="154" spans="1:26" ht="15.75" customHeight="1">
      <c r="A154" s="264"/>
      <c r="B154" s="319" t="s">
        <v>637</v>
      </c>
      <c r="C154" s="321" t="s">
        <v>638</v>
      </c>
      <c r="D154" s="290" t="s">
        <v>520</v>
      </c>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row>
    <row r="155" spans="1:26" ht="15.75" customHeight="1">
      <c r="A155" s="264"/>
      <c r="B155" s="280" t="s">
        <v>639</v>
      </c>
      <c r="C155" s="322" t="s">
        <v>640</v>
      </c>
      <c r="D155" s="273" t="s">
        <v>520</v>
      </c>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row>
    <row r="156" spans="1:26" ht="15.75" customHeight="1">
      <c r="A156" s="264"/>
      <c r="B156" s="280" t="s">
        <v>641</v>
      </c>
      <c r="C156" s="322" t="s">
        <v>642</v>
      </c>
      <c r="D156" s="323" t="s">
        <v>545</v>
      </c>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row>
    <row r="157" spans="1:26" ht="15.75" customHeight="1">
      <c r="A157" s="264"/>
      <c r="B157" s="324">
        <v>0.67</v>
      </c>
      <c r="C157" s="295" t="s">
        <v>643</v>
      </c>
      <c r="D157" s="323" t="s">
        <v>545</v>
      </c>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row>
    <row r="158" spans="1:26" ht="15.75" customHeight="1">
      <c r="A158" s="264"/>
      <c r="B158" s="312" t="s">
        <v>644</v>
      </c>
      <c r="C158" s="295" t="s">
        <v>645</v>
      </c>
      <c r="D158" s="323" t="s">
        <v>545</v>
      </c>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row>
    <row r="159" spans="1:26" ht="15.75" customHeight="1">
      <c r="A159" s="264"/>
      <c r="B159" s="325" t="s">
        <v>646</v>
      </c>
      <c r="C159" s="326" t="s">
        <v>647</v>
      </c>
      <c r="D159" s="327" t="s">
        <v>545</v>
      </c>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row>
    <row r="160" spans="1:26" ht="15.75" customHeight="1">
      <c r="A160" s="264"/>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row>
    <row r="161" spans="1:26" ht="36.75" customHeight="1">
      <c r="A161" s="264"/>
      <c r="B161" s="1063" t="s">
        <v>648</v>
      </c>
      <c r="C161" s="924"/>
      <c r="D161" s="10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row>
    <row r="162" spans="1:26" ht="15.75" customHeight="1">
      <c r="A162" s="264"/>
      <c r="B162" s="1080" t="s">
        <v>243</v>
      </c>
      <c r="C162" s="1047"/>
      <c r="D162" s="1066"/>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row>
    <row r="163" spans="1:26" ht="15.75" customHeight="1">
      <c r="A163" s="264"/>
      <c r="B163" s="1067"/>
      <c r="C163" s="987"/>
      <c r="D163" s="1068"/>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row>
    <row r="164" spans="1:26" ht="15.75" customHeight="1">
      <c r="A164" s="264"/>
      <c r="B164" s="1069"/>
      <c r="C164" s="990"/>
      <c r="D164" s="1070"/>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row>
    <row r="165" spans="1:26" ht="15.75" customHeight="1">
      <c r="A165" s="264"/>
      <c r="B165" s="1071" t="s">
        <v>515</v>
      </c>
      <c r="C165" s="1023"/>
      <c r="D165" s="1072" t="s">
        <v>516</v>
      </c>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row>
    <row r="166" spans="1:26" ht="15.75" customHeight="1">
      <c r="A166" s="264"/>
      <c r="B166" s="267" t="s">
        <v>517</v>
      </c>
      <c r="C166" s="309" t="s">
        <v>334</v>
      </c>
      <c r="D166" s="1073"/>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row>
    <row r="167" spans="1:26" ht="15.75" customHeight="1">
      <c r="A167" s="264"/>
      <c r="B167" s="319" t="s">
        <v>649</v>
      </c>
      <c r="C167" s="320" t="s">
        <v>650</v>
      </c>
      <c r="D167" s="290" t="s">
        <v>520</v>
      </c>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row>
    <row r="168" spans="1:26" ht="15.75" customHeight="1">
      <c r="A168" s="264"/>
      <c r="B168" s="280" t="s">
        <v>518</v>
      </c>
      <c r="C168" s="264" t="s">
        <v>651</v>
      </c>
      <c r="D168" s="273" t="s">
        <v>520</v>
      </c>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row>
    <row r="169" spans="1:26" ht="15.75" customHeight="1">
      <c r="A169" s="264"/>
      <c r="B169" s="280" t="s">
        <v>537</v>
      </c>
      <c r="C169" s="264" t="s">
        <v>652</v>
      </c>
      <c r="D169" s="273" t="s">
        <v>520</v>
      </c>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row>
    <row r="170" spans="1:26" ht="29.25" customHeight="1">
      <c r="A170" s="264"/>
      <c r="B170" s="312" t="s">
        <v>653</v>
      </c>
      <c r="C170" s="295" t="s">
        <v>654</v>
      </c>
      <c r="D170" s="323" t="s">
        <v>545</v>
      </c>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row>
    <row r="171" spans="1:26" ht="30" customHeight="1">
      <c r="A171" s="264"/>
      <c r="B171" s="312" t="s">
        <v>655</v>
      </c>
      <c r="C171" s="295" t="s">
        <v>656</v>
      </c>
      <c r="D171" s="323" t="s">
        <v>545</v>
      </c>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row>
    <row r="172" spans="1:26" ht="15.75" customHeight="1">
      <c r="A172" s="264"/>
      <c r="B172" s="328">
        <v>18.45</v>
      </c>
      <c r="C172" s="277" t="s">
        <v>657</v>
      </c>
      <c r="D172" s="327" t="s">
        <v>545</v>
      </c>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row>
    <row r="173" spans="1:26" ht="15.75" customHeight="1">
      <c r="A173" s="264"/>
      <c r="B173" s="329"/>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row>
    <row r="174" spans="1:26" ht="15.75" customHeight="1">
      <c r="A174" s="296"/>
      <c r="B174" s="1079" t="s">
        <v>658</v>
      </c>
      <c r="C174" s="875"/>
      <c r="D174" s="858"/>
      <c r="E174" s="264"/>
      <c r="F174" s="264"/>
      <c r="G174" s="264"/>
      <c r="H174" s="264"/>
      <c r="I174" s="264"/>
      <c r="J174" s="264"/>
      <c r="K174" s="264"/>
      <c r="L174" s="264"/>
      <c r="M174" s="264"/>
      <c r="N174" s="317"/>
      <c r="O174" s="317"/>
      <c r="P174" s="317"/>
      <c r="Q174" s="317"/>
      <c r="R174" s="317"/>
      <c r="S174" s="317"/>
      <c r="T174" s="317"/>
      <c r="U174" s="317"/>
      <c r="V174" s="317"/>
      <c r="W174" s="317"/>
      <c r="X174" s="317"/>
      <c r="Y174" s="317"/>
      <c r="Z174" s="317"/>
    </row>
    <row r="175" spans="1:26" ht="15.75" customHeight="1">
      <c r="A175" s="317"/>
      <c r="B175" s="1081" t="s">
        <v>659</v>
      </c>
      <c r="C175" s="875"/>
      <c r="D175" s="858"/>
      <c r="E175" s="317"/>
      <c r="F175" s="317"/>
      <c r="G175" s="317"/>
      <c r="H175" s="317"/>
      <c r="I175" s="317"/>
      <c r="J175" s="317"/>
      <c r="K175" s="317"/>
      <c r="L175" s="317"/>
      <c r="M175" s="317"/>
      <c r="N175" s="317"/>
      <c r="O175" s="317"/>
      <c r="P175" s="317"/>
      <c r="Q175" s="317"/>
      <c r="R175" s="317"/>
      <c r="S175" s="317"/>
      <c r="T175" s="317"/>
      <c r="U175" s="317"/>
      <c r="V175" s="317"/>
      <c r="W175" s="317"/>
      <c r="X175" s="317"/>
      <c r="Y175" s="317"/>
      <c r="Z175" s="317"/>
    </row>
    <row r="176" spans="1:26" ht="15.75" customHeight="1">
      <c r="A176" s="264"/>
      <c r="B176" s="298"/>
      <c r="C176" s="299"/>
      <c r="D176" s="298"/>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row>
    <row r="177" spans="1:26" ht="38.25" customHeight="1">
      <c r="A177" s="264"/>
      <c r="B177" s="1063" t="s">
        <v>660</v>
      </c>
      <c r="C177" s="924"/>
      <c r="D177" s="10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row>
    <row r="178" spans="1:26" ht="15.75" customHeight="1">
      <c r="A178" s="264"/>
      <c r="B178" s="1080" t="s">
        <v>661</v>
      </c>
      <c r="C178" s="1047"/>
      <c r="D178" s="1066"/>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row>
    <row r="179" spans="1:26" ht="15.75" customHeight="1">
      <c r="A179" s="264"/>
      <c r="B179" s="1067"/>
      <c r="C179" s="987"/>
      <c r="D179" s="1068"/>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row>
    <row r="180" spans="1:26" ht="15.75" customHeight="1">
      <c r="A180" s="264"/>
      <c r="B180" s="1069"/>
      <c r="C180" s="990"/>
      <c r="D180" s="1070"/>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row>
    <row r="181" spans="1:26" ht="15.75" customHeight="1">
      <c r="A181" s="264"/>
      <c r="B181" s="1071" t="s">
        <v>515</v>
      </c>
      <c r="C181" s="1023"/>
      <c r="D181" s="1072" t="s">
        <v>516</v>
      </c>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row>
    <row r="182" spans="1:26" ht="15.75" customHeight="1">
      <c r="A182" s="264"/>
      <c r="B182" s="267" t="s">
        <v>517</v>
      </c>
      <c r="C182" s="330" t="s">
        <v>334</v>
      </c>
      <c r="D182" s="1073"/>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row>
    <row r="183" spans="1:26" ht="15.75" customHeight="1">
      <c r="A183" s="264"/>
      <c r="B183" s="319" t="s">
        <v>662</v>
      </c>
      <c r="C183" s="295" t="s">
        <v>663</v>
      </c>
      <c r="D183" s="290" t="s">
        <v>520</v>
      </c>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row>
    <row r="184" spans="1:26" ht="15.75" customHeight="1">
      <c r="A184" s="264"/>
      <c r="B184" s="280" t="s">
        <v>664</v>
      </c>
      <c r="C184" s="295" t="s">
        <v>665</v>
      </c>
      <c r="D184" s="273" t="s">
        <v>520</v>
      </c>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row>
    <row r="185" spans="1:26" ht="15.75" customHeight="1">
      <c r="A185" s="264"/>
      <c r="B185" s="280" t="s">
        <v>666</v>
      </c>
      <c r="C185" s="295" t="s">
        <v>667</v>
      </c>
      <c r="D185" s="273" t="s">
        <v>520</v>
      </c>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row>
    <row r="186" spans="1:26" ht="15.75" customHeight="1">
      <c r="A186" s="264"/>
      <c r="B186" s="312" t="s">
        <v>668</v>
      </c>
      <c r="C186" s="295" t="s">
        <v>647</v>
      </c>
      <c r="D186" s="323" t="s">
        <v>545</v>
      </c>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row>
    <row r="187" spans="1:26" ht="15.75" customHeight="1">
      <c r="A187" s="264"/>
      <c r="B187" s="312" t="s">
        <v>669</v>
      </c>
      <c r="C187" s="295" t="s">
        <v>670</v>
      </c>
      <c r="D187" s="331" t="s">
        <v>520</v>
      </c>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row>
    <row r="188" spans="1:26" ht="15.75" customHeight="1">
      <c r="A188" s="264"/>
      <c r="B188" s="312" t="s">
        <v>671</v>
      </c>
      <c r="C188" s="295" t="s">
        <v>672</v>
      </c>
      <c r="D188" s="323" t="s">
        <v>545</v>
      </c>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row>
    <row r="189" spans="1:26" ht="15.75" customHeight="1">
      <c r="A189" s="264"/>
      <c r="B189" s="325" t="s">
        <v>673</v>
      </c>
      <c r="C189" s="277" t="s">
        <v>674</v>
      </c>
      <c r="D189" s="327" t="s">
        <v>545</v>
      </c>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row>
    <row r="190" spans="1:26" ht="15.75" customHeight="1">
      <c r="A190" s="264"/>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row>
    <row r="191" spans="1:26" ht="42" customHeight="1">
      <c r="A191" s="264"/>
      <c r="B191" s="1063" t="s">
        <v>675</v>
      </c>
      <c r="C191" s="924"/>
      <c r="D191" s="10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row>
    <row r="192" spans="1:26" ht="15.75" customHeight="1">
      <c r="A192" s="264"/>
      <c r="B192" s="1080" t="s">
        <v>676</v>
      </c>
      <c r="C192" s="1047"/>
      <c r="D192" s="1066"/>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row>
    <row r="193" spans="1:26" ht="15.75" customHeight="1">
      <c r="A193" s="264"/>
      <c r="B193" s="1067"/>
      <c r="C193" s="987"/>
      <c r="D193" s="1068"/>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row>
    <row r="194" spans="1:26" ht="15.75" customHeight="1">
      <c r="A194" s="264"/>
      <c r="B194" s="1069"/>
      <c r="C194" s="990"/>
      <c r="D194" s="1070"/>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row>
    <row r="195" spans="1:26" ht="15.75" customHeight="1">
      <c r="A195" s="264"/>
      <c r="B195" s="1071" t="s">
        <v>515</v>
      </c>
      <c r="C195" s="1023"/>
      <c r="D195" s="1072" t="s">
        <v>516</v>
      </c>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row>
    <row r="196" spans="1:26" ht="15.75" customHeight="1">
      <c r="A196" s="264"/>
      <c r="B196" s="267" t="s">
        <v>517</v>
      </c>
      <c r="C196" s="309" t="s">
        <v>334</v>
      </c>
      <c r="D196" s="1077"/>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row>
    <row r="197" spans="1:26" ht="15.75" customHeight="1">
      <c r="A197" s="264"/>
      <c r="B197" s="319" t="s">
        <v>677</v>
      </c>
      <c r="C197" s="264" t="s">
        <v>678</v>
      </c>
      <c r="D197" s="290" t="s">
        <v>520</v>
      </c>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row>
    <row r="198" spans="1:26" ht="15.75" customHeight="1">
      <c r="A198" s="264"/>
      <c r="B198" s="280" t="s">
        <v>679</v>
      </c>
      <c r="C198" s="295" t="s">
        <v>680</v>
      </c>
      <c r="D198" s="273" t="s">
        <v>520</v>
      </c>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row>
    <row r="199" spans="1:26" ht="15.75" customHeight="1">
      <c r="A199" s="264"/>
      <c r="B199" s="283" t="s">
        <v>681</v>
      </c>
      <c r="C199" s="277" t="s">
        <v>682</v>
      </c>
      <c r="D199" s="278" t="s">
        <v>520</v>
      </c>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row>
    <row r="200" spans="1:26" ht="15.75" customHeight="1">
      <c r="A200" s="264"/>
      <c r="B200" s="300"/>
      <c r="C200" s="295"/>
      <c r="D200" s="332"/>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row>
    <row r="201" spans="1:26" ht="39.75" customHeight="1">
      <c r="A201" s="264"/>
      <c r="B201" s="1063" t="s">
        <v>683</v>
      </c>
      <c r="C201" s="924"/>
      <c r="D201" s="10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row>
    <row r="202" spans="1:26" ht="15.75" customHeight="1">
      <c r="A202" s="264"/>
      <c r="B202" s="1080" t="s">
        <v>684</v>
      </c>
      <c r="C202" s="1047"/>
      <c r="D202" s="1066"/>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row>
    <row r="203" spans="1:26" ht="15.75" customHeight="1">
      <c r="A203" s="264"/>
      <c r="B203" s="1067"/>
      <c r="C203" s="987"/>
      <c r="D203" s="1068"/>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row>
    <row r="204" spans="1:26" ht="15.75" customHeight="1">
      <c r="A204" s="264"/>
      <c r="B204" s="1069"/>
      <c r="C204" s="990"/>
      <c r="D204" s="1070"/>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row>
    <row r="205" spans="1:26" ht="15.75" customHeight="1">
      <c r="A205" s="264"/>
      <c r="B205" s="1071" t="s">
        <v>515</v>
      </c>
      <c r="C205" s="1023"/>
      <c r="D205" s="1072" t="s">
        <v>516</v>
      </c>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row>
    <row r="206" spans="1:26" ht="15.75" customHeight="1">
      <c r="A206" s="264"/>
      <c r="B206" s="267" t="s">
        <v>517</v>
      </c>
      <c r="C206" s="309" t="s">
        <v>334</v>
      </c>
      <c r="D206" s="1077"/>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row>
    <row r="207" spans="1:26" ht="15.75" customHeight="1">
      <c r="A207" s="264"/>
      <c r="B207" s="319" t="s">
        <v>685</v>
      </c>
      <c r="C207" s="264" t="s">
        <v>686</v>
      </c>
      <c r="D207" s="290" t="s">
        <v>520</v>
      </c>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row>
    <row r="208" spans="1:26" ht="15.75" customHeight="1">
      <c r="A208" s="264"/>
      <c r="B208" s="279" t="s">
        <v>518</v>
      </c>
      <c r="C208" s="333" t="s">
        <v>687</v>
      </c>
      <c r="D208" s="334" t="s">
        <v>520</v>
      </c>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row>
    <row r="209" spans="1:26" ht="15.75" customHeight="1">
      <c r="A209" s="264"/>
      <c r="B209" s="324">
        <v>18.45</v>
      </c>
      <c r="C209" s="322" t="s">
        <v>688</v>
      </c>
      <c r="D209" s="334" t="s">
        <v>520</v>
      </c>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row>
    <row r="210" spans="1:26" ht="15.75" customHeight="1">
      <c r="A210" s="264"/>
      <c r="B210" s="280" t="s">
        <v>689</v>
      </c>
      <c r="C210" s="335" t="s">
        <v>690</v>
      </c>
      <c r="D210" s="33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row>
    <row r="211" spans="1:26" ht="15.75" customHeight="1">
      <c r="A211" s="264"/>
      <c r="B211" s="336">
        <v>6.25</v>
      </c>
      <c r="C211" s="326" t="s">
        <v>691</v>
      </c>
      <c r="D211" s="337" t="s">
        <v>520</v>
      </c>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row>
    <row r="212" spans="1:26" ht="15.75" customHeight="1">
      <c r="A212" s="264"/>
      <c r="B212" s="338"/>
      <c r="C212" s="295"/>
      <c r="D212" s="332"/>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row>
    <row r="213" spans="1:26" ht="38.25" customHeight="1">
      <c r="A213" s="264"/>
      <c r="B213" s="1063" t="s">
        <v>692</v>
      </c>
      <c r="C213" s="924"/>
      <c r="D213" s="10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row>
    <row r="214" spans="1:26" ht="15.75" customHeight="1">
      <c r="A214" s="264"/>
      <c r="B214" s="1080" t="s">
        <v>693</v>
      </c>
      <c r="C214" s="1047"/>
      <c r="D214" s="1066"/>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row>
    <row r="215" spans="1:26" ht="15.75" customHeight="1">
      <c r="A215" s="264"/>
      <c r="B215" s="1067"/>
      <c r="C215" s="987"/>
      <c r="D215" s="1068"/>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row>
    <row r="216" spans="1:26" ht="15.75" customHeight="1">
      <c r="A216" s="264"/>
      <c r="B216" s="1069"/>
      <c r="C216" s="990"/>
      <c r="D216" s="1070"/>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row>
    <row r="217" spans="1:26" ht="15.75" customHeight="1">
      <c r="A217" s="264"/>
      <c r="B217" s="1071" t="s">
        <v>515</v>
      </c>
      <c r="C217" s="1023"/>
      <c r="D217" s="1072" t="s">
        <v>516</v>
      </c>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row>
    <row r="218" spans="1:26" ht="15.75" customHeight="1">
      <c r="A218" s="264"/>
      <c r="B218" s="269" t="s">
        <v>517</v>
      </c>
      <c r="C218" s="318" t="s">
        <v>334</v>
      </c>
      <c r="D218" s="1077"/>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row>
    <row r="219" spans="1:26" ht="15.75" customHeight="1">
      <c r="A219" s="264"/>
      <c r="B219" s="339" t="s">
        <v>694</v>
      </c>
      <c r="C219" s="340" t="s">
        <v>695</v>
      </c>
      <c r="D219" s="290" t="s">
        <v>520</v>
      </c>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row>
    <row r="220" spans="1:26" ht="15.75" customHeight="1">
      <c r="A220" s="264"/>
      <c r="B220" s="324" t="s">
        <v>696</v>
      </c>
      <c r="C220" s="264" t="s">
        <v>697</v>
      </c>
      <c r="D220" s="273" t="s">
        <v>520</v>
      </c>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row>
    <row r="221" spans="1:26" ht="15.75" customHeight="1">
      <c r="A221" s="264"/>
      <c r="B221" s="324" t="s">
        <v>698</v>
      </c>
      <c r="C221" s="295" t="s">
        <v>699</v>
      </c>
      <c r="D221" s="273" t="s">
        <v>520</v>
      </c>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row>
    <row r="222" spans="1:26" ht="15.75" customHeight="1">
      <c r="A222" s="264"/>
      <c r="B222" s="324">
        <v>6.38</v>
      </c>
      <c r="C222" s="295" t="s">
        <v>700</v>
      </c>
      <c r="D222" s="282" t="s">
        <v>545</v>
      </c>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row>
    <row r="223" spans="1:26" ht="15.75" customHeight="1">
      <c r="A223" s="264"/>
      <c r="B223" s="341" t="s">
        <v>565</v>
      </c>
      <c r="C223" s="264" t="s">
        <v>701</v>
      </c>
      <c r="D223" s="273" t="s">
        <v>520</v>
      </c>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row>
    <row r="224" spans="1:26" ht="15.75" customHeight="1">
      <c r="A224" s="264"/>
      <c r="B224" s="341" t="s">
        <v>702</v>
      </c>
      <c r="C224" s="295" t="s">
        <v>703</v>
      </c>
      <c r="D224" s="282" t="s">
        <v>545</v>
      </c>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row>
    <row r="225" spans="1:26" ht="15.75" customHeight="1">
      <c r="A225" s="264"/>
      <c r="B225" s="341">
        <v>1000</v>
      </c>
      <c r="C225" s="295" t="s">
        <v>704</v>
      </c>
      <c r="D225" s="282" t="s">
        <v>545</v>
      </c>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row>
    <row r="226" spans="1:26" ht="15.75" customHeight="1">
      <c r="A226" s="264"/>
      <c r="B226" s="341" t="s">
        <v>705</v>
      </c>
      <c r="C226" s="295" t="s">
        <v>706</v>
      </c>
      <c r="D226" s="273" t="s">
        <v>520</v>
      </c>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row>
    <row r="227" spans="1:26" ht="15.75" customHeight="1">
      <c r="A227" s="264"/>
      <c r="B227" s="328">
        <v>6.25</v>
      </c>
      <c r="C227" s="277" t="s">
        <v>707</v>
      </c>
      <c r="D227" s="316" t="s">
        <v>545</v>
      </c>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row>
    <row r="228" spans="1:26" ht="15.75" customHeight="1">
      <c r="A228" s="264"/>
      <c r="B228" s="338"/>
      <c r="C228" s="295"/>
      <c r="D228" s="332"/>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row>
    <row r="229" spans="1:26" ht="15.75" customHeight="1">
      <c r="A229" s="296"/>
      <c r="B229" s="1081" t="s">
        <v>708</v>
      </c>
      <c r="C229" s="875"/>
      <c r="D229" s="858"/>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row>
    <row r="230" spans="1:26" ht="15.75" customHeight="1">
      <c r="A230" s="264"/>
      <c r="B230" s="264"/>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row>
    <row r="231" spans="1:26" ht="38.25" customHeight="1">
      <c r="A231" s="264"/>
      <c r="B231" s="1063" t="s">
        <v>709</v>
      </c>
      <c r="C231" s="924"/>
      <c r="D231" s="10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row>
    <row r="232" spans="1:26" ht="15.75" customHeight="1">
      <c r="A232" s="264"/>
      <c r="B232" s="1080" t="s">
        <v>710</v>
      </c>
      <c r="C232" s="1047"/>
      <c r="D232" s="1066"/>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row>
    <row r="233" spans="1:26" ht="15.75" customHeight="1">
      <c r="A233" s="264"/>
      <c r="B233" s="1067"/>
      <c r="C233" s="987"/>
      <c r="D233" s="1068"/>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row>
    <row r="234" spans="1:26" ht="15.75" customHeight="1">
      <c r="A234" s="264"/>
      <c r="B234" s="1069"/>
      <c r="C234" s="990"/>
      <c r="D234" s="1070"/>
      <c r="E234" s="264"/>
      <c r="F234" s="264"/>
      <c r="G234" s="264"/>
      <c r="H234" s="264"/>
      <c r="I234" s="264"/>
      <c r="J234" s="264"/>
      <c r="K234" s="264"/>
      <c r="L234" s="264"/>
      <c r="M234" s="264"/>
      <c r="N234" s="264"/>
      <c r="O234" s="264"/>
      <c r="P234" s="264"/>
      <c r="Q234" s="264"/>
      <c r="R234" s="264"/>
      <c r="S234" s="264"/>
      <c r="T234" s="264"/>
      <c r="U234" s="264"/>
      <c r="V234" s="264"/>
      <c r="W234" s="264"/>
      <c r="X234" s="264"/>
      <c r="Y234" s="264"/>
      <c r="Z234" s="264"/>
    </row>
    <row r="235" spans="1:26" ht="15.75" customHeight="1">
      <c r="A235" s="264"/>
      <c r="B235" s="1071" t="s">
        <v>515</v>
      </c>
      <c r="C235" s="1023"/>
      <c r="D235" s="1072" t="s">
        <v>516</v>
      </c>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row>
    <row r="236" spans="1:26" ht="15.75" customHeight="1">
      <c r="A236" s="264"/>
      <c r="B236" s="267" t="s">
        <v>517</v>
      </c>
      <c r="C236" s="309" t="s">
        <v>334</v>
      </c>
      <c r="D236" s="1073"/>
      <c r="E236" s="264"/>
      <c r="F236" s="264"/>
      <c r="G236" s="264"/>
      <c r="H236" s="264"/>
      <c r="I236" s="264"/>
      <c r="J236" s="264"/>
      <c r="K236" s="264"/>
      <c r="L236" s="264"/>
      <c r="M236" s="264"/>
      <c r="N236" s="264"/>
      <c r="O236" s="264"/>
      <c r="P236" s="264"/>
      <c r="Q236" s="264"/>
      <c r="R236" s="264"/>
      <c r="S236" s="264"/>
      <c r="T236" s="264"/>
      <c r="U236" s="264"/>
      <c r="V236" s="264"/>
      <c r="W236" s="264"/>
      <c r="X236" s="264"/>
      <c r="Y236" s="264"/>
      <c r="Z236" s="264"/>
    </row>
    <row r="237" spans="1:26" ht="15.75" customHeight="1">
      <c r="A237" s="264"/>
      <c r="B237" s="319" t="s">
        <v>711</v>
      </c>
      <c r="C237" s="295" t="s">
        <v>712</v>
      </c>
      <c r="D237" s="290" t="s">
        <v>520</v>
      </c>
      <c r="E237" s="264"/>
      <c r="F237" s="264"/>
      <c r="G237" s="264"/>
      <c r="H237" s="264"/>
      <c r="I237" s="264"/>
      <c r="J237" s="264"/>
      <c r="K237" s="264"/>
      <c r="L237" s="264"/>
      <c r="M237" s="264"/>
      <c r="N237" s="264"/>
      <c r="O237" s="264"/>
      <c r="P237" s="264"/>
      <c r="Q237" s="264"/>
      <c r="R237" s="264"/>
      <c r="S237" s="264"/>
      <c r="T237" s="264"/>
      <c r="U237" s="264"/>
      <c r="V237" s="264"/>
      <c r="W237" s="264"/>
      <c r="X237" s="264"/>
      <c r="Y237" s="264"/>
      <c r="Z237" s="264"/>
    </row>
    <row r="238" spans="1:26" ht="15.75" customHeight="1">
      <c r="A238" s="264"/>
      <c r="B238" s="280" t="s">
        <v>713</v>
      </c>
      <c r="C238" s="295" t="s">
        <v>714</v>
      </c>
      <c r="D238" s="273" t="s">
        <v>520</v>
      </c>
      <c r="E238" s="264"/>
      <c r="F238" s="264"/>
      <c r="G238" s="264"/>
      <c r="H238" s="264"/>
      <c r="I238" s="264"/>
      <c r="J238" s="264"/>
      <c r="K238" s="264"/>
      <c r="L238" s="264"/>
      <c r="M238" s="264"/>
      <c r="N238" s="264"/>
      <c r="O238" s="264"/>
      <c r="P238" s="264"/>
      <c r="Q238" s="264"/>
      <c r="R238" s="264"/>
      <c r="S238" s="264"/>
      <c r="T238" s="264"/>
      <c r="U238" s="264"/>
      <c r="V238" s="264"/>
      <c r="W238" s="264"/>
      <c r="X238" s="264"/>
      <c r="Y238" s="264"/>
      <c r="Z238" s="264"/>
    </row>
    <row r="239" spans="1:26" ht="15.75" customHeight="1">
      <c r="A239" s="264"/>
      <c r="B239" s="283" t="s">
        <v>715</v>
      </c>
      <c r="C239" s="326" t="s">
        <v>716</v>
      </c>
      <c r="D239" s="316" t="s">
        <v>545</v>
      </c>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row>
    <row r="240" spans="1:26" ht="15.75" customHeight="1">
      <c r="A240" s="264"/>
      <c r="B240" s="300"/>
      <c r="C240" s="295"/>
      <c r="D240" s="311"/>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4"/>
    </row>
    <row r="241" spans="1:26" ht="40.5" customHeight="1">
      <c r="A241" s="264"/>
      <c r="B241" s="1063" t="s">
        <v>717</v>
      </c>
      <c r="C241" s="924"/>
      <c r="D241" s="1064"/>
      <c r="E241" s="264"/>
      <c r="F241" s="264"/>
      <c r="G241" s="264"/>
      <c r="H241" s="264"/>
      <c r="I241" s="264"/>
      <c r="J241" s="264"/>
      <c r="K241" s="264"/>
      <c r="L241" s="264"/>
      <c r="M241" s="264"/>
      <c r="N241" s="264"/>
      <c r="O241" s="264"/>
      <c r="P241" s="264"/>
      <c r="Q241" s="264"/>
      <c r="R241" s="264"/>
      <c r="S241" s="264"/>
      <c r="T241" s="264"/>
      <c r="U241" s="264"/>
      <c r="V241" s="264"/>
      <c r="W241" s="264"/>
      <c r="X241" s="264"/>
      <c r="Y241" s="264"/>
      <c r="Z241" s="264"/>
    </row>
    <row r="242" spans="1:26" ht="15.75" customHeight="1">
      <c r="A242" s="264"/>
      <c r="B242" s="1080" t="s">
        <v>718</v>
      </c>
      <c r="C242" s="1047"/>
      <c r="D242" s="1066"/>
      <c r="E242" s="264"/>
      <c r="F242" s="264"/>
      <c r="G242" s="264"/>
      <c r="H242" s="264"/>
      <c r="I242" s="264"/>
      <c r="J242" s="264"/>
      <c r="K242" s="264"/>
      <c r="L242" s="264"/>
      <c r="M242" s="264"/>
      <c r="N242" s="264"/>
      <c r="O242" s="264"/>
      <c r="P242" s="264"/>
      <c r="Q242" s="264"/>
      <c r="R242" s="264"/>
      <c r="S242" s="264"/>
      <c r="T242" s="264"/>
      <c r="U242" s="264"/>
      <c r="V242" s="264"/>
      <c r="W242" s="264"/>
      <c r="X242" s="264"/>
      <c r="Y242" s="264"/>
      <c r="Z242" s="264"/>
    </row>
    <row r="243" spans="1:26" ht="15.75" customHeight="1">
      <c r="A243" s="264"/>
      <c r="B243" s="1067"/>
      <c r="C243" s="987"/>
      <c r="D243" s="1068"/>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row>
    <row r="244" spans="1:26" ht="15.75" customHeight="1">
      <c r="A244" s="264"/>
      <c r="B244" s="1069"/>
      <c r="C244" s="990"/>
      <c r="D244" s="1070"/>
      <c r="E244" s="264"/>
      <c r="F244" s="264"/>
      <c r="G244" s="264"/>
      <c r="H244" s="264"/>
      <c r="I244" s="264"/>
      <c r="J244" s="264"/>
      <c r="K244" s="264"/>
      <c r="L244" s="264"/>
      <c r="M244" s="264"/>
      <c r="N244" s="264"/>
      <c r="O244" s="264"/>
      <c r="P244" s="264"/>
      <c r="Q244" s="264"/>
      <c r="R244" s="264"/>
      <c r="S244" s="264"/>
      <c r="T244" s="264"/>
      <c r="U244" s="264"/>
      <c r="V244" s="264"/>
      <c r="W244" s="264"/>
      <c r="X244" s="264"/>
      <c r="Y244" s="264"/>
      <c r="Z244" s="264"/>
    </row>
    <row r="245" spans="1:26" ht="15.75" customHeight="1">
      <c r="A245" s="264"/>
      <c r="B245" s="1071" t="s">
        <v>515</v>
      </c>
      <c r="C245" s="1023"/>
      <c r="D245" s="1072" t="s">
        <v>516</v>
      </c>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row>
    <row r="246" spans="1:26" ht="15.75" customHeight="1">
      <c r="A246" s="264"/>
      <c r="B246" s="267" t="s">
        <v>517</v>
      </c>
      <c r="C246" s="309" t="s">
        <v>334</v>
      </c>
      <c r="D246" s="1073"/>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row>
    <row r="247" spans="1:26" ht="15.75" customHeight="1">
      <c r="A247" s="264"/>
      <c r="B247" s="319" t="s">
        <v>719</v>
      </c>
      <c r="C247" s="295" t="s">
        <v>720</v>
      </c>
      <c r="D247" s="290" t="s">
        <v>520</v>
      </c>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row>
    <row r="248" spans="1:26" ht="15.75" customHeight="1">
      <c r="A248" s="264"/>
      <c r="B248" s="280" t="s">
        <v>721</v>
      </c>
      <c r="C248" s="295" t="s">
        <v>722</v>
      </c>
      <c r="D248" s="273" t="s">
        <v>520</v>
      </c>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row>
    <row r="249" spans="1:26" ht="15.75" customHeight="1">
      <c r="A249" s="264"/>
      <c r="B249" s="283" t="s">
        <v>723</v>
      </c>
      <c r="C249" s="326" t="s">
        <v>724</v>
      </c>
      <c r="D249" s="316" t="s">
        <v>545</v>
      </c>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row>
    <row r="250" spans="1:26" ht="15.75" customHeight="1">
      <c r="A250" s="264"/>
      <c r="B250" s="300"/>
      <c r="C250" s="295"/>
      <c r="D250" s="311"/>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row>
    <row r="251" spans="1:26" ht="40.5" customHeight="1">
      <c r="A251" s="264"/>
      <c r="B251" s="1063" t="s">
        <v>725</v>
      </c>
      <c r="C251" s="924"/>
      <c r="D251" s="10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row>
    <row r="252" spans="1:26" ht="15.75" customHeight="1">
      <c r="A252" s="264"/>
      <c r="B252" s="1080" t="s">
        <v>726</v>
      </c>
      <c r="C252" s="1047"/>
      <c r="D252" s="1066"/>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row>
    <row r="253" spans="1:26" ht="15.75" customHeight="1">
      <c r="A253" s="264"/>
      <c r="B253" s="1067"/>
      <c r="C253" s="987"/>
      <c r="D253" s="1068"/>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row>
    <row r="254" spans="1:26" ht="15.75" customHeight="1">
      <c r="A254" s="264"/>
      <c r="B254" s="1069"/>
      <c r="C254" s="990"/>
      <c r="D254" s="1070"/>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row>
    <row r="255" spans="1:26" ht="15.75" customHeight="1">
      <c r="A255" s="264"/>
      <c r="B255" s="1071" t="s">
        <v>515</v>
      </c>
      <c r="C255" s="1023"/>
      <c r="D255" s="1072" t="s">
        <v>516</v>
      </c>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row>
    <row r="256" spans="1:26" ht="15.75" customHeight="1">
      <c r="A256" s="264"/>
      <c r="B256" s="267" t="s">
        <v>517</v>
      </c>
      <c r="C256" s="309" t="s">
        <v>334</v>
      </c>
      <c r="D256" s="1077"/>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row>
    <row r="257" spans="1:26" ht="15.75" customHeight="1">
      <c r="A257" s="264"/>
      <c r="B257" s="279" t="s">
        <v>727</v>
      </c>
      <c r="C257" s="333" t="s">
        <v>728</v>
      </c>
      <c r="D257" s="290" t="s">
        <v>520</v>
      </c>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row>
    <row r="258" spans="1:26" ht="15.75" customHeight="1">
      <c r="A258" s="264"/>
      <c r="B258" s="280" t="s">
        <v>729</v>
      </c>
      <c r="C258" s="322" t="s">
        <v>730</v>
      </c>
      <c r="D258" s="273" t="s">
        <v>520</v>
      </c>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row>
    <row r="259" spans="1:26" ht="15.75" customHeight="1">
      <c r="A259" s="264"/>
      <c r="B259" s="280" t="s">
        <v>731</v>
      </c>
      <c r="C259" s="322" t="s">
        <v>732</v>
      </c>
      <c r="D259" s="273" t="s">
        <v>520</v>
      </c>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row>
    <row r="260" spans="1:26" ht="15.75" customHeight="1">
      <c r="A260" s="264"/>
      <c r="B260" s="312" t="s">
        <v>733</v>
      </c>
      <c r="C260" s="322" t="s">
        <v>734</v>
      </c>
      <c r="D260" s="282" t="s">
        <v>545</v>
      </c>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row>
    <row r="261" spans="1:26" ht="15.75" customHeight="1">
      <c r="A261" s="264"/>
      <c r="B261" s="312" t="s">
        <v>616</v>
      </c>
      <c r="C261" s="295" t="s">
        <v>735</v>
      </c>
      <c r="D261" s="273" t="s">
        <v>520</v>
      </c>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row>
    <row r="262" spans="1:26" ht="45" customHeight="1">
      <c r="A262" s="264"/>
      <c r="B262" s="312" t="s">
        <v>736</v>
      </c>
      <c r="C262" s="295" t="s">
        <v>737</v>
      </c>
      <c r="D262" s="273" t="s">
        <v>520</v>
      </c>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row>
    <row r="263" spans="1:26" ht="15.75" customHeight="1">
      <c r="A263" s="264"/>
      <c r="B263" s="342" t="s">
        <v>738</v>
      </c>
      <c r="C263" s="326" t="s">
        <v>739</v>
      </c>
      <c r="D263" s="316" t="s">
        <v>545</v>
      </c>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row>
    <row r="264" spans="1:26" ht="15.75" customHeight="1">
      <c r="A264" s="264"/>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row>
    <row r="265" spans="1:26" ht="38.25" customHeight="1">
      <c r="A265" s="264"/>
      <c r="B265" s="1063" t="s">
        <v>740</v>
      </c>
      <c r="C265" s="924"/>
      <c r="D265" s="10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row>
    <row r="266" spans="1:26" ht="15.75" customHeight="1">
      <c r="A266" s="264"/>
      <c r="B266" s="1080" t="s">
        <v>741</v>
      </c>
      <c r="C266" s="1047"/>
      <c r="D266" s="1066"/>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row>
    <row r="267" spans="1:26" ht="15.75" customHeight="1">
      <c r="A267" s="264"/>
      <c r="B267" s="1067"/>
      <c r="C267" s="987"/>
      <c r="D267" s="1068"/>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row>
    <row r="268" spans="1:26" ht="15.75" customHeight="1">
      <c r="A268" s="264"/>
      <c r="B268" s="1069"/>
      <c r="C268" s="990"/>
      <c r="D268" s="1070"/>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row>
    <row r="269" spans="1:26" ht="15.75" customHeight="1">
      <c r="A269" s="264"/>
      <c r="B269" s="1071" t="s">
        <v>515</v>
      </c>
      <c r="C269" s="1023"/>
      <c r="D269" s="1072" t="s">
        <v>516</v>
      </c>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row>
    <row r="270" spans="1:26" ht="15.75" customHeight="1">
      <c r="A270" s="264"/>
      <c r="B270" s="267" t="s">
        <v>517</v>
      </c>
      <c r="C270" s="309" t="s">
        <v>334</v>
      </c>
      <c r="D270" s="1077"/>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row>
    <row r="271" spans="1:26" ht="15.75" customHeight="1">
      <c r="A271" s="264"/>
      <c r="B271" s="279" t="s">
        <v>742</v>
      </c>
      <c r="C271" s="333" t="s">
        <v>743</v>
      </c>
      <c r="D271" s="290" t="s">
        <v>520</v>
      </c>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row>
    <row r="272" spans="1:26" ht="15.75" customHeight="1">
      <c r="A272" s="264"/>
      <c r="B272" s="280" t="s">
        <v>744</v>
      </c>
      <c r="C272" s="322" t="s">
        <v>730</v>
      </c>
      <c r="D272" s="273" t="s">
        <v>520</v>
      </c>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row>
    <row r="273" spans="1:26" ht="15.75" customHeight="1">
      <c r="A273" s="264"/>
      <c r="B273" s="280" t="s">
        <v>745</v>
      </c>
      <c r="C273" s="322" t="s">
        <v>746</v>
      </c>
      <c r="D273" s="273" t="s">
        <v>520</v>
      </c>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row>
    <row r="274" spans="1:26" ht="15.75" customHeight="1">
      <c r="A274" s="264"/>
      <c r="B274" s="312" t="s">
        <v>747</v>
      </c>
      <c r="C274" s="322" t="s">
        <v>734</v>
      </c>
      <c r="D274" s="282" t="s">
        <v>545</v>
      </c>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row>
    <row r="275" spans="1:26" ht="15.75" customHeight="1">
      <c r="A275" s="264"/>
      <c r="B275" s="312" t="s">
        <v>616</v>
      </c>
      <c r="C275" s="295" t="s">
        <v>735</v>
      </c>
      <c r="D275" s="273" t="s">
        <v>520</v>
      </c>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row>
    <row r="276" spans="1:26" ht="15.75" customHeight="1">
      <c r="A276" s="264"/>
      <c r="B276" s="312" t="s">
        <v>748</v>
      </c>
      <c r="C276" s="295" t="s">
        <v>749</v>
      </c>
      <c r="D276" s="273" t="s">
        <v>520</v>
      </c>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row>
    <row r="277" spans="1:26" ht="15.75" customHeight="1">
      <c r="A277" s="264"/>
      <c r="B277" s="342" t="s">
        <v>750</v>
      </c>
      <c r="C277" s="326" t="s">
        <v>751</v>
      </c>
      <c r="D277" s="316" t="s">
        <v>545</v>
      </c>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row>
    <row r="278" spans="1:26" ht="15.75" customHeight="1">
      <c r="A278" s="264"/>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row>
    <row r="279" spans="1:26" ht="15.75" customHeight="1">
      <c r="A279" s="264"/>
      <c r="B279" s="1082" t="s">
        <v>752</v>
      </c>
      <c r="C279" s="875"/>
      <c r="D279" s="858"/>
      <c r="E279" s="264"/>
      <c r="F279" s="264"/>
      <c r="G279" s="264"/>
      <c r="H279" s="263"/>
      <c r="I279" s="263"/>
      <c r="J279" s="263"/>
      <c r="K279" s="264"/>
      <c r="L279" s="264"/>
      <c r="M279" s="264"/>
      <c r="N279" s="264"/>
      <c r="O279" s="264"/>
      <c r="P279" s="264"/>
      <c r="Q279" s="264"/>
      <c r="R279" s="264"/>
      <c r="S279" s="264"/>
      <c r="T279" s="264"/>
      <c r="U279" s="264"/>
      <c r="V279" s="264"/>
      <c r="W279" s="264"/>
      <c r="X279" s="264"/>
      <c r="Y279" s="264"/>
      <c r="Z279" s="264"/>
    </row>
    <row r="280" spans="1:26" ht="15.75" customHeight="1">
      <c r="A280" s="296"/>
      <c r="B280" s="1083" t="s">
        <v>658</v>
      </c>
      <c r="C280" s="875"/>
      <c r="D280" s="858"/>
      <c r="E280" s="264"/>
      <c r="F280" s="264"/>
      <c r="G280" s="264"/>
      <c r="H280" s="264"/>
      <c r="I280" s="264"/>
      <c r="J280" s="264"/>
      <c r="K280" s="264"/>
      <c r="L280" s="264"/>
      <c r="M280" s="264"/>
      <c r="N280" s="317"/>
      <c r="O280" s="317"/>
      <c r="P280" s="317"/>
      <c r="Q280" s="317"/>
      <c r="R280" s="317"/>
      <c r="S280" s="317"/>
      <c r="T280" s="317"/>
      <c r="U280" s="317"/>
      <c r="V280" s="317"/>
      <c r="W280" s="317"/>
      <c r="X280" s="317"/>
      <c r="Y280" s="317"/>
      <c r="Z280" s="317"/>
    </row>
    <row r="281" spans="1:26" ht="15.75" customHeight="1">
      <c r="A281" s="296"/>
      <c r="B281" s="1083" t="s">
        <v>659</v>
      </c>
      <c r="C281" s="875"/>
      <c r="D281" s="858"/>
      <c r="E281" s="264"/>
      <c r="F281" s="264"/>
      <c r="G281" s="264"/>
      <c r="H281" s="264"/>
      <c r="I281" s="264"/>
      <c r="J281" s="264"/>
      <c r="K281" s="264"/>
      <c r="L281" s="264"/>
      <c r="M281" s="264"/>
      <c r="N281" s="317"/>
      <c r="O281" s="317"/>
      <c r="P281" s="317"/>
      <c r="Q281" s="317"/>
      <c r="R281" s="317"/>
      <c r="S281" s="317"/>
      <c r="T281" s="317"/>
      <c r="U281" s="317"/>
      <c r="V281" s="317"/>
      <c r="W281" s="317"/>
      <c r="X281" s="317"/>
      <c r="Y281" s="317"/>
      <c r="Z281" s="317"/>
    </row>
    <row r="282" spans="1:26" ht="15.75" customHeight="1">
      <c r="A282" s="317"/>
      <c r="B282" s="343"/>
      <c r="C282" s="343"/>
      <c r="D282" s="343"/>
      <c r="E282" s="317"/>
      <c r="F282" s="317"/>
      <c r="G282" s="317"/>
      <c r="H282" s="317"/>
      <c r="I282" s="317"/>
      <c r="J282" s="317"/>
      <c r="K282" s="317"/>
      <c r="L282" s="317"/>
      <c r="M282" s="317"/>
      <c r="N282" s="317"/>
      <c r="O282" s="317"/>
      <c r="P282" s="317"/>
      <c r="Q282" s="317"/>
      <c r="R282" s="317"/>
      <c r="S282" s="317"/>
      <c r="T282" s="317"/>
      <c r="U282" s="317"/>
      <c r="V282" s="317"/>
      <c r="W282" s="317"/>
      <c r="X282" s="317"/>
      <c r="Y282" s="317"/>
      <c r="Z282" s="317"/>
    </row>
    <row r="283" spans="1:26" ht="48.75" customHeight="1">
      <c r="A283" s="264"/>
      <c r="B283" s="1084" t="s">
        <v>753</v>
      </c>
      <c r="C283" s="946"/>
      <c r="D283" s="1085"/>
      <c r="E283" s="264"/>
      <c r="F283" s="264"/>
      <c r="G283" s="264"/>
      <c r="H283" s="263"/>
      <c r="I283" s="263"/>
      <c r="J283" s="263"/>
      <c r="K283" s="264"/>
      <c r="L283" s="264"/>
      <c r="M283" s="264"/>
      <c r="N283" s="264"/>
      <c r="O283" s="264"/>
      <c r="P283" s="264"/>
      <c r="Q283" s="264"/>
      <c r="R283" s="264"/>
      <c r="S283" s="264"/>
      <c r="T283" s="264"/>
      <c r="U283" s="264"/>
      <c r="V283" s="264"/>
      <c r="W283" s="264"/>
      <c r="X283" s="264"/>
      <c r="Y283" s="264"/>
      <c r="Z283" s="264"/>
    </row>
    <row r="284" spans="1:26" ht="32.25" customHeight="1">
      <c r="A284" s="264"/>
      <c r="B284" s="1080" t="s">
        <v>754</v>
      </c>
      <c r="C284" s="1047"/>
      <c r="D284" s="1066"/>
      <c r="E284" s="300"/>
      <c r="F284" s="264"/>
      <c r="G284" s="264"/>
      <c r="H284" s="263"/>
      <c r="I284" s="263"/>
      <c r="J284" s="263"/>
      <c r="K284" s="264"/>
      <c r="L284" s="264"/>
      <c r="M284" s="264"/>
      <c r="N284" s="264"/>
      <c r="O284" s="264"/>
      <c r="P284" s="264"/>
      <c r="Q284" s="264"/>
      <c r="R284" s="264"/>
      <c r="S284" s="264"/>
      <c r="T284" s="264"/>
      <c r="U284" s="264"/>
      <c r="V284" s="264"/>
      <c r="W284" s="264"/>
      <c r="X284" s="264"/>
      <c r="Y284" s="264"/>
      <c r="Z284" s="264"/>
    </row>
    <row r="285" spans="1:26" ht="7.5" customHeight="1">
      <c r="A285" s="264"/>
      <c r="B285" s="1067"/>
      <c r="C285" s="987"/>
      <c r="D285" s="1068"/>
      <c r="E285" s="344"/>
      <c r="F285" s="264"/>
      <c r="G285" s="264"/>
      <c r="H285" s="263"/>
      <c r="I285" s="263"/>
      <c r="J285" s="263"/>
      <c r="K285" s="264"/>
      <c r="L285" s="264"/>
      <c r="M285" s="264"/>
      <c r="N285" s="264"/>
      <c r="O285" s="264"/>
      <c r="P285" s="264"/>
      <c r="Q285" s="264"/>
      <c r="R285" s="264"/>
      <c r="S285" s="264"/>
      <c r="T285" s="264"/>
      <c r="U285" s="264"/>
      <c r="V285" s="264"/>
      <c r="W285" s="264"/>
      <c r="X285" s="264"/>
      <c r="Y285" s="264"/>
      <c r="Z285" s="264"/>
    </row>
    <row r="286" spans="1:26" ht="15.75" hidden="1" customHeight="1">
      <c r="A286" s="264"/>
      <c r="B286" s="1069"/>
      <c r="C286" s="990"/>
      <c r="D286" s="1070"/>
      <c r="E286" s="344"/>
      <c r="F286" s="264"/>
      <c r="G286" s="264"/>
      <c r="H286" s="263"/>
      <c r="I286" s="263"/>
      <c r="J286" s="263"/>
      <c r="K286" s="264"/>
      <c r="L286" s="264"/>
      <c r="M286" s="264"/>
      <c r="N286" s="264"/>
      <c r="O286" s="264"/>
      <c r="P286" s="264"/>
      <c r="Q286" s="264"/>
      <c r="R286" s="264"/>
      <c r="S286" s="264"/>
      <c r="T286" s="264"/>
      <c r="U286" s="264"/>
      <c r="V286" s="264"/>
      <c r="W286" s="264"/>
      <c r="X286" s="264"/>
      <c r="Y286" s="264"/>
      <c r="Z286" s="264"/>
    </row>
    <row r="287" spans="1:26" ht="15.75" customHeight="1">
      <c r="A287" s="264"/>
      <c r="B287" s="1071" t="s">
        <v>515</v>
      </c>
      <c r="C287" s="1023"/>
      <c r="D287" s="1072" t="s">
        <v>516</v>
      </c>
      <c r="E287" s="344"/>
      <c r="F287" s="264"/>
      <c r="G287" s="264"/>
      <c r="H287" s="263"/>
      <c r="I287" s="263"/>
      <c r="J287" s="263"/>
      <c r="K287" s="264"/>
      <c r="L287" s="264"/>
      <c r="M287" s="264"/>
      <c r="N287" s="264"/>
      <c r="O287" s="264"/>
      <c r="P287" s="264"/>
      <c r="Q287" s="264"/>
      <c r="R287" s="264"/>
      <c r="S287" s="264"/>
      <c r="T287" s="264"/>
      <c r="U287" s="264"/>
      <c r="V287" s="264"/>
      <c r="W287" s="264"/>
      <c r="X287" s="264"/>
      <c r="Y287" s="264"/>
      <c r="Z287" s="264"/>
    </row>
    <row r="288" spans="1:26" ht="15.75" customHeight="1">
      <c r="A288" s="264"/>
      <c r="B288" s="267" t="s">
        <v>517</v>
      </c>
      <c r="C288" s="309" t="s">
        <v>334</v>
      </c>
      <c r="D288" s="1077"/>
      <c r="E288" s="345"/>
      <c r="F288" s="264"/>
      <c r="G288" s="264"/>
      <c r="H288" s="264"/>
      <c r="I288" s="264"/>
      <c r="J288" s="264"/>
      <c r="K288" s="264"/>
      <c r="L288" s="264"/>
      <c r="M288" s="264"/>
      <c r="N288" s="264"/>
      <c r="O288" s="264"/>
      <c r="P288" s="264"/>
      <c r="Q288" s="264"/>
      <c r="R288" s="264"/>
      <c r="S288" s="264"/>
      <c r="T288" s="264"/>
      <c r="U288" s="264"/>
      <c r="V288" s="264"/>
      <c r="W288" s="264"/>
      <c r="X288" s="264"/>
      <c r="Y288" s="264"/>
      <c r="Z288" s="264"/>
    </row>
    <row r="289" spans="1:26" ht="15.75" customHeight="1">
      <c r="A289" s="264"/>
      <c r="B289" s="346" t="s">
        <v>755</v>
      </c>
      <c r="C289" s="320" t="s">
        <v>756</v>
      </c>
      <c r="D289" s="347" t="s">
        <v>520</v>
      </c>
      <c r="E289" s="345"/>
      <c r="F289" s="264"/>
      <c r="G289" s="264"/>
      <c r="H289" s="264"/>
      <c r="I289" s="264"/>
      <c r="J289" s="264"/>
      <c r="K289" s="264"/>
      <c r="L289" s="264"/>
      <c r="M289" s="264"/>
      <c r="N289" s="264"/>
      <c r="O289" s="264"/>
      <c r="P289" s="264"/>
      <c r="Q289" s="264"/>
      <c r="R289" s="264"/>
      <c r="S289" s="264"/>
      <c r="T289" s="264"/>
      <c r="U289" s="264"/>
      <c r="V289" s="264"/>
      <c r="W289" s="264"/>
      <c r="X289" s="264"/>
      <c r="Y289" s="264"/>
      <c r="Z289" s="264"/>
    </row>
    <row r="290" spans="1:26" ht="15.75" customHeight="1">
      <c r="A290" s="264"/>
      <c r="B290" s="348" t="s">
        <v>757</v>
      </c>
      <c r="C290" s="295" t="s">
        <v>758</v>
      </c>
      <c r="D290" s="349" t="s">
        <v>520</v>
      </c>
      <c r="E290" s="345"/>
      <c r="F290" s="264"/>
      <c r="G290" s="264"/>
      <c r="H290" s="264"/>
      <c r="I290" s="264"/>
      <c r="J290" s="264"/>
      <c r="K290" s="264"/>
      <c r="L290" s="264"/>
      <c r="M290" s="264"/>
      <c r="N290" s="264"/>
      <c r="O290" s="264"/>
      <c r="P290" s="264"/>
      <c r="Q290" s="264"/>
      <c r="R290" s="264"/>
      <c r="S290" s="264"/>
      <c r="T290" s="264"/>
      <c r="U290" s="264"/>
      <c r="V290" s="264"/>
      <c r="W290" s="264"/>
      <c r="X290" s="264"/>
      <c r="Y290" s="264"/>
      <c r="Z290" s="264"/>
    </row>
    <row r="291" spans="1:26" ht="15.75" customHeight="1">
      <c r="A291" s="264"/>
      <c r="B291" s="348" t="s">
        <v>759</v>
      </c>
      <c r="C291" s="295" t="s">
        <v>760</v>
      </c>
      <c r="D291" s="349" t="s">
        <v>520</v>
      </c>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row>
    <row r="292" spans="1:26" ht="15.75" customHeight="1">
      <c r="A292" s="264"/>
      <c r="B292" s="348" t="s">
        <v>761</v>
      </c>
      <c r="C292" s="295" t="s">
        <v>762</v>
      </c>
      <c r="D292" s="350" t="s">
        <v>545</v>
      </c>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row>
    <row r="293" spans="1:26" ht="15.75" customHeight="1">
      <c r="A293" s="264"/>
      <c r="B293" s="348" t="s">
        <v>763</v>
      </c>
      <c r="C293" s="295" t="s">
        <v>764</v>
      </c>
      <c r="D293" s="349" t="s">
        <v>520</v>
      </c>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row>
    <row r="294" spans="1:26" ht="15.75" customHeight="1">
      <c r="A294" s="264"/>
      <c r="B294" s="348" t="s">
        <v>765</v>
      </c>
      <c r="C294" s="295" t="s">
        <v>766</v>
      </c>
      <c r="D294" s="349" t="s">
        <v>520</v>
      </c>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row>
    <row r="295" spans="1:26" ht="15.75" customHeight="1">
      <c r="A295" s="264"/>
      <c r="B295" s="348" t="s">
        <v>767</v>
      </c>
      <c r="C295" s="295" t="s">
        <v>768</v>
      </c>
      <c r="D295" s="350" t="s">
        <v>573</v>
      </c>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row>
    <row r="296" spans="1:26" ht="15.75" customHeight="1">
      <c r="A296" s="264"/>
      <c r="B296" s="348" t="s">
        <v>769</v>
      </c>
      <c r="C296" s="295" t="s">
        <v>770</v>
      </c>
      <c r="D296" s="349" t="s">
        <v>520</v>
      </c>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row>
    <row r="297" spans="1:26" ht="15.75" customHeight="1">
      <c r="A297" s="264"/>
      <c r="B297" s="342" t="s">
        <v>771</v>
      </c>
      <c r="C297" s="277" t="s">
        <v>772</v>
      </c>
      <c r="D297" s="285" t="s">
        <v>520</v>
      </c>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row>
    <row r="298" spans="1:26" ht="60.75" customHeight="1">
      <c r="A298" s="264"/>
      <c r="B298" s="1086" t="s">
        <v>773</v>
      </c>
      <c r="C298" s="1008"/>
      <c r="D298" s="351"/>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row>
    <row r="299" spans="1:26" ht="15.75" customHeight="1">
      <c r="A299" s="264"/>
      <c r="B299" s="352"/>
      <c r="C299" s="300"/>
      <c r="D299" s="300"/>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row>
    <row r="300" spans="1:26" ht="15.75" customHeight="1">
      <c r="A300" s="264"/>
      <c r="B300" s="352"/>
      <c r="C300" s="300"/>
      <c r="D300" s="300"/>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row>
    <row r="301" spans="1:26" ht="49.5" customHeight="1">
      <c r="A301" s="264"/>
      <c r="B301" s="1063" t="s">
        <v>774</v>
      </c>
      <c r="C301" s="924"/>
      <c r="D301" s="10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row>
    <row r="302" spans="1:26" ht="15.75" customHeight="1">
      <c r="A302" s="264"/>
      <c r="B302" s="1080" t="s">
        <v>775</v>
      </c>
      <c r="C302" s="1047"/>
      <c r="D302" s="1066"/>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row>
    <row r="303" spans="1:26" ht="15.75" customHeight="1">
      <c r="A303" s="264"/>
      <c r="B303" s="1067"/>
      <c r="C303" s="987"/>
      <c r="D303" s="1068"/>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row>
    <row r="304" spans="1:26" ht="15.75" customHeight="1">
      <c r="A304" s="264"/>
      <c r="B304" s="1069"/>
      <c r="C304" s="990"/>
      <c r="D304" s="1070"/>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row>
    <row r="305" spans="1:26" ht="15.75" customHeight="1">
      <c r="A305" s="264"/>
      <c r="B305" s="1071" t="s">
        <v>515</v>
      </c>
      <c r="C305" s="1023"/>
      <c r="D305" s="1072" t="s">
        <v>516</v>
      </c>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row>
    <row r="306" spans="1:26" ht="15.75" customHeight="1">
      <c r="A306" s="264"/>
      <c r="B306" s="269" t="s">
        <v>517</v>
      </c>
      <c r="C306" s="318" t="s">
        <v>334</v>
      </c>
      <c r="D306" s="1077"/>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row>
    <row r="307" spans="1:26" ht="15.75" customHeight="1">
      <c r="A307" s="264"/>
      <c r="B307" s="346" t="s">
        <v>776</v>
      </c>
      <c r="C307" s="320" t="s">
        <v>777</v>
      </c>
      <c r="D307" s="270" t="s">
        <v>778</v>
      </c>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row>
    <row r="308" spans="1:26" ht="15.75" customHeight="1">
      <c r="A308" s="264"/>
      <c r="B308" s="348" t="s">
        <v>779</v>
      </c>
      <c r="C308" s="264" t="s">
        <v>780</v>
      </c>
      <c r="D308" s="331" t="s">
        <v>778</v>
      </c>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row>
    <row r="309" spans="1:26" ht="15.75" customHeight="1">
      <c r="A309" s="264"/>
      <c r="B309" s="348" t="s">
        <v>781</v>
      </c>
      <c r="C309" s="295" t="s">
        <v>782</v>
      </c>
      <c r="D309" s="331" t="s">
        <v>778</v>
      </c>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row>
    <row r="310" spans="1:26" ht="15.75" customHeight="1">
      <c r="A310" s="264"/>
      <c r="B310" s="348" t="s">
        <v>783</v>
      </c>
      <c r="C310" s="295" t="s">
        <v>784</v>
      </c>
      <c r="D310" s="331" t="s">
        <v>778</v>
      </c>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row>
    <row r="311" spans="1:26" ht="15.75" customHeight="1">
      <c r="A311" s="264"/>
      <c r="B311" s="342" t="s">
        <v>785</v>
      </c>
      <c r="C311" s="277" t="s">
        <v>786</v>
      </c>
      <c r="D311" s="353" t="s">
        <v>778</v>
      </c>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row>
    <row r="312" spans="1:26" ht="15.75" customHeight="1">
      <c r="A312" s="264"/>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row>
    <row r="313" spans="1:26" ht="15.75" customHeight="1">
      <c r="A313" s="264"/>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row>
    <row r="314" spans="1:26" ht="43.5" customHeight="1">
      <c r="A314" s="264"/>
      <c r="B314" s="1063" t="s">
        <v>787</v>
      </c>
      <c r="C314" s="924"/>
      <c r="D314" s="10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row>
    <row r="315" spans="1:26" ht="15.75" customHeight="1">
      <c r="A315" s="264"/>
      <c r="B315" s="1080" t="s">
        <v>788</v>
      </c>
      <c r="C315" s="1047"/>
      <c r="D315" s="1066"/>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row>
    <row r="316" spans="1:26" ht="15.75" customHeight="1">
      <c r="A316" s="264"/>
      <c r="B316" s="1067"/>
      <c r="C316" s="987"/>
      <c r="D316" s="1068"/>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row>
    <row r="317" spans="1:26" ht="15.75" customHeight="1">
      <c r="A317" s="264"/>
      <c r="B317" s="1069"/>
      <c r="C317" s="990"/>
      <c r="D317" s="1070"/>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row>
    <row r="318" spans="1:26" ht="15.75" customHeight="1">
      <c r="A318" s="264"/>
      <c r="B318" s="1071" t="s">
        <v>515</v>
      </c>
      <c r="C318" s="1023"/>
      <c r="D318" s="1072" t="s">
        <v>516</v>
      </c>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row>
    <row r="319" spans="1:26" ht="15.75" customHeight="1">
      <c r="A319" s="264"/>
      <c r="B319" s="267" t="s">
        <v>517</v>
      </c>
      <c r="C319" s="309" t="s">
        <v>334</v>
      </c>
      <c r="D319" s="1073"/>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row>
    <row r="320" spans="1:26" ht="15.75" customHeight="1">
      <c r="A320" s="264"/>
      <c r="B320" s="346" t="s">
        <v>789</v>
      </c>
      <c r="C320" s="340" t="s">
        <v>790</v>
      </c>
      <c r="D320" s="347" t="s">
        <v>520</v>
      </c>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row>
    <row r="321" spans="1:26" ht="15.75" customHeight="1">
      <c r="A321" s="264"/>
      <c r="B321" s="348" t="s">
        <v>791</v>
      </c>
      <c r="C321" s="295" t="s">
        <v>792</v>
      </c>
      <c r="D321" s="349" t="s">
        <v>520</v>
      </c>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row>
    <row r="322" spans="1:26" ht="15.75" customHeight="1">
      <c r="A322" s="264"/>
      <c r="B322" s="348" t="s">
        <v>793</v>
      </c>
      <c r="C322" s="264" t="s">
        <v>794</v>
      </c>
      <c r="D322" s="349" t="s">
        <v>520</v>
      </c>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row>
    <row r="323" spans="1:26" ht="15.75" customHeight="1">
      <c r="A323" s="264"/>
      <c r="B323" s="348" t="s">
        <v>795</v>
      </c>
      <c r="C323" s="264" t="s">
        <v>796</v>
      </c>
      <c r="D323" s="349" t="s">
        <v>520</v>
      </c>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row>
    <row r="324" spans="1:26" ht="15.75" customHeight="1">
      <c r="A324" s="264"/>
      <c r="B324" s="342" t="s">
        <v>797</v>
      </c>
      <c r="C324" s="354" t="s">
        <v>798</v>
      </c>
      <c r="D324" s="285" t="s">
        <v>520</v>
      </c>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row>
    <row r="325" spans="1:26" ht="15.75" customHeight="1">
      <c r="A325" s="264"/>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row>
    <row r="326" spans="1:26" ht="15.75" customHeight="1">
      <c r="A326" s="264"/>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row>
    <row r="327" spans="1:26" ht="34.5" customHeight="1">
      <c r="A327" s="264"/>
      <c r="B327" s="1063" t="s">
        <v>799</v>
      </c>
      <c r="C327" s="924"/>
      <c r="D327" s="10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row>
    <row r="328" spans="1:26" ht="15.75" customHeight="1">
      <c r="A328" s="264"/>
      <c r="B328" s="1080" t="s">
        <v>800</v>
      </c>
      <c r="C328" s="1047"/>
      <c r="D328" s="1066"/>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row>
    <row r="329" spans="1:26" ht="15.75" customHeight="1">
      <c r="A329" s="264"/>
      <c r="B329" s="1067"/>
      <c r="C329" s="987"/>
      <c r="D329" s="1068"/>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row>
    <row r="330" spans="1:26" ht="0.75" customHeight="1">
      <c r="A330" s="264"/>
      <c r="B330" s="1069"/>
      <c r="C330" s="990"/>
      <c r="D330" s="1070"/>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row>
    <row r="331" spans="1:26" ht="15.75" customHeight="1">
      <c r="A331" s="264"/>
      <c r="B331" s="1071" t="s">
        <v>515</v>
      </c>
      <c r="C331" s="1023"/>
      <c r="D331" s="1072" t="s">
        <v>516</v>
      </c>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row>
    <row r="332" spans="1:26" ht="15.75" customHeight="1">
      <c r="A332" s="264"/>
      <c r="B332" s="267" t="s">
        <v>517</v>
      </c>
      <c r="C332" s="309" t="s">
        <v>334</v>
      </c>
      <c r="D332" s="1073"/>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row>
    <row r="333" spans="1:26" ht="15.75" customHeight="1">
      <c r="A333" s="264"/>
      <c r="B333" s="346" t="s">
        <v>801</v>
      </c>
      <c r="C333" s="320" t="s">
        <v>802</v>
      </c>
      <c r="D333" s="347" t="s">
        <v>520</v>
      </c>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row>
    <row r="334" spans="1:26" ht="15.75" customHeight="1">
      <c r="A334" s="264"/>
      <c r="B334" s="348" t="s">
        <v>803</v>
      </c>
      <c r="C334" s="295" t="s">
        <v>804</v>
      </c>
      <c r="D334" s="349" t="s">
        <v>520</v>
      </c>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row>
    <row r="335" spans="1:26" ht="15.75" customHeight="1">
      <c r="A335" s="264"/>
      <c r="B335" s="348" t="s">
        <v>805</v>
      </c>
      <c r="C335" s="295" t="s">
        <v>806</v>
      </c>
      <c r="D335" s="349" t="s">
        <v>520</v>
      </c>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row>
    <row r="336" spans="1:26" ht="15.75" customHeight="1">
      <c r="A336" s="264"/>
      <c r="B336" s="348" t="s">
        <v>807</v>
      </c>
      <c r="C336" s="295" t="s">
        <v>808</v>
      </c>
      <c r="D336" s="355" t="s">
        <v>545</v>
      </c>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row>
    <row r="337" spans="1:26" ht="15.75" customHeight="1">
      <c r="A337" s="264"/>
      <c r="B337" s="348" t="s">
        <v>809</v>
      </c>
      <c r="C337" s="295" t="s">
        <v>810</v>
      </c>
      <c r="D337" s="349" t="s">
        <v>520</v>
      </c>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row>
    <row r="338" spans="1:26" ht="33" customHeight="1">
      <c r="A338" s="264"/>
      <c r="B338" s="348" t="s">
        <v>811</v>
      </c>
      <c r="C338" s="295" t="s">
        <v>812</v>
      </c>
      <c r="D338" s="349" t="s">
        <v>520</v>
      </c>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row>
    <row r="339" spans="1:26" ht="15.75" customHeight="1">
      <c r="A339" s="264"/>
      <c r="B339" s="348" t="s">
        <v>813</v>
      </c>
      <c r="C339" s="295" t="s">
        <v>814</v>
      </c>
      <c r="D339" s="349" t="s">
        <v>520</v>
      </c>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row>
    <row r="340" spans="1:26" ht="15.75" customHeight="1">
      <c r="A340" s="264"/>
      <c r="B340" s="348" t="s">
        <v>815</v>
      </c>
      <c r="C340" s="295" t="s">
        <v>816</v>
      </c>
      <c r="D340" s="349" t="s">
        <v>520</v>
      </c>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row>
    <row r="341" spans="1:26" ht="15.75" customHeight="1">
      <c r="A341" s="264"/>
      <c r="B341" s="342" t="s">
        <v>817</v>
      </c>
      <c r="C341" s="277" t="s">
        <v>818</v>
      </c>
      <c r="D341" s="285" t="s">
        <v>520</v>
      </c>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row>
    <row r="342" spans="1:26" ht="15.75" customHeight="1">
      <c r="A342" s="264"/>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row>
    <row r="343" spans="1:26" ht="15.75" customHeight="1">
      <c r="A343" s="264"/>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row>
    <row r="344" spans="1:26" ht="43.5" customHeight="1">
      <c r="A344" s="264"/>
      <c r="B344" s="1063" t="s">
        <v>819</v>
      </c>
      <c r="C344" s="924"/>
      <c r="D344" s="10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row>
    <row r="345" spans="1:26" ht="15.75" customHeight="1">
      <c r="A345" s="264"/>
      <c r="B345" s="1080" t="s">
        <v>820</v>
      </c>
      <c r="C345" s="1047"/>
      <c r="D345" s="1066"/>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row>
    <row r="346" spans="1:26" ht="15.75" customHeight="1">
      <c r="A346" s="264"/>
      <c r="B346" s="1067"/>
      <c r="C346" s="987"/>
      <c r="D346" s="1068"/>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row>
    <row r="347" spans="1:26" ht="15.75" customHeight="1">
      <c r="A347" s="264"/>
      <c r="B347" s="1069"/>
      <c r="C347" s="990"/>
      <c r="D347" s="1070"/>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row>
    <row r="348" spans="1:26" ht="15.75" customHeight="1">
      <c r="A348" s="264"/>
      <c r="B348" s="1071" t="s">
        <v>515</v>
      </c>
      <c r="C348" s="1023"/>
      <c r="D348" s="1072" t="s">
        <v>516</v>
      </c>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row>
    <row r="349" spans="1:26" ht="15.75" customHeight="1">
      <c r="A349" s="264"/>
      <c r="B349" s="267" t="s">
        <v>517</v>
      </c>
      <c r="C349" s="309" t="s">
        <v>334</v>
      </c>
      <c r="D349" s="1073"/>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row>
    <row r="350" spans="1:26" ht="15.75" customHeight="1">
      <c r="A350" s="264"/>
      <c r="B350" s="346" t="s">
        <v>821</v>
      </c>
      <c r="C350" s="320" t="s">
        <v>822</v>
      </c>
      <c r="D350" s="347" t="s">
        <v>520</v>
      </c>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row>
    <row r="351" spans="1:26" ht="15.75" customHeight="1">
      <c r="A351" s="264"/>
      <c r="B351" s="348" t="s">
        <v>823</v>
      </c>
      <c r="C351" s="295" t="s">
        <v>824</v>
      </c>
      <c r="D351" s="350" t="s">
        <v>573</v>
      </c>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row>
    <row r="352" spans="1:26" ht="15.75" customHeight="1">
      <c r="A352" s="264"/>
      <c r="B352" s="348" t="s">
        <v>825</v>
      </c>
      <c r="C352" s="295" t="s">
        <v>826</v>
      </c>
      <c r="D352" s="350" t="s">
        <v>573</v>
      </c>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row>
    <row r="353" spans="1:26" ht="15.75" customHeight="1">
      <c r="A353" s="264"/>
      <c r="B353" s="348" t="s">
        <v>827</v>
      </c>
      <c r="C353" s="295" t="s">
        <v>828</v>
      </c>
      <c r="D353" s="349" t="s">
        <v>520</v>
      </c>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row>
    <row r="354" spans="1:26" ht="15.75" customHeight="1">
      <c r="A354" s="264"/>
      <c r="B354" s="342" t="s">
        <v>829</v>
      </c>
      <c r="C354" s="277" t="s">
        <v>830</v>
      </c>
      <c r="D354" s="356" t="s">
        <v>573</v>
      </c>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row>
    <row r="355" spans="1:26" ht="15.75" customHeight="1">
      <c r="A355" s="264"/>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row>
    <row r="356" spans="1:26" ht="15.75" customHeight="1">
      <c r="A356" s="264"/>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row>
    <row r="357" spans="1:26" ht="39.75" customHeight="1">
      <c r="A357" s="264"/>
      <c r="B357" s="1063" t="s">
        <v>831</v>
      </c>
      <c r="C357" s="924"/>
      <c r="D357" s="10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row>
    <row r="358" spans="1:26" ht="15.75" customHeight="1">
      <c r="A358" s="264"/>
      <c r="B358" s="1080" t="s">
        <v>832</v>
      </c>
      <c r="C358" s="1047"/>
      <c r="D358" s="1066"/>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row>
    <row r="359" spans="1:26" ht="15.75" customHeight="1">
      <c r="A359" s="264"/>
      <c r="B359" s="1067"/>
      <c r="C359" s="987"/>
      <c r="D359" s="1068"/>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row>
    <row r="360" spans="1:26" ht="15.75" customHeight="1">
      <c r="A360" s="264"/>
      <c r="B360" s="1069"/>
      <c r="C360" s="990"/>
      <c r="D360" s="1070"/>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row>
    <row r="361" spans="1:26" ht="15.75" customHeight="1">
      <c r="A361" s="264"/>
      <c r="B361" s="1071" t="s">
        <v>515</v>
      </c>
      <c r="C361" s="1023"/>
      <c r="D361" s="1072" t="s">
        <v>516</v>
      </c>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row>
    <row r="362" spans="1:26" ht="15.75" customHeight="1">
      <c r="A362" s="264"/>
      <c r="B362" s="267" t="s">
        <v>517</v>
      </c>
      <c r="C362" s="309" t="s">
        <v>334</v>
      </c>
      <c r="D362" s="1073"/>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row>
    <row r="363" spans="1:26" ht="15.75" customHeight="1">
      <c r="A363" s="264"/>
      <c r="B363" s="346" t="s">
        <v>833</v>
      </c>
      <c r="C363" s="333" t="s">
        <v>834</v>
      </c>
      <c r="D363" s="347" t="s">
        <v>520</v>
      </c>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row>
    <row r="364" spans="1:26" ht="15.75" customHeight="1">
      <c r="A364" s="264"/>
      <c r="B364" s="348" t="s">
        <v>835</v>
      </c>
      <c r="C364" s="322" t="s">
        <v>836</v>
      </c>
      <c r="D364" s="350" t="s">
        <v>545</v>
      </c>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row>
    <row r="365" spans="1:26" ht="15.75" customHeight="1">
      <c r="A365" s="264"/>
      <c r="B365" s="342" t="s">
        <v>837</v>
      </c>
      <c r="C365" s="326" t="s">
        <v>838</v>
      </c>
      <c r="D365" s="356" t="s">
        <v>545</v>
      </c>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row>
    <row r="366" spans="1:26" ht="15.75" customHeight="1">
      <c r="A366" s="264"/>
      <c r="B366" s="264"/>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row>
    <row r="367" spans="1:26" ht="15.75" customHeight="1">
      <c r="A367" s="264"/>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row>
    <row r="368" spans="1:26" ht="48.75" customHeight="1">
      <c r="A368" s="264"/>
      <c r="B368" s="1063" t="s">
        <v>839</v>
      </c>
      <c r="C368" s="924"/>
      <c r="D368" s="10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row>
    <row r="369" spans="1:26" ht="15.75" customHeight="1">
      <c r="A369" s="264"/>
      <c r="B369" s="1080" t="s">
        <v>840</v>
      </c>
      <c r="C369" s="1047"/>
      <c r="D369" s="1066"/>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row>
    <row r="370" spans="1:26" ht="15.75" customHeight="1">
      <c r="A370" s="264"/>
      <c r="B370" s="1067"/>
      <c r="C370" s="987"/>
      <c r="D370" s="1068"/>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row>
    <row r="371" spans="1:26" ht="15.75" customHeight="1">
      <c r="A371" s="264"/>
      <c r="B371" s="1069"/>
      <c r="C371" s="990"/>
      <c r="D371" s="1070"/>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row>
    <row r="372" spans="1:26" ht="15.75" customHeight="1">
      <c r="A372" s="264"/>
      <c r="B372" s="1071" t="s">
        <v>515</v>
      </c>
      <c r="C372" s="1023"/>
      <c r="D372" s="1072" t="s">
        <v>516</v>
      </c>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row>
    <row r="373" spans="1:26" ht="15.75" customHeight="1">
      <c r="A373" s="264"/>
      <c r="B373" s="267" t="s">
        <v>517</v>
      </c>
      <c r="C373" s="309" t="s">
        <v>334</v>
      </c>
      <c r="D373" s="1073"/>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row>
    <row r="374" spans="1:26" ht="15.75" customHeight="1">
      <c r="A374" s="264"/>
      <c r="B374" s="346" t="s">
        <v>841</v>
      </c>
      <c r="C374" s="320" t="s">
        <v>842</v>
      </c>
      <c r="D374" s="270" t="s">
        <v>520</v>
      </c>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row>
    <row r="375" spans="1:26" ht="15.75" customHeight="1">
      <c r="A375" s="264"/>
      <c r="B375" s="348" t="s">
        <v>843</v>
      </c>
      <c r="C375" s="264" t="s">
        <v>844</v>
      </c>
      <c r="D375" s="331" t="s">
        <v>520</v>
      </c>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row>
    <row r="376" spans="1:26" ht="15.75" customHeight="1">
      <c r="A376" s="264"/>
      <c r="B376" s="348" t="s">
        <v>845</v>
      </c>
      <c r="C376" s="264" t="s">
        <v>846</v>
      </c>
      <c r="D376" s="323" t="s">
        <v>545</v>
      </c>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row>
    <row r="377" spans="1:26" ht="15.75" customHeight="1">
      <c r="A377" s="264"/>
      <c r="B377" s="348" t="s">
        <v>847</v>
      </c>
      <c r="C377" s="295" t="s">
        <v>848</v>
      </c>
      <c r="D377" s="331" t="s">
        <v>520</v>
      </c>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row>
    <row r="378" spans="1:26" ht="15.75" customHeight="1">
      <c r="A378" s="264"/>
      <c r="B378" s="348" t="s">
        <v>849</v>
      </c>
      <c r="C378" s="264" t="s">
        <v>850</v>
      </c>
      <c r="D378" s="331" t="s">
        <v>520</v>
      </c>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row>
    <row r="379" spans="1:26" ht="15.75" customHeight="1">
      <c r="A379" s="264"/>
      <c r="B379" s="348" t="s">
        <v>851</v>
      </c>
      <c r="C379" s="264" t="s">
        <v>852</v>
      </c>
      <c r="D379" s="323" t="s">
        <v>545</v>
      </c>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row>
    <row r="380" spans="1:26" ht="15.75" customHeight="1">
      <c r="A380" s="264"/>
      <c r="B380" s="348" t="s">
        <v>853</v>
      </c>
      <c r="C380" s="264" t="s">
        <v>854</v>
      </c>
      <c r="D380" s="331" t="s">
        <v>520</v>
      </c>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row>
    <row r="381" spans="1:26" ht="15.75" customHeight="1">
      <c r="A381" s="264"/>
      <c r="B381" s="342" t="s">
        <v>855</v>
      </c>
      <c r="C381" s="354" t="s">
        <v>856</v>
      </c>
      <c r="D381" s="327" t="s">
        <v>545</v>
      </c>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row>
    <row r="382" spans="1:26" ht="15.75" customHeight="1">
      <c r="A382" s="264"/>
      <c r="B382" s="264"/>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row>
    <row r="383" spans="1:26" ht="15.75" customHeight="1">
      <c r="A383" s="264"/>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row>
    <row r="384" spans="1:26" ht="50.25" customHeight="1">
      <c r="A384" s="264"/>
      <c r="B384" s="1063" t="s">
        <v>857</v>
      </c>
      <c r="C384" s="924"/>
      <c r="D384" s="10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row>
    <row r="385" spans="1:26" ht="15.75" customHeight="1">
      <c r="A385" s="264"/>
      <c r="B385" s="1080" t="s">
        <v>858</v>
      </c>
      <c r="C385" s="1047"/>
      <c r="D385" s="1066"/>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row>
    <row r="386" spans="1:26" ht="15.75" customHeight="1">
      <c r="A386" s="264"/>
      <c r="B386" s="1067"/>
      <c r="C386" s="987"/>
      <c r="D386" s="1068"/>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row>
    <row r="387" spans="1:26" ht="15.75" customHeight="1">
      <c r="A387" s="264"/>
      <c r="B387" s="1075"/>
      <c r="C387" s="1005"/>
      <c r="D387" s="1076"/>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row>
    <row r="388" spans="1:26" ht="15.75" customHeight="1">
      <c r="A388" s="264"/>
      <c r="B388" s="1071" t="s">
        <v>515</v>
      </c>
      <c r="C388" s="1023"/>
      <c r="D388" s="1072" t="s">
        <v>516</v>
      </c>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row>
    <row r="389" spans="1:26" ht="15.75" customHeight="1">
      <c r="A389" s="264"/>
      <c r="B389" s="267" t="s">
        <v>517</v>
      </c>
      <c r="C389" s="309" t="s">
        <v>334</v>
      </c>
      <c r="D389" s="1073"/>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row>
    <row r="390" spans="1:26" ht="15.75" customHeight="1">
      <c r="A390" s="264"/>
      <c r="B390" s="346" t="s">
        <v>859</v>
      </c>
      <c r="C390" s="340" t="s">
        <v>860</v>
      </c>
      <c r="D390" s="270" t="s">
        <v>520</v>
      </c>
      <c r="E390" s="264"/>
      <c r="F390" s="264"/>
      <c r="G390" s="264"/>
      <c r="H390" s="264"/>
      <c r="I390" s="264"/>
      <c r="J390" s="264"/>
      <c r="K390" s="264"/>
      <c r="L390" s="264"/>
      <c r="M390" s="264"/>
      <c r="N390" s="264"/>
      <c r="O390" s="264"/>
      <c r="P390" s="264"/>
      <c r="Q390" s="264"/>
      <c r="R390" s="264"/>
      <c r="S390" s="264"/>
      <c r="T390" s="264"/>
      <c r="U390" s="264"/>
      <c r="V390" s="264"/>
      <c r="W390" s="264"/>
      <c r="X390" s="264"/>
      <c r="Y390" s="264"/>
      <c r="Z390" s="264"/>
    </row>
    <row r="391" spans="1:26" ht="15.75" customHeight="1">
      <c r="A391" s="264"/>
      <c r="B391" s="348" t="s">
        <v>861</v>
      </c>
      <c r="C391" s="264" t="s">
        <v>862</v>
      </c>
      <c r="D391" s="349" t="s">
        <v>520</v>
      </c>
      <c r="E391" s="264"/>
      <c r="F391" s="264"/>
      <c r="G391" s="264"/>
      <c r="H391" s="264"/>
      <c r="I391" s="264"/>
      <c r="J391" s="264"/>
      <c r="K391" s="264"/>
      <c r="L391" s="264"/>
      <c r="M391" s="264"/>
      <c r="N391" s="264"/>
      <c r="O391" s="264"/>
      <c r="P391" s="264"/>
      <c r="Q391" s="264"/>
      <c r="R391" s="264"/>
      <c r="S391" s="264"/>
      <c r="T391" s="264"/>
      <c r="U391" s="264"/>
      <c r="V391" s="264"/>
      <c r="W391" s="264"/>
      <c r="X391" s="264"/>
      <c r="Y391" s="264"/>
      <c r="Z391" s="264"/>
    </row>
    <row r="392" spans="1:26" ht="19.5" customHeight="1">
      <c r="A392" s="264"/>
      <c r="B392" s="342" t="s">
        <v>863</v>
      </c>
      <c r="C392" s="354" t="s">
        <v>864</v>
      </c>
      <c r="D392" s="285" t="s">
        <v>520</v>
      </c>
      <c r="E392" s="264"/>
      <c r="F392" s="264"/>
      <c r="G392" s="264"/>
      <c r="H392" s="264"/>
      <c r="I392" s="264"/>
      <c r="J392" s="264"/>
      <c r="K392" s="264"/>
      <c r="L392" s="264"/>
      <c r="M392" s="264"/>
      <c r="N392" s="264"/>
      <c r="O392" s="264"/>
      <c r="P392" s="264"/>
      <c r="Q392" s="264"/>
      <c r="R392" s="264"/>
      <c r="S392" s="264"/>
      <c r="T392" s="264"/>
      <c r="U392" s="264"/>
      <c r="V392" s="264"/>
      <c r="W392" s="264"/>
      <c r="X392" s="264"/>
      <c r="Y392" s="264"/>
      <c r="Z392" s="264"/>
    </row>
    <row r="393" spans="1:26" ht="15.75" customHeight="1">
      <c r="A393" s="264"/>
      <c r="B393" s="264"/>
      <c r="C393" s="264"/>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row>
    <row r="394" spans="1:26" ht="15.75" customHeight="1">
      <c r="A394" s="264"/>
      <c r="B394" s="264"/>
      <c r="C394" s="264"/>
      <c r="D394" s="264"/>
      <c r="E394" s="264"/>
      <c r="F394" s="264"/>
      <c r="G394" s="264"/>
      <c r="H394" s="264"/>
      <c r="I394" s="264"/>
      <c r="J394" s="264"/>
      <c r="K394" s="264"/>
      <c r="L394" s="264"/>
      <c r="M394" s="264"/>
      <c r="N394" s="264"/>
      <c r="O394" s="264"/>
      <c r="P394" s="264"/>
      <c r="Q394" s="264"/>
      <c r="R394" s="264"/>
      <c r="S394" s="264"/>
      <c r="T394" s="264"/>
      <c r="U394" s="264"/>
      <c r="V394" s="264"/>
      <c r="W394" s="264"/>
      <c r="X394" s="264"/>
      <c r="Y394" s="264"/>
      <c r="Z394" s="264"/>
    </row>
    <row r="395" spans="1:26" ht="45" customHeight="1">
      <c r="A395" s="264"/>
      <c r="B395" s="1063" t="s">
        <v>865</v>
      </c>
      <c r="C395" s="924"/>
      <c r="D395" s="1064"/>
      <c r="E395" s="264"/>
      <c r="F395" s="264"/>
      <c r="G395" s="264"/>
      <c r="H395" s="264"/>
      <c r="I395" s="264"/>
      <c r="J395" s="264"/>
      <c r="K395" s="264"/>
      <c r="L395" s="264"/>
      <c r="M395" s="264"/>
      <c r="N395" s="264"/>
      <c r="O395" s="264"/>
      <c r="P395" s="264"/>
      <c r="Q395" s="264"/>
      <c r="R395" s="264"/>
      <c r="S395" s="264"/>
      <c r="T395" s="264"/>
      <c r="U395" s="264"/>
      <c r="V395" s="264"/>
      <c r="W395" s="264"/>
      <c r="X395" s="264"/>
      <c r="Y395" s="264"/>
      <c r="Z395" s="264"/>
    </row>
    <row r="396" spans="1:26" ht="15.75" customHeight="1">
      <c r="A396" s="264"/>
      <c r="B396" s="1080" t="s">
        <v>866</v>
      </c>
      <c r="C396" s="1047"/>
      <c r="D396" s="1066"/>
      <c r="E396" s="264"/>
      <c r="F396" s="264"/>
      <c r="G396" s="264"/>
      <c r="H396" s="264"/>
      <c r="I396" s="264"/>
      <c r="J396" s="264"/>
      <c r="K396" s="264"/>
      <c r="L396" s="264"/>
      <c r="M396" s="264"/>
      <c r="N396" s="264"/>
      <c r="O396" s="264"/>
      <c r="P396" s="264"/>
      <c r="Q396" s="264"/>
      <c r="R396" s="264"/>
      <c r="S396" s="264"/>
      <c r="T396" s="264"/>
      <c r="U396" s="264"/>
      <c r="V396" s="264"/>
      <c r="W396" s="264"/>
      <c r="X396" s="264"/>
      <c r="Y396" s="264"/>
      <c r="Z396" s="264"/>
    </row>
    <row r="397" spans="1:26" ht="15.75" customHeight="1">
      <c r="A397" s="264"/>
      <c r="B397" s="1067"/>
      <c r="C397" s="987"/>
      <c r="D397" s="1068"/>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row>
    <row r="398" spans="1:26" ht="15.75" customHeight="1">
      <c r="A398" s="264"/>
      <c r="B398" s="1075"/>
      <c r="C398" s="1005"/>
      <c r="D398" s="1076"/>
      <c r="E398" s="264"/>
      <c r="F398" s="264"/>
      <c r="G398" s="264"/>
      <c r="H398" s="264"/>
      <c r="I398" s="264"/>
      <c r="J398" s="264"/>
      <c r="K398" s="264"/>
      <c r="L398" s="264"/>
      <c r="M398" s="264"/>
      <c r="N398" s="264"/>
      <c r="O398" s="264"/>
      <c r="P398" s="264"/>
      <c r="Q398" s="264"/>
      <c r="R398" s="264"/>
      <c r="S398" s="264"/>
      <c r="T398" s="264"/>
      <c r="U398" s="264"/>
      <c r="V398" s="264"/>
      <c r="W398" s="264"/>
      <c r="X398" s="264"/>
      <c r="Y398" s="264"/>
      <c r="Z398" s="264"/>
    </row>
    <row r="399" spans="1:26" ht="15.75" customHeight="1">
      <c r="A399" s="264"/>
      <c r="B399" s="1071" t="s">
        <v>515</v>
      </c>
      <c r="C399" s="1023"/>
      <c r="D399" s="1072" t="s">
        <v>516</v>
      </c>
      <c r="E399" s="264"/>
      <c r="F399" s="264"/>
      <c r="G399" s="264"/>
      <c r="H399" s="264"/>
      <c r="I399" s="264"/>
      <c r="J399" s="264"/>
      <c r="K399" s="264"/>
      <c r="L399" s="264"/>
      <c r="M399" s="264"/>
      <c r="N399" s="264"/>
      <c r="O399" s="264"/>
      <c r="P399" s="264"/>
      <c r="Q399" s="264"/>
      <c r="R399" s="264"/>
      <c r="S399" s="264"/>
      <c r="T399" s="264"/>
      <c r="U399" s="264"/>
      <c r="V399" s="264"/>
      <c r="W399" s="264"/>
      <c r="X399" s="264"/>
      <c r="Y399" s="264"/>
      <c r="Z399" s="264"/>
    </row>
    <row r="400" spans="1:26" ht="15.75" customHeight="1">
      <c r="A400" s="264"/>
      <c r="B400" s="267" t="s">
        <v>517</v>
      </c>
      <c r="C400" s="309" t="s">
        <v>334</v>
      </c>
      <c r="D400" s="1073"/>
      <c r="E400" s="264"/>
      <c r="F400" s="264"/>
      <c r="G400" s="264"/>
      <c r="H400" s="264"/>
      <c r="I400" s="264"/>
      <c r="J400" s="264"/>
      <c r="K400" s="264"/>
      <c r="L400" s="264"/>
      <c r="M400" s="264"/>
      <c r="N400" s="264"/>
      <c r="O400" s="264"/>
      <c r="P400" s="264"/>
      <c r="Q400" s="264"/>
      <c r="R400" s="264"/>
      <c r="S400" s="264"/>
      <c r="T400" s="264"/>
      <c r="U400" s="264"/>
      <c r="V400" s="264"/>
      <c r="W400" s="264"/>
      <c r="X400" s="264"/>
      <c r="Y400" s="264"/>
      <c r="Z400" s="264"/>
    </row>
    <row r="401" spans="1:26" ht="15.75" customHeight="1">
      <c r="A401" s="264"/>
      <c r="B401" s="346" t="s">
        <v>867</v>
      </c>
      <c r="C401" s="340" t="s">
        <v>868</v>
      </c>
      <c r="D401" s="270" t="s">
        <v>520</v>
      </c>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row>
    <row r="402" spans="1:26" ht="15.75" customHeight="1">
      <c r="A402" s="264"/>
      <c r="B402" s="348" t="s">
        <v>869</v>
      </c>
      <c r="C402" s="264" t="s">
        <v>870</v>
      </c>
      <c r="D402" s="331" t="s">
        <v>520</v>
      </c>
      <c r="E402" s="264"/>
      <c r="F402" s="264"/>
      <c r="G402" s="264"/>
      <c r="H402" s="264"/>
      <c r="I402" s="264"/>
      <c r="J402" s="264"/>
      <c r="K402" s="264"/>
      <c r="L402" s="264"/>
      <c r="M402" s="264"/>
      <c r="N402" s="264"/>
      <c r="O402" s="264"/>
      <c r="P402" s="264"/>
      <c r="Q402" s="264"/>
      <c r="R402" s="264"/>
      <c r="S402" s="264"/>
      <c r="T402" s="264"/>
      <c r="U402" s="264"/>
      <c r="V402" s="264"/>
      <c r="W402" s="264"/>
      <c r="X402" s="264"/>
      <c r="Y402" s="264"/>
      <c r="Z402" s="264"/>
    </row>
    <row r="403" spans="1:26" ht="15.75" customHeight="1">
      <c r="A403" s="264"/>
      <c r="B403" s="342" t="s">
        <v>871</v>
      </c>
      <c r="C403" s="277" t="s">
        <v>872</v>
      </c>
      <c r="D403" s="327" t="s">
        <v>545</v>
      </c>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row>
    <row r="404" spans="1:26" ht="15.75" customHeight="1">
      <c r="A404" s="264"/>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row>
    <row r="405" spans="1:26" ht="15.75" customHeight="1">
      <c r="A405" s="264"/>
      <c r="B405" s="264"/>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row>
    <row r="406" spans="1:26" ht="51.75" customHeight="1">
      <c r="A406" s="264"/>
      <c r="B406" s="1063" t="s">
        <v>873</v>
      </c>
      <c r="C406" s="924"/>
      <c r="D406" s="10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row>
    <row r="407" spans="1:26" ht="15.75" customHeight="1">
      <c r="A407" s="264"/>
      <c r="B407" s="1080" t="s">
        <v>874</v>
      </c>
      <c r="C407" s="1047"/>
      <c r="D407" s="1066"/>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row>
    <row r="408" spans="1:26" ht="15.75" customHeight="1">
      <c r="A408" s="264"/>
      <c r="B408" s="1067"/>
      <c r="C408" s="987"/>
      <c r="D408" s="1068"/>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row>
    <row r="409" spans="1:26" ht="15.75" customHeight="1">
      <c r="A409" s="264"/>
      <c r="B409" s="1075"/>
      <c r="C409" s="1005"/>
      <c r="D409" s="1076"/>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row>
    <row r="410" spans="1:26" ht="15.75" customHeight="1">
      <c r="A410" s="264"/>
      <c r="B410" s="1071" t="s">
        <v>515</v>
      </c>
      <c r="C410" s="1023"/>
      <c r="D410" s="1072" t="s">
        <v>516</v>
      </c>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row>
    <row r="411" spans="1:26" ht="15.75" customHeight="1">
      <c r="A411" s="264"/>
      <c r="B411" s="267" t="s">
        <v>517</v>
      </c>
      <c r="C411" s="309" t="s">
        <v>334</v>
      </c>
      <c r="D411" s="1073"/>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row>
    <row r="412" spans="1:26" ht="15.75" customHeight="1">
      <c r="A412" s="264"/>
      <c r="B412" s="279" t="s">
        <v>875</v>
      </c>
      <c r="C412" s="264" t="s">
        <v>876</v>
      </c>
      <c r="D412" s="357" t="s">
        <v>520</v>
      </c>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row>
    <row r="413" spans="1:26" ht="15.75" customHeight="1">
      <c r="A413" s="264"/>
      <c r="B413" s="348" t="s">
        <v>877</v>
      </c>
      <c r="C413" s="264" t="s">
        <v>878</v>
      </c>
      <c r="D413" s="358" t="s">
        <v>520</v>
      </c>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row>
    <row r="414" spans="1:26" ht="15.75" customHeight="1">
      <c r="A414" s="264"/>
      <c r="B414" s="348" t="s">
        <v>879</v>
      </c>
      <c r="C414" s="264" t="s">
        <v>880</v>
      </c>
      <c r="D414" s="358" t="s">
        <v>520</v>
      </c>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row>
    <row r="415" spans="1:26" ht="15.75" customHeight="1">
      <c r="A415" s="264"/>
      <c r="B415" s="348" t="s">
        <v>881</v>
      </c>
      <c r="C415" s="295" t="s">
        <v>882</v>
      </c>
      <c r="D415" s="359" t="s">
        <v>545</v>
      </c>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row>
    <row r="416" spans="1:26" ht="15.75" customHeight="1">
      <c r="A416" s="264"/>
      <c r="B416" s="348" t="s">
        <v>863</v>
      </c>
      <c r="C416" s="264" t="s">
        <v>883</v>
      </c>
      <c r="D416" s="360" t="s">
        <v>520</v>
      </c>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row>
    <row r="417" spans="1:26" ht="15.75" customHeight="1">
      <c r="A417" s="264"/>
      <c r="B417" s="342" t="s">
        <v>884</v>
      </c>
      <c r="C417" s="277" t="s">
        <v>885</v>
      </c>
      <c r="D417" s="361" t="s">
        <v>520</v>
      </c>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row>
    <row r="418" spans="1:26" ht="15.75" customHeight="1">
      <c r="A418" s="264"/>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row>
    <row r="419" spans="1:26" ht="15.75" customHeight="1">
      <c r="A419" s="264"/>
      <c r="B419" s="264"/>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row>
    <row r="420" spans="1:26" ht="49.5" customHeight="1">
      <c r="A420" s="264"/>
      <c r="B420" s="1063" t="s">
        <v>886</v>
      </c>
      <c r="C420" s="924"/>
      <c r="D420" s="10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row>
    <row r="421" spans="1:26" ht="15.75" customHeight="1">
      <c r="A421" s="264"/>
      <c r="B421" s="1080" t="s">
        <v>887</v>
      </c>
      <c r="C421" s="1047"/>
      <c r="D421" s="1066"/>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row>
    <row r="422" spans="1:26" ht="15.75" customHeight="1">
      <c r="A422" s="264"/>
      <c r="B422" s="1067"/>
      <c r="C422" s="987"/>
      <c r="D422" s="1068"/>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row>
    <row r="423" spans="1:26" ht="15.75" customHeight="1">
      <c r="A423" s="264"/>
      <c r="B423" s="1075"/>
      <c r="C423" s="1005"/>
      <c r="D423" s="1076"/>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row>
    <row r="424" spans="1:26" ht="15.75" customHeight="1">
      <c r="A424" s="264"/>
      <c r="B424" s="1071" t="s">
        <v>515</v>
      </c>
      <c r="C424" s="1023"/>
      <c r="D424" s="1072" t="s">
        <v>516</v>
      </c>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row>
    <row r="425" spans="1:26" ht="15.75" customHeight="1">
      <c r="A425" s="264"/>
      <c r="B425" s="269" t="s">
        <v>517</v>
      </c>
      <c r="C425" s="318" t="s">
        <v>334</v>
      </c>
      <c r="D425" s="1077"/>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row>
    <row r="426" spans="1:26" ht="15.75" customHeight="1">
      <c r="A426" s="264"/>
      <c r="B426" s="346" t="s">
        <v>888</v>
      </c>
      <c r="C426" s="340" t="s">
        <v>889</v>
      </c>
      <c r="D426" s="357" t="s">
        <v>520</v>
      </c>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row>
    <row r="427" spans="1:26" ht="15.75" customHeight="1">
      <c r="A427" s="264"/>
      <c r="B427" s="348" t="s">
        <v>890</v>
      </c>
      <c r="C427" s="264" t="s">
        <v>891</v>
      </c>
      <c r="D427" s="360" t="s">
        <v>520</v>
      </c>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row>
    <row r="428" spans="1:26" ht="15.75" customHeight="1">
      <c r="A428" s="264"/>
      <c r="B428" s="342" t="s">
        <v>892</v>
      </c>
      <c r="C428" s="354" t="s">
        <v>893</v>
      </c>
      <c r="D428" s="361" t="s">
        <v>545</v>
      </c>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row>
    <row r="429" spans="1:26" ht="15.75" customHeight="1">
      <c r="A429" s="264"/>
      <c r="B429" s="264"/>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row>
    <row r="430" spans="1:26" ht="15.75" customHeight="1">
      <c r="A430" s="264"/>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row>
    <row r="431" spans="1:26" ht="48" customHeight="1">
      <c r="A431" s="264"/>
      <c r="B431" s="1063" t="s">
        <v>894</v>
      </c>
      <c r="C431" s="924"/>
      <c r="D431" s="10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row>
    <row r="432" spans="1:26" ht="15.75" customHeight="1">
      <c r="A432" s="264"/>
      <c r="B432" s="1080" t="s">
        <v>895</v>
      </c>
      <c r="C432" s="1047"/>
      <c r="D432" s="1066"/>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row>
    <row r="433" spans="1:26" ht="15.75" customHeight="1">
      <c r="A433" s="264"/>
      <c r="B433" s="1067"/>
      <c r="C433" s="987"/>
      <c r="D433" s="1068"/>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row>
    <row r="434" spans="1:26" ht="15.75" customHeight="1">
      <c r="A434" s="264"/>
      <c r="B434" s="1075"/>
      <c r="C434" s="1005"/>
      <c r="D434" s="1076"/>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row>
    <row r="435" spans="1:26" ht="15.75" customHeight="1">
      <c r="A435" s="264"/>
      <c r="B435" s="1071" t="s">
        <v>515</v>
      </c>
      <c r="C435" s="1023"/>
      <c r="D435" s="1072" t="s">
        <v>516</v>
      </c>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row>
    <row r="436" spans="1:26" ht="15.75" customHeight="1">
      <c r="A436" s="264"/>
      <c r="B436" s="267" t="s">
        <v>517</v>
      </c>
      <c r="C436" s="309" t="s">
        <v>334</v>
      </c>
      <c r="D436" s="1073"/>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row>
    <row r="437" spans="1:26" ht="15.75" customHeight="1">
      <c r="A437" s="264"/>
      <c r="B437" s="346" t="s">
        <v>896</v>
      </c>
      <c r="C437" s="320" t="s">
        <v>897</v>
      </c>
      <c r="D437" s="270" t="s">
        <v>898</v>
      </c>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row>
    <row r="438" spans="1:26" ht="15.75" customHeight="1">
      <c r="A438" s="264"/>
      <c r="B438" s="348" t="s">
        <v>899</v>
      </c>
      <c r="C438" s="295" t="s">
        <v>900</v>
      </c>
      <c r="D438" s="323" t="s">
        <v>545</v>
      </c>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row>
    <row r="439" spans="1:26" ht="15.75" customHeight="1">
      <c r="A439" s="264"/>
      <c r="B439" s="348" t="s">
        <v>901</v>
      </c>
      <c r="C439" s="295" t="s">
        <v>902</v>
      </c>
      <c r="D439" s="323" t="s">
        <v>545</v>
      </c>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row>
    <row r="440" spans="1:26" ht="15.75" customHeight="1">
      <c r="A440" s="264"/>
      <c r="B440" s="342" t="s">
        <v>903</v>
      </c>
      <c r="C440" s="354" t="s">
        <v>904</v>
      </c>
      <c r="D440" s="353" t="s">
        <v>898</v>
      </c>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row>
    <row r="441" spans="1:26" ht="15.75" customHeight="1">
      <c r="A441" s="264"/>
      <c r="B441" s="264"/>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row>
    <row r="442" spans="1:26" ht="15.75" customHeight="1">
      <c r="A442" s="264"/>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row>
    <row r="443" spans="1:26" ht="48.75" customHeight="1">
      <c r="A443" s="264"/>
      <c r="B443" s="1063" t="s">
        <v>905</v>
      </c>
      <c r="C443" s="924"/>
      <c r="D443" s="10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row>
    <row r="444" spans="1:26" ht="15.75" customHeight="1">
      <c r="A444" s="264"/>
      <c r="B444" s="1080" t="s">
        <v>906</v>
      </c>
      <c r="C444" s="1047"/>
      <c r="D444" s="1066"/>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row>
    <row r="445" spans="1:26" ht="15.75" customHeight="1">
      <c r="A445" s="264"/>
      <c r="B445" s="1067"/>
      <c r="C445" s="987"/>
      <c r="D445" s="1068"/>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row>
    <row r="446" spans="1:26" ht="15.75" customHeight="1">
      <c r="A446" s="264"/>
      <c r="B446" s="1075"/>
      <c r="C446" s="1005"/>
      <c r="D446" s="1076"/>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row>
    <row r="447" spans="1:26" ht="15.75" customHeight="1">
      <c r="A447" s="264"/>
      <c r="B447" s="1071" t="s">
        <v>515</v>
      </c>
      <c r="C447" s="1023"/>
      <c r="D447" s="1072" t="s">
        <v>516</v>
      </c>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row>
    <row r="448" spans="1:26" ht="15.75" customHeight="1">
      <c r="A448" s="264"/>
      <c r="B448" s="267" t="s">
        <v>517</v>
      </c>
      <c r="C448" s="309" t="s">
        <v>334</v>
      </c>
      <c r="D448" s="1073"/>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row>
    <row r="449" spans="1:26" ht="15.75" customHeight="1">
      <c r="A449" s="264"/>
      <c r="B449" s="346" t="s">
        <v>907</v>
      </c>
      <c r="C449" s="320" t="s">
        <v>908</v>
      </c>
      <c r="D449" s="347" t="s">
        <v>520</v>
      </c>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row>
    <row r="450" spans="1:26" ht="15.75" customHeight="1">
      <c r="A450" s="264"/>
      <c r="B450" s="342" t="s">
        <v>909</v>
      </c>
      <c r="C450" s="277" t="s">
        <v>910</v>
      </c>
      <c r="D450" s="356" t="s">
        <v>545</v>
      </c>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row>
    <row r="451" spans="1:26" ht="15.75" customHeight="1">
      <c r="A451" s="264"/>
      <c r="B451" s="264"/>
      <c r="C451" s="295"/>
      <c r="D451" s="362"/>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row>
    <row r="452" spans="1:26" ht="15.75" customHeight="1">
      <c r="A452" s="264"/>
      <c r="B452" s="264"/>
      <c r="C452" s="295"/>
      <c r="D452" s="362"/>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row>
    <row r="453" spans="1:26" ht="46.5" customHeight="1">
      <c r="A453" s="264"/>
      <c r="B453" s="1063" t="s">
        <v>911</v>
      </c>
      <c r="C453" s="924"/>
      <c r="D453" s="10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row>
    <row r="454" spans="1:26" ht="15.75" customHeight="1">
      <c r="A454" s="264"/>
      <c r="B454" s="1080" t="s">
        <v>912</v>
      </c>
      <c r="C454" s="1047"/>
      <c r="D454" s="1066"/>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row>
    <row r="455" spans="1:26" ht="15.75" customHeight="1">
      <c r="A455" s="264"/>
      <c r="B455" s="1067"/>
      <c r="C455" s="987"/>
      <c r="D455" s="1068"/>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row>
    <row r="456" spans="1:26" ht="15.75" customHeight="1">
      <c r="A456" s="264"/>
      <c r="B456" s="1075"/>
      <c r="C456" s="1005"/>
      <c r="D456" s="1076"/>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row>
    <row r="457" spans="1:26" ht="15.75" customHeight="1">
      <c r="A457" s="264"/>
      <c r="B457" s="1071" t="s">
        <v>515</v>
      </c>
      <c r="C457" s="1023"/>
      <c r="D457" s="1072" t="s">
        <v>516</v>
      </c>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row>
    <row r="458" spans="1:26" ht="15.75" customHeight="1">
      <c r="A458" s="264"/>
      <c r="B458" s="267" t="s">
        <v>517</v>
      </c>
      <c r="C458" s="309" t="s">
        <v>334</v>
      </c>
      <c r="D458" s="1073"/>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row>
    <row r="459" spans="1:26" ht="33.75" customHeight="1">
      <c r="A459" s="264"/>
      <c r="B459" s="346" t="s">
        <v>913</v>
      </c>
      <c r="C459" s="320" t="s">
        <v>914</v>
      </c>
      <c r="D459" s="357" t="s">
        <v>520</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row>
    <row r="460" spans="1:26" ht="15.75" customHeight="1">
      <c r="A460" s="264"/>
      <c r="B460" s="348" t="s">
        <v>915</v>
      </c>
      <c r="C460" s="264" t="s">
        <v>804</v>
      </c>
      <c r="D460" s="358" t="s">
        <v>520</v>
      </c>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row>
    <row r="461" spans="1:26" ht="15.75" customHeight="1">
      <c r="A461" s="264"/>
      <c r="B461" s="348" t="s">
        <v>916</v>
      </c>
      <c r="C461" s="295" t="s">
        <v>917</v>
      </c>
      <c r="D461" s="358" t="s">
        <v>520</v>
      </c>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row>
    <row r="462" spans="1:26" ht="15.75" customHeight="1">
      <c r="A462" s="264"/>
      <c r="B462" s="342" t="s">
        <v>918</v>
      </c>
      <c r="C462" s="277" t="s">
        <v>919</v>
      </c>
      <c r="D462" s="363" t="s">
        <v>545</v>
      </c>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row>
    <row r="463" spans="1:26" ht="15.75" customHeight="1">
      <c r="A463" s="264"/>
      <c r="B463" s="264"/>
      <c r="C463" s="295"/>
      <c r="D463" s="362"/>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row>
    <row r="464" spans="1:26" ht="15.75" customHeight="1">
      <c r="A464" s="264"/>
      <c r="B464" s="264"/>
      <c r="C464" s="295"/>
      <c r="D464" s="362"/>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row>
    <row r="465" spans="1:26" ht="47.25" customHeight="1">
      <c r="A465" s="264"/>
      <c r="B465" s="1063" t="s">
        <v>920</v>
      </c>
      <c r="C465" s="924"/>
      <c r="D465" s="10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row>
    <row r="466" spans="1:26" ht="15.75" customHeight="1">
      <c r="A466" s="264"/>
      <c r="B466" s="1080" t="s">
        <v>921</v>
      </c>
      <c r="C466" s="1047"/>
      <c r="D466" s="1066"/>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row>
    <row r="467" spans="1:26" ht="15.75" customHeight="1">
      <c r="A467" s="264"/>
      <c r="B467" s="1067"/>
      <c r="C467" s="987"/>
      <c r="D467" s="1068"/>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row>
    <row r="468" spans="1:26" ht="15.75" customHeight="1">
      <c r="A468" s="264"/>
      <c r="B468" s="1075"/>
      <c r="C468" s="1005"/>
      <c r="D468" s="1076"/>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row>
    <row r="469" spans="1:26" ht="15.75" customHeight="1">
      <c r="A469" s="264"/>
      <c r="B469" s="1071" t="s">
        <v>515</v>
      </c>
      <c r="C469" s="1023"/>
      <c r="D469" s="1072" t="s">
        <v>516</v>
      </c>
      <c r="E469" s="264"/>
      <c r="F469" s="264"/>
      <c r="G469" s="264"/>
      <c r="H469" s="264"/>
      <c r="I469" s="264"/>
      <c r="J469" s="264"/>
      <c r="K469" s="264"/>
      <c r="L469" s="264"/>
      <c r="M469" s="264"/>
      <c r="N469" s="264"/>
      <c r="O469" s="264"/>
      <c r="P469" s="264"/>
      <c r="Q469" s="264"/>
      <c r="R469" s="264"/>
      <c r="S469" s="264"/>
      <c r="T469" s="264"/>
      <c r="U469" s="264"/>
      <c r="V469" s="264"/>
      <c r="W469" s="264"/>
      <c r="X469" s="264"/>
      <c r="Y469" s="264"/>
      <c r="Z469" s="264"/>
    </row>
    <row r="470" spans="1:26" ht="15.75" customHeight="1">
      <c r="A470" s="264"/>
      <c r="B470" s="267" t="s">
        <v>517</v>
      </c>
      <c r="C470" s="309" t="s">
        <v>334</v>
      </c>
      <c r="D470" s="1073"/>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row>
    <row r="471" spans="1:26" ht="37.5" customHeight="1">
      <c r="A471" s="264"/>
      <c r="B471" s="346" t="s">
        <v>922</v>
      </c>
      <c r="C471" s="333" t="s">
        <v>923</v>
      </c>
      <c r="D471" s="347" t="s">
        <v>520</v>
      </c>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row>
    <row r="472" spans="1:26" ht="72" customHeight="1">
      <c r="A472" s="264"/>
      <c r="B472" s="348" t="s">
        <v>924</v>
      </c>
      <c r="C472" s="322" t="s">
        <v>925</v>
      </c>
      <c r="D472" s="349" t="s">
        <v>520</v>
      </c>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row>
    <row r="473" spans="1:26" ht="15.75" customHeight="1">
      <c r="A473" s="264"/>
      <c r="B473" s="342" t="s">
        <v>926</v>
      </c>
      <c r="C473" s="326" t="s">
        <v>927</v>
      </c>
      <c r="D473" s="356" t="s">
        <v>545</v>
      </c>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row>
    <row r="474" spans="1:26" ht="15.75" customHeight="1">
      <c r="A474" s="264"/>
      <c r="B474" s="264"/>
      <c r="C474" s="295"/>
      <c r="D474" s="362"/>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row>
    <row r="475" spans="1:26" ht="15.75" customHeight="1">
      <c r="A475" s="264"/>
      <c r="B475" s="264"/>
      <c r="C475" s="264"/>
      <c r="D475" s="264"/>
      <c r="E475" s="264"/>
      <c r="F475" s="264"/>
      <c r="G475" s="264"/>
      <c r="H475" s="264"/>
      <c r="I475" s="264"/>
      <c r="J475" s="264"/>
      <c r="K475" s="264"/>
      <c r="L475" s="264"/>
      <c r="M475" s="264"/>
      <c r="N475" s="264"/>
      <c r="O475" s="264"/>
      <c r="P475" s="264"/>
      <c r="Q475" s="264"/>
      <c r="R475" s="264"/>
      <c r="S475" s="264"/>
      <c r="T475" s="264"/>
      <c r="U475" s="264"/>
      <c r="V475" s="264"/>
      <c r="W475" s="264"/>
      <c r="X475" s="264"/>
      <c r="Y475" s="264"/>
      <c r="Z475" s="264"/>
    </row>
    <row r="476" spans="1:26" ht="50.25" customHeight="1">
      <c r="A476" s="264"/>
      <c r="B476" s="1063" t="s">
        <v>928</v>
      </c>
      <c r="C476" s="924"/>
      <c r="D476" s="10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row>
    <row r="477" spans="1:26" ht="15.75" customHeight="1">
      <c r="A477" s="264"/>
      <c r="B477" s="1080" t="s">
        <v>929</v>
      </c>
      <c r="C477" s="1047"/>
      <c r="D477" s="1066"/>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row>
    <row r="478" spans="1:26" ht="15.75" customHeight="1">
      <c r="A478" s="264"/>
      <c r="B478" s="1067"/>
      <c r="C478" s="987"/>
      <c r="D478" s="1068"/>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row>
    <row r="479" spans="1:26" ht="15.75" customHeight="1">
      <c r="A479" s="264"/>
      <c r="B479" s="1075"/>
      <c r="C479" s="1005"/>
      <c r="D479" s="1076"/>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row>
    <row r="480" spans="1:26" ht="15.75" customHeight="1">
      <c r="A480" s="264"/>
      <c r="B480" s="1071" t="s">
        <v>515</v>
      </c>
      <c r="C480" s="1023"/>
      <c r="D480" s="1072" t="s">
        <v>516</v>
      </c>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row>
    <row r="481" spans="1:26" ht="15.75" customHeight="1">
      <c r="A481" s="264"/>
      <c r="B481" s="267" t="s">
        <v>517</v>
      </c>
      <c r="C481" s="309" t="s">
        <v>334</v>
      </c>
      <c r="D481" s="1073"/>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row>
    <row r="482" spans="1:26" ht="15.75" customHeight="1">
      <c r="A482" s="264"/>
      <c r="B482" s="346" t="s">
        <v>930</v>
      </c>
      <c r="C482" s="320" t="s">
        <v>931</v>
      </c>
      <c r="D482" s="347" t="s">
        <v>520</v>
      </c>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row>
    <row r="483" spans="1:26" ht="15.75" customHeight="1">
      <c r="A483" s="264"/>
      <c r="B483" s="348" t="s">
        <v>932</v>
      </c>
      <c r="C483" s="295" t="s">
        <v>933</v>
      </c>
      <c r="D483" s="349" t="s">
        <v>520</v>
      </c>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row>
    <row r="484" spans="1:26" ht="15.75" customHeight="1">
      <c r="A484" s="264"/>
      <c r="B484" s="348" t="s">
        <v>934</v>
      </c>
      <c r="C484" s="295" t="s">
        <v>935</v>
      </c>
      <c r="D484" s="350" t="s">
        <v>545</v>
      </c>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row>
    <row r="485" spans="1:26" ht="15.75" customHeight="1">
      <c r="A485" s="264"/>
      <c r="B485" s="348" t="s">
        <v>936</v>
      </c>
      <c r="C485" s="295" t="s">
        <v>937</v>
      </c>
      <c r="D485" s="349" t="s">
        <v>520</v>
      </c>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row>
    <row r="486" spans="1:26" ht="15.75" customHeight="1">
      <c r="A486" s="264"/>
      <c r="B486" s="348" t="s">
        <v>938</v>
      </c>
      <c r="C486" s="295" t="s">
        <v>939</v>
      </c>
      <c r="D486" s="349" t="s">
        <v>520</v>
      </c>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row>
    <row r="487" spans="1:26" ht="15.75" customHeight="1">
      <c r="A487" s="264"/>
      <c r="B487" s="348" t="s">
        <v>940</v>
      </c>
      <c r="C487" s="295" t="s">
        <v>941</v>
      </c>
      <c r="D487" s="350" t="s">
        <v>545</v>
      </c>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row>
    <row r="488" spans="1:26" ht="15.75" customHeight="1">
      <c r="A488" s="264"/>
      <c r="B488" s="342" t="s">
        <v>942</v>
      </c>
      <c r="C488" s="277" t="s">
        <v>943</v>
      </c>
      <c r="D488" s="356" t="s">
        <v>545</v>
      </c>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row>
    <row r="489" spans="1:26" ht="15.75" customHeight="1">
      <c r="A489" s="264"/>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row>
    <row r="490" spans="1:26" ht="15.75" customHeight="1">
      <c r="A490" s="264"/>
      <c r="B490" s="264"/>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row>
    <row r="491" spans="1:26" ht="50.25" customHeight="1">
      <c r="A491" s="264"/>
      <c r="B491" s="1063" t="s">
        <v>944</v>
      </c>
      <c r="C491" s="924"/>
      <c r="D491" s="10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row>
    <row r="492" spans="1:26" ht="15.75" customHeight="1">
      <c r="A492" s="264"/>
      <c r="B492" s="1080" t="s">
        <v>945</v>
      </c>
      <c r="C492" s="1047"/>
      <c r="D492" s="1066"/>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row>
    <row r="493" spans="1:26" ht="15.75" customHeight="1">
      <c r="A493" s="264"/>
      <c r="B493" s="1067"/>
      <c r="C493" s="987"/>
      <c r="D493" s="1068"/>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row>
    <row r="494" spans="1:26" ht="15.75" customHeight="1">
      <c r="A494" s="264"/>
      <c r="B494" s="1075"/>
      <c r="C494" s="1005"/>
      <c r="D494" s="1076"/>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row>
    <row r="495" spans="1:26" ht="15.75" customHeight="1">
      <c r="A495" s="264"/>
      <c r="B495" s="1071" t="s">
        <v>515</v>
      </c>
      <c r="C495" s="1023"/>
      <c r="D495" s="1072" t="s">
        <v>516</v>
      </c>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row>
    <row r="496" spans="1:26" ht="15.75" customHeight="1">
      <c r="A496" s="264"/>
      <c r="B496" s="269" t="s">
        <v>517</v>
      </c>
      <c r="C496" s="318" t="s">
        <v>334</v>
      </c>
      <c r="D496" s="1077"/>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row>
    <row r="497" spans="1:26" ht="15.75" customHeight="1">
      <c r="A497" s="264"/>
      <c r="B497" s="346" t="s">
        <v>946</v>
      </c>
      <c r="C497" s="320" t="s">
        <v>947</v>
      </c>
      <c r="D497" s="347" t="s">
        <v>520</v>
      </c>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row>
    <row r="498" spans="1:26" ht="15.75" customHeight="1">
      <c r="A498" s="264"/>
      <c r="B498" s="348" t="s">
        <v>948</v>
      </c>
      <c r="C498" s="295" t="s">
        <v>949</v>
      </c>
      <c r="D498" s="349" t="s">
        <v>520</v>
      </c>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row>
    <row r="499" spans="1:26" ht="15.75" customHeight="1">
      <c r="A499" s="264"/>
      <c r="B499" s="348" t="s">
        <v>950</v>
      </c>
      <c r="C499" s="295" t="s">
        <v>951</v>
      </c>
      <c r="D499" s="349" t="s">
        <v>520</v>
      </c>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row>
    <row r="500" spans="1:26" ht="15.75" customHeight="1">
      <c r="A500" s="264"/>
      <c r="B500" s="348" t="s">
        <v>952</v>
      </c>
      <c r="C500" s="295" t="s">
        <v>953</v>
      </c>
      <c r="D500" s="349" t="s">
        <v>520</v>
      </c>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row>
    <row r="501" spans="1:26" ht="15.75" customHeight="1">
      <c r="A501" s="264"/>
      <c r="B501" s="348" t="s">
        <v>954</v>
      </c>
      <c r="C501" s="295" t="s">
        <v>955</v>
      </c>
      <c r="D501" s="349" t="s">
        <v>520</v>
      </c>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row>
    <row r="502" spans="1:26" ht="15.75" customHeight="1">
      <c r="A502" s="264"/>
      <c r="B502" s="348" t="s">
        <v>956</v>
      </c>
      <c r="C502" s="295" t="s">
        <v>957</v>
      </c>
      <c r="D502" s="349" t="s">
        <v>520</v>
      </c>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row>
    <row r="503" spans="1:26" ht="15.75" customHeight="1">
      <c r="A503" s="264"/>
      <c r="B503" s="348" t="s">
        <v>958</v>
      </c>
      <c r="C503" s="295" t="s">
        <v>959</v>
      </c>
      <c r="D503" s="350" t="s">
        <v>545</v>
      </c>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row>
    <row r="504" spans="1:26" ht="15.75" customHeight="1">
      <c r="A504" s="264"/>
      <c r="B504" s="342" t="s">
        <v>960</v>
      </c>
      <c r="C504" s="277" t="s">
        <v>961</v>
      </c>
      <c r="D504" s="356" t="s">
        <v>545</v>
      </c>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row>
    <row r="505" spans="1:26" ht="15.75" customHeight="1">
      <c r="A505" s="264"/>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row>
    <row r="506" spans="1:26" ht="15.75" customHeight="1">
      <c r="A506" s="296"/>
      <c r="B506" s="1087" t="s">
        <v>962</v>
      </c>
      <c r="C506" s="875"/>
      <c r="D506" s="858"/>
      <c r="E506" s="264"/>
      <c r="F506" s="264"/>
      <c r="G506" s="264"/>
      <c r="H506" s="264"/>
      <c r="I506" s="264"/>
      <c r="J506" s="264"/>
      <c r="K506" s="264"/>
      <c r="L506" s="264"/>
      <c r="M506" s="264"/>
      <c r="N506" s="317"/>
      <c r="O506" s="317"/>
      <c r="P506" s="317"/>
      <c r="Q506" s="317"/>
      <c r="R506" s="317"/>
      <c r="S506" s="317"/>
      <c r="T506" s="317"/>
      <c r="U506" s="317"/>
      <c r="V506" s="317"/>
      <c r="W506" s="317"/>
      <c r="X506" s="317"/>
      <c r="Y506" s="317"/>
      <c r="Z506" s="317"/>
    </row>
    <row r="507" spans="1:26" ht="15.75" customHeight="1">
      <c r="A507" s="264"/>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row>
    <row r="508" spans="1:26" ht="45.75" customHeight="1">
      <c r="A508" s="264"/>
      <c r="B508" s="1063" t="s">
        <v>963</v>
      </c>
      <c r="C508" s="924"/>
      <c r="D508" s="10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row>
    <row r="509" spans="1:26" ht="15.75" customHeight="1">
      <c r="A509" s="264"/>
      <c r="B509" s="1080" t="s">
        <v>964</v>
      </c>
      <c r="C509" s="1047"/>
      <c r="D509" s="1066"/>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row>
    <row r="510" spans="1:26" ht="15.75" customHeight="1">
      <c r="A510" s="264"/>
      <c r="B510" s="1067"/>
      <c r="C510" s="987"/>
      <c r="D510" s="1068"/>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row>
    <row r="511" spans="1:26" ht="15.75" customHeight="1">
      <c r="A511" s="264"/>
      <c r="B511" s="1075"/>
      <c r="C511" s="1005"/>
      <c r="D511" s="1076"/>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row>
    <row r="512" spans="1:26" ht="15.75" customHeight="1">
      <c r="A512" s="264"/>
      <c r="B512" s="1071" t="s">
        <v>515</v>
      </c>
      <c r="C512" s="1023"/>
      <c r="D512" s="1072" t="s">
        <v>516</v>
      </c>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row>
    <row r="513" spans="1:26" ht="15.75" customHeight="1">
      <c r="A513" s="264"/>
      <c r="B513" s="267" t="s">
        <v>517</v>
      </c>
      <c r="C513" s="309" t="s">
        <v>334</v>
      </c>
      <c r="D513" s="1073"/>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row>
    <row r="514" spans="1:26" ht="15.75" customHeight="1">
      <c r="A514" s="264"/>
      <c r="B514" s="346" t="s">
        <v>965</v>
      </c>
      <c r="C514" s="340" t="s">
        <v>966</v>
      </c>
      <c r="D514" s="270" t="s">
        <v>520</v>
      </c>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row>
    <row r="515" spans="1:26" ht="15.75" customHeight="1">
      <c r="A515" s="264"/>
      <c r="B515" s="348" t="s">
        <v>967</v>
      </c>
      <c r="C515" s="295" t="s">
        <v>968</v>
      </c>
      <c r="D515" s="331" t="s">
        <v>520</v>
      </c>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row>
    <row r="516" spans="1:26" ht="15.75" customHeight="1">
      <c r="A516" s="264"/>
      <c r="B516" s="342" t="s">
        <v>620</v>
      </c>
      <c r="C516" s="354" t="s">
        <v>969</v>
      </c>
      <c r="D516" s="327" t="s">
        <v>545</v>
      </c>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row>
    <row r="517" spans="1:26" ht="15.75" customHeight="1">
      <c r="A517" s="264"/>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row>
    <row r="518" spans="1:26" ht="15.75" customHeight="1">
      <c r="A518" s="264"/>
      <c r="B518" s="264"/>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row>
    <row r="519" spans="1:26" ht="51" customHeight="1">
      <c r="A519" s="264"/>
      <c r="B519" s="1063" t="s">
        <v>970</v>
      </c>
      <c r="C519" s="924"/>
      <c r="D519" s="10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row>
    <row r="520" spans="1:26" ht="15.75" customHeight="1">
      <c r="A520" s="264"/>
      <c r="B520" s="1080" t="s">
        <v>971</v>
      </c>
      <c r="C520" s="1047"/>
      <c r="D520" s="1066"/>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row>
    <row r="521" spans="1:26" ht="15.75" customHeight="1">
      <c r="A521" s="264"/>
      <c r="B521" s="1067"/>
      <c r="C521" s="987"/>
      <c r="D521" s="1068"/>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row>
    <row r="522" spans="1:26" ht="15.75" customHeight="1">
      <c r="A522" s="264"/>
      <c r="B522" s="1075"/>
      <c r="C522" s="1005"/>
      <c r="D522" s="1076"/>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row>
    <row r="523" spans="1:26" ht="15.75" customHeight="1">
      <c r="A523" s="264"/>
      <c r="B523" s="1071" t="s">
        <v>515</v>
      </c>
      <c r="C523" s="1023"/>
      <c r="D523" s="1072" t="s">
        <v>516</v>
      </c>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row>
    <row r="524" spans="1:26" ht="15.75" customHeight="1">
      <c r="A524" s="264"/>
      <c r="B524" s="267" t="s">
        <v>517</v>
      </c>
      <c r="C524" s="309" t="s">
        <v>334</v>
      </c>
      <c r="D524" s="1073"/>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row>
    <row r="525" spans="1:26" ht="15.75" customHeight="1">
      <c r="A525" s="264"/>
      <c r="B525" s="346" t="s">
        <v>972</v>
      </c>
      <c r="C525" s="340" t="s">
        <v>973</v>
      </c>
      <c r="D525" s="347" t="s">
        <v>520</v>
      </c>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row>
    <row r="526" spans="1:26" ht="15.75" customHeight="1">
      <c r="A526" s="264"/>
      <c r="B526" s="348" t="s">
        <v>974</v>
      </c>
      <c r="C526" s="264" t="s">
        <v>975</v>
      </c>
      <c r="D526" s="349" t="s">
        <v>520</v>
      </c>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row>
    <row r="527" spans="1:26" ht="15.75" customHeight="1">
      <c r="A527" s="264"/>
      <c r="B527" s="342" t="s">
        <v>976</v>
      </c>
      <c r="C527" s="354" t="s">
        <v>977</v>
      </c>
      <c r="D527" s="356" t="s">
        <v>545</v>
      </c>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row>
    <row r="528" spans="1:26" ht="15.75" customHeight="1">
      <c r="A528" s="264"/>
      <c r="B528" s="264"/>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row>
    <row r="529" spans="1:26" ht="15.75" customHeight="1">
      <c r="A529" s="264"/>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row>
    <row r="530" spans="1:26" ht="15.75" customHeight="1">
      <c r="A530" s="264"/>
      <c r="B530" s="264"/>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row>
    <row r="531" spans="1:26" ht="15.75" customHeight="1">
      <c r="A531" s="264"/>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row>
    <row r="532" spans="1:26" ht="15.75" customHeight="1">
      <c r="A532" s="264"/>
      <c r="B532" s="264"/>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row>
    <row r="533" spans="1:26" ht="15.75" customHeight="1">
      <c r="A533" s="264"/>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row>
    <row r="534" spans="1:26" ht="15.75" customHeight="1">
      <c r="A534" s="264"/>
      <c r="B534" s="264"/>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row>
    <row r="535" spans="1:26" ht="15.75" customHeight="1">
      <c r="A535" s="264"/>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row>
    <row r="536" spans="1:26" ht="15.75" customHeight="1">
      <c r="A536" s="264"/>
      <c r="B536" s="264"/>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row>
    <row r="537" spans="1:26" ht="15.75" customHeight="1">
      <c r="A537" s="264"/>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row>
    <row r="538" spans="1:26" ht="15.75" customHeight="1">
      <c r="A538" s="264"/>
      <c r="B538" s="264"/>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row>
    <row r="539" spans="1:26" ht="15.75" customHeight="1">
      <c r="A539" s="264"/>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row>
    <row r="540" spans="1:26" ht="15.75" customHeight="1">
      <c r="A540" s="264"/>
      <c r="B540" s="264"/>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row>
    <row r="541" spans="1:26" ht="15.75" customHeight="1">
      <c r="A541" s="264"/>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row>
    <row r="542" spans="1:26" ht="15.75" customHeight="1">
      <c r="A542" s="264"/>
      <c r="B542" s="264"/>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row>
    <row r="543" spans="1:26" ht="15.75" customHeight="1">
      <c r="A543" s="264"/>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row>
    <row r="544" spans="1:26" ht="15.75" customHeight="1">
      <c r="A544" s="264"/>
      <c r="B544" s="264"/>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row>
    <row r="545" spans="1:26" ht="15.75" customHeight="1">
      <c r="A545" s="264"/>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row>
    <row r="546" spans="1:26" ht="15.75" customHeight="1">
      <c r="A546" s="264"/>
      <c r="B546" s="264"/>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row>
    <row r="547" spans="1:26" ht="15.75" customHeight="1">
      <c r="A547" s="264"/>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row>
    <row r="548" spans="1:26" ht="15.75" customHeight="1">
      <c r="A548" s="264"/>
      <c r="B548" s="264"/>
      <c r="C548" s="264"/>
      <c r="D548" s="264"/>
      <c r="E548" s="264"/>
      <c r="F548" s="264"/>
      <c r="G548" s="264"/>
      <c r="H548" s="264"/>
      <c r="I548" s="264"/>
      <c r="J548" s="264"/>
      <c r="K548" s="264"/>
      <c r="L548" s="264"/>
      <c r="M548" s="264"/>
      <c r="N548" s="264"/>
      <c r="O548" s="264"/>
      <c r="P548" s="264"/>
      <c r="Q548" s="264"/>
      <c r="R548" s="264"/>
      <c r="S548" s="264"/>
      <c r="T548" s="264"/>
      <c r="U548" s="264"/>
      <c r="V548" s="264"/>
      <c r="W548" s="264"/>
      <c r="X548" s="264"/>
      <c r="Y548" s="264"/>
      <c r="Z548" s="264"/>
    </row>
    <row r="549" spans="1:26" ht="15.75" customHeight="1">
      <c r="A549" s="264"/>
      <c r="B549" s="264"/>
      <c r="C549" s="264"/>
      <c r="D549" s="264"/>
      <c r="E549" s="264"/>
      <c r="F549" s="264"/>
      <c r="G549" s="264"/>
      <c r="H549" s="264"/>
      <c r="I549" s="264"/>
      <c r="J549" s="264"/>
      <c r="K549" s="264"/>
      <c r="L549" s="264"/>
      <c r="M549" s="264"/>
      <c r="N549" s="264"/>
      <c r="O549" s="264"/>
      <c r="P549" s="264"/>
      <c r="Q549" s="264"/>
      <c r="R549" s="264"/>
      <c r="S549" s="264"/>
      <c r="T549" s="264"/>
      <c r="U549" s="264"/>
      <c r="V549" s="264"/>
      <c r="W549" s="264"/>
      <c r="X549" s="264"/>
      <c r="Y549" s="264"/>
      <c r="Z549" s="264"/>
    </row>
    <row r="550" spans="1:26" ht="15.75" customHeight="1">
      <c r="A550" s="264"/>
      <c r="B550" s="264"/>
      <c r="C550" s="264"/>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row>
    <row r="551" spans="1:26" ht="15.75" customHeight="1">
      <c r="A551" s="264"/>
      <c r="B551" s="264"/>
      <c r="C551" s="264"/>
      <c r="D551" s="264"/>
      <c r="E551" s="264"/>
      <c r="F551" s="264"/>
      <c r="G551" s="264"/>
      <c r="H551" s="264"/>
      <c r="I551" s="264"/>
      <c r="J551" s="264"/>
      <c r="K551" s="264"/>
      <c r="L551" s="264"/>
      <c r="M551" s="264"/>
      <c r="N551" s="264"/>
      <c r="O551" s="264"/>
      <c r="P551" s="264"/>
      <c r="Q551" s="264"/>
      <c r="R551" s="264"/>
      <c r="S551" s="264"/>
      <c r="T551" s="264"/>
      <c r="U551" s="264"/>
      <c r="V551" s="264"/>
      <c r="W551" s="264"/>
      <c r="X551" s="264"/>
      <c r="Y551" s="264"/>
      <c r="Z551" s="264"/>
    </row>
    <row r="552" spans="1:26" ht="15.75" customHeight="1">
      <c r="A552" s="264"/>
      <c r="B552" s="264"/>
      <c r="C552" s="264"/>
      <c r="D552" s="264"/>
      <c r="E552" s="264"/>
      <c r="F552" s="264"/>
      <c r="G552" s="264"/>
      <c r="H552" s="264"/>
      <c r="I552" s="264"/>
      <c r="J552" s="264"/>
      <c r="K552" s="264"/>
      <c r="L552" s="264"/>
      <c r="M552" s="264"/>
      <c r="N552" s="264"/>
      <c r="O552" s="264"/>
      <c r="P552" s="264"/>
      <c r="Q552" s="264"/>
      <c r="R552" s="264"/>
      <c r="S552" s="264"/>
      <c r="T552" s="264"/>
      <c r="U552" s="264"/>
      <c r="V552" s="264"/>
      <c r="W552" s="264"/>
      <c r="X552" s="264"/>
      <c r="Y552" s="264"/>
      <c r="Z552" s="264"/>
    </row>
    <row r="553" spans="1:26" ht="15.75" customHeight="1">
      <c r="A553" s="264"/>
      <c r="B553" s="264"/>
      <c r="C553" s="264"/>
      <c r="D553" s="264"/>
      <c r="E553" s="264"/>
      <c r="F553" s="264"/>
      <c r="G553" s="264"/>
      <c r="H553" s="264"/>
      <c r="I553" s="264"/>
      <c r="J553" s="264"/>
      <c r="K553" s="264"/>
      <c r="L553" s="264"/>
      <c r="M553" s="264"/>
      <c r="N553" s="264"/>
      <c r="O553" s="264"/>
      <c r="P553" s="264"/>
      <c r="Q553" s="264"/>
      <c r="R553" s="264"/>
      <c r="S553" s="264"/>
      <c r="T553" s="264"/>
      <c r="U553" s="264"/>
      <c r="V553" s="264"/>
      <c r="W553" s="264"/>
      <c r="X553" s="264"/>
      <c r="Y553" s="264"/>
      <c r="Z553" s="264"/>
    </row>
    <row r="554" spans="1:26" ht="15.75" customHeight="1">
      <c r="A554" s="264"/>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row>
    <row r="555" spans="1:26" ht="15.75" customHeight="1">
      <c r="A555" s="264"/>
      <c r="B555" s="264"/>
      <c r="C555" s="264"/>
      <c r="D555" s="264"/>
      <c r="E555" s="264"/>
      <c r="F555" s="264"/>
      <c r="G555" s="264"/>
      <c r="H555" s="264"/>
      <c r="I555" s="264"/>
      <c r="J555" s="264"/>
      <c r="K555" s="264"/>
      <c r="L555" s="264"/>
      <c r="M555" s="264"/>
      <c r="N555" s="264"/>
      <c r="O555" s="264"/>
      <c r="P555" s="264"/>
      <c r="Q555" s="264"/>
      <c r="R555" s="264"/>
      <c r="S555" s="264"/>
      <c r="T555" s="264"/>
      <c r="U555" s="264"/>
      <c r="V555" s="264"/>
      <c r="W555" s="264"/>
      <c r="X555" s="264"/>
      <c r="Y555" s="264"/>
      <c r="Z555" s="264"/>
    </row>
    <row r="556" spans="1:26" ht="15.75" customHeight="1">
      <c r="A556" s="264"/>
      <c r="B556" s="264"/>
      <c r="C556" s="264"/>
      <c r="D556" s="264"/>
      <c r="E556" s="264"/>
      <c r="F556" s="264"/>
      <c r="G556" s="264"/>
      <c r="H556" s="264"/>
      <c r="I556" s="264"/>
      <c r="J556" s="264"/>
      <c r="K556" s="264"/>
      <c r="L556" s="264"/>
      <c r="M556" s="264"/>
      <c r="N556" s="264"/>
      <c r="O556" s="264"/>
      <c r="P556" s="264"/>
      <c r="Q556" s="264"/>
      <c r="R556" s="264"/>
      <c r="S556" s="264"/>
      <c r="T556" s="264"/>
      <c r="U556" s="264"/>
      <c r="V556" s="264"/>
      <c r="W556" s="264"/>
      <c r="X556" s="264"/>
      <c r="Y556" s="264"/>
      <c r="Z556" s="264"/>
    </row>
    <row r="557" spans="1:26" ht="15.75" customHeight="1">
      <c r="A557" s="264"/>
      <c r="B557" s="264"/>
      <c r="C557" s="264"/>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row>
    <row r="558" spans="1:26" ht="15.75" customHeight="1">
      <c r="A558" s="264"/>
      <c r="B558" s="264"/>
      <c r="C558" s="264"/>
      <c r="D558" s="264"/>
      <c r="E558" s="264"/>
      <c r="F558" s="264"/>
      <c r="G558" s="264"/>
      <c r="H558" s="264"/>
      <c r="I558" s="264"/>
      <c r="J558" s="264"/>
      <c r="K558" s="264"/>
      <c r="L558" s="264"/>
      <c r="M558" s="264"/>
      <c r="N558" s="264"/>
      <c r="O558" s="264"/>
      <c r="P558" s="264"/>
      <c r="Q558" s="264"/>
      <c r="R558" s="264"/>
      <c r="S558" s="264"/>
      <c r="T558" s="264"/>
      <c r="U558" s="264"/>
      <c r="V558" s="264"/>
      <c r="W558" s="264"/>
      <c r="X558" s="264"/>
      <c r="Y558" s="264"/>
      <c r="Z558" s="264"/>
    </row>
    <row r="559" spans="1:26" ht="15.75" customHeight="1">
      <c r="A559" s="264"/>
      <c r="B559" s="264"/>
      <c r="C559" s="264"/>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row>
    <row r="560" spans="1:26" ht="15.75" customHeight="1">
      <c r="A560" s="264"/>
      <c r="B560" s="264"/>
      <c r="C560" s="264"/>
      <c r="D560" s="264"/>
      <c r="E560" s="264"/>
      <c r="F560" s="264"/>
      <c r="G560" s="264"/>
      <c r="H560" s="264"/>
      <c r="I560" s="264"/>
      <c r="J560" s="264"/>
      <c r="K560" s="264"/>
      <c r="L560" s="264"/>
      <c r="M560" s="264"/>
      <c r="N560" s="264"/>
      <c r="O560" s="264"/>
      <c r="P560" s="264"/>
      <c r="Q560" s="264"/>
      <c r="R560" s="264"/>
      <c r="S560" s="264"/>
      <c r="T560" s="264"/>
      <c r="U560" s="264"/>
      <c r="V560" s="264"/>
      <c r="W560" s="264"/>
      <c r="X560" s="264"/>
      <c r="Y560" s="264"/>
      <c r="Z560" s="264"/>
    </row>
    <row r="561" spans="1:26" ht="15.75" customHeight="1">
      <c r="A561" s="264"/>
      <c r="B561" s="264"/>
      <c r="C561" s="264"/>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row>
    <row r="562" spans="1:26" ht="15.75" customHeight="1">
      <c r="A562" s="264"/>
      <c r="B562" s="264"/>
      <c r="C562" s="264"/>
      <c r="D562" s="264"/>
      <c r="E562" s="264"/>
      <c r="F562" s="264"/>
      <c r="G562" s="264"/>
      <c r="H562" s="264"/>
      <c r="I562" s="264"/>
      <c r="J562" s="264"/>
      <c r="K562" s="264"/>
      <c r="L562" s="264"/>
      <c r="M562" s="264"/>
      <c r="N562" s="264"/>
      <c r="O562" s="264"/>
      <c r="P562" s="264"/>
      <c r="Q562" s="264"/>
      <c r="R562" s="264"/>
      <c r="S562" s="264"/>
      <c r="T562" s="264"/>
      <c r="U562" s="264"/>
      <c r="V562" s="264"/>
      <c r="W562" s="264"/>
      <c r="X562" s="264"/>
      <c r="Y562" s="264"/>
      <c r="Z562" s="264"/>
    </row>
    <row r="563" spans="1:26" ht="15.75" customHeight="1">
      <c r="A563" s="264"/>
      <c r="B563" s="264"/>
      <c r="C563" s="264"/>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row>
    <row r="564" spans="1:26" ht="15.75" customHeight="1">
      <c r="A564" s="264"/>
      <c r="B564" s="264"/>
      <c r="C564" s="264"/>
      <c r="D564" s="264"/>
      <c r="E564" s="264"/>
      <c r="F564" s="264"/>
      <c r="G564" s="264"/>
      <c r="H564" s="264"/>
      <c r="I564" s="264"/>
      <c r="J564" s="264"/>
      <c r="K564" s="264"/>
      <c r="L564" s="264"/>
      <c r="M564" s="264"/>
      <c r="N564" s="264"/>
      <c r="O564" s="264"/>
      <c r="P564" s="264"/>
      <c r="Q564" s="264"/>
      <c r="R564" s="264"/>
      <c r="S564" s="264"/>
      <c r="T564" s="264"/>
      <c r="U564" s="264"/>
      <c r="V564" s="264"/>
      <c r="W564" s="264"/>
      <c r="X564" s="264"/>
      <c r="Y564" s="264"/>
      <c r="Z564" s="264"/>
    </row>
    <row r="565" spans="1:26" ht="15.75" customHeight="1">
      <c r="A565" s="264"/>
      <c r="B565" s="264"/>
      <c r="C565" s="264"/>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row>
    <row r="566" spans="1:26" ht="15.75" customHeight="1">
      <c r="A566" s="264"/>
      <c r="B566" s="264"/>
      <c r="C566" s="264"/>
      <c r="D566" s="264"/>
      <c r="E566" s="264"/>
      <c r="F566" s="264"/>
      <c r="G566" s="264"/>
      <c r="H566" s="264"/>
      <c r="I566" s="264"/>
      <c r="J566" s="264"/>
      <c r="K566" s="264"/>
      <c r="L566" s="264"/>
      <c r="M566" s="264"/>
      <c r="N566" s="264"/>
      <c r="O566" s="264"/>
      <c r="P566" s="264"/>
      <c r="Q566" s="264"/>
      <c r="R566" s="264"/>
      <c r="S566" s="264"/>
      <c r="T566" s="264"/>
      <c r="U566" s="264"/>
      <c r="V566" s="264"/>
      <c r="W566" s="264"/>
      <c r="X566" s="264"/>
      <c r="Y566" s="264"/>
      <c r="Z566" s="264"/>
    </row>
    <row r="567" spans="1:26" ht="15.75" customHeight="1">
      <c r="A567" s="264"/>
      <c r="B567" s="264"/>
      <c r="C567" s="264"/>
      <c r="D567" s="264"/>
      <c r="E567" s="264"/>
      <c r="F567" s="264"/>
      <c r="G567" s="264"/>
      <c r="H567" s="264"/>
      <c r="I567" s="264"/>
      <c r="J567" s="264"/>
      <c r="K567" s="264"/>
      <c r="L567" s="264"/>
      <c r="M567" s="264"/>
      <c r="N567" s="264"/>
      <c r="O567" s="264"/>
      <c r="P567" s="264"/>
      <c r="Q567" s="264"/>
      <c r="R567" s="264"/>
      <c r="S567" s="264"/>
      <c r="T567" s="264"/>
      <c r="U567" s="264"/>
      <c r="V567" s="264"/>
      <c r="W567" s="264"/>
      <c r="X567" s="264"/>
      <c r="Y567" s="264"/>
      <c r="Z567" s="264"/>
    </row>
    <row r="568" spans="1:26" ht="15.75" customHeight="1">
      <c r="A568" s="264"/>
      <c r="B568" s="264"/>
      <c r="C568" s="264"/>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row>
    <row r="569" spans="1:26" ht="15.75" customHeight="1">
      <c r="A569" s="264"/>
      <c r="B569" s="264"/>
      <c r="C569" s="264"/>
      <c r="D569" s="264"/>
      <c r="E569" s="264"/>
      <c r="F569" s="264"/>
      <c r="G569" s="264"/>
      <c r="H569" s="264"/>
      <c r="I569" s="264"/>
      <c r="J569" s="264"/>
      <c r="K569" s="264"/>
      <c r="L569" s="264"/>
      <c r="M569" s="264"/>
      <c r="N569" s="264"/>
      <c r="O569" s="264"/>
      <c r="P569" s="264"/>
      <c r="Q569" s="264"/>
      <c r="R569" s="264"/>
      <c r="S569" s="264"/>
      <c r="T569" s="264"/>
      <c r="U569" s="264"/>
      <c r="V569" s="264"/>
      <c r="W569" s="264"/>
      <c r="X569" s="264"/>
      <c r="Y569" s="264"/>
      <c r="Z569" s="264"/>
    </row>
    <row r="570" spans="1:26" ht="15.75" customHeight="1">
      <c r="A570" s="264"/>
      <c r="B570" s="264"/>
      <c r="C570" s="264"/>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row>
    <row r="571" spans="1:26" ht="15.75" customHeight="1">
      <c r="A571" s="264"/>
      <c r="B571" s="264"/>
      <c r="C571" s="264"/>
      <c r="D571" s="264"/>
      <c r="E571" s="264"/>
      <c r="F571" s="264"/>
      <c r="G571" s="264"/>
      <c r="H571" s="264"/>
      <c r="I571" s="264"/>
      <c r="J571" s="264"/>
      <c r="K571" s="264"/>
      <c r="L571" s="264"/>
      <c r="M571" s="264"/>
      <c r="N571" s="264"/>
      <c r="O571" s="264"/>
      <c r="P571" s="264"/>
      <c r="Q571" s="264"/>
      <c r="R571" s="264"/>
      <c r="S571" s="264"/>
      <c r="T571" s="264"/>
      <c r="U571" s="264"/>
      <c r="V571" s="264"/>
      <c r="W571" s="264"/>
      <c r="X571" s="264"/>
      <c r="Y571" s="264"/>
      <c r="Z571" s="264"/>
    </row>
    <row r="572" spans="1:26" ht="15.75" customHeight="1">
      <c r="A572" s="264"/>
      <c r="B572" s="264"/>
      <c r="C572" s="264"/>
      <c r="D572" s="264"/>
      <c r="E572" s="264"/>
      <c r="F572" s="264"/>
      <c r="G572" s="264"/>
      <c r="H572" s="264"/>
      <c r="I572" s="264"/>
      <c r="J572" s="264"/>
      <c r="K572" s="264"/>
      <c r="L572" s="264"/>
      <c r="M572" s="264"/>
      <c r="N572" s="264"/>
      <c r="O572" s="264"/>
      <c r="P572" s="264"/>
      <c r="Q572" s="264"/>
      <c r="R572" s="264"/>
      <c r="S572" s="264"/>
      <c r="T572" s="264"/>
      <c r="U572" s="264"/>
      <c r="V572" s="264"/>
      <c r="W572" s="264"/>
      <c r="X572" s="264"/>
      <c r="Y572" s="264"/>
      <c r="Z572" s="264"/>
    </row>
    <row r="573" spans="1:26" ht="15.75" customHeight="1">
      <c r="A573" s="264"/>
      <c r="B573" s="264"/>
      <c r="C573" s="264"/>
      <c r="D573" s="264"/>
      <c r="E573" s="264"/>
      <c r="F573" s="264"/>
      <c r="G573" s="264"/>
      <c r="H573" s="264"/>
      <c r="I573" s="264"/>
      <c r="J573" s="264"/>
      <c r="K573" s="264"/>
      <c r="L573" s="264"/>
      <c r="M573" s="264"/>
      <c r="N573" s="264"/>
      <c r="O573" s="264"/>
      <c r="P573" s="264"/>
      <c r="Q573" s="264"/>
      <c r="R573" s="264"/>
      <c r="S573" s="264"/>
      <c r="T573" s="264"/>
      <c r="U573" s="264"/>
      <c r="V573" s="264"/>
      <c r="W573" s="264"/>
      <c r="X573" s="264"/>
      <c r="Y573" s="264"/>
      <c r="Z573" s="264"/>
    </row>
    <row r="574" spans="1:26" ht="15.75" customHeight="1">
      <c r="A574" s="264"/>
      <c r="B574" s="264"/>
      <c r="C574" s="264"/>
      <c r="D574" s="264"/>
      <c r="E574" s="264"/>
      <c r="F574" s="264"/>
      <c r="G574" s="264"/>
      <c r="H574" s="264"/>
      <c r="I574" s="264"/>
      <c r="J574" s="264"/>
      <c r="K574" s="264"/>
      <c r="L574" s="264"/>
      <c r="M574" s="264"/>
      <c r="N574" s="264"/>
      <c r="O574" s="264"/>
      <c r="P574" s="264"/>
      <c r="Q574" s="264"/>
      <c r="R574" s="264"/>
      <c r="S574" s="264"/>
      <c r="T574" s="264"/>
      <c r="U574" s="264"/>
      <c r="V574" s="264"/>
      <c r="W574" s="264"/>
      <c r="X574" s="264"/>
      <c r="Y574" s="264"/>
      <c r="Z574" s="264"/>
    </row>
    <row r="575" spans="1:26" ht="15.75" customHeight="1">
      <c r="A575" s="264"/>
      <c r="B575" s="264"/>
      <c r="C575" s="264"/>
      <c r="D575" s="264"/>
      <c r="E575" s="264"/>
      <c r="F575" s="264"/>
      <c r="G575" s="264"/>
      <c r="H575" s="264"/>
      <c r="I575" s="264"/>
      <c r="J575" s="264"/>
      <c r="K575" s="264"/>
      <c r="L575" s="264"/>
      <c r="M575" s="264"/>
      <c r="N575" s="264"/>
      <c r="O575" s="264"/>
      <c r="P575" s="264"/>
      <c r="Q575" s="264"/>
      <c r="R575" s="264"/>
      <c r="S575" s="264"/>
      <c r="T575" s="264"/>
      <c r="U575" s="264"/>
      <c r="V575" s="264"/>
      <c r="W575" s="264"/>
      <c r="X575" s="264"/>
      <c r="Y575" s="264"/>
      <c r="Z575" s="264"/>
    </row>
    <row r="576" spans="1:26" ht="15.75" customHeight="1">
      <c r="A576" s="264"/>
      <c r="B576" s="264"/>
      <c r="C576" s="264"/>
      <c r="D576" s="264"/>
      <c r="E576" s="264"/>
      <c r="F576" s="264"/>
      <c r="G576" s="264"/>
      <c r="H576" s="264"/>
      <c r="I576" s="264"/>
      <c r="J576" s="264"/>
      <c r="K576" s="264"/>
      <c r="L576" s="264"/>
      <c r="M576" s="264"/>
      <c r="N576" s="264"/>
      <c r="O576" s="264"/>
      <c r="P576" s="264"/>
      <c r="Q576" s="264"/>
      <c r="R576" s="264"/>
      <c r="S576" s="264"/>
      <c r="T576" s="264"/>
      <c r="U576" s="264"/>
      <c r="V576" s="264"/>
      <c r="W576" s="264"/>
      <c r="X576" s="264"/>
      <c r="Y576" s="264"/>
      <c r="Z576" s="264"/>
    </row>
    <row r="577" spans="1:26" ht="15.75" customHeight="1">
      <c r="A577" s="264"/>
      <c r="B577" s="264"/>
      <c r="C577" s="264"/>
      <c r="D577" s="264"/>
      <c r="E577" s="264"/>
      <c r="F577" s="264"/>
      <c r="G577" s="264"/>
      <c r="H577" s="264"/>
      <c r="I577" s="264"/>
      <c r="J577" s="264"/>
      <c r="K577" s="264"/>
      <c r="L577" s="264"/>
      <c r="M577" s="264"/>
      <c r="N577" s="264"/>
      <c r="O577" s="264"/>
      <c r="P577" s="264"/>
      <c r="Q577" s="264"/>
      <c r="R577" s="264"/>
      <c r="S577" s="264"/>
      <c r="T577" s="264"/>
      <c r="U577" s="264"/>
      <c r="V577" s="264"/>
      <c r="W577" s="264"/>
      <c r="X577" s="264"/>
      <c r="Y577" s="264"/>
      <c r="Z577" s="264"/>
    </row>
    <row r="578" spans="1:26" ht="15.75" customHeight="1">
      <c r="A578" s="264"/>
      <c r="B578" s="264"/>
      <c r="C578" s="264"/>
      <c r="D578" s="264"/>
      <c r="E578" s="264"/>
      <c r="F578" s="264"/>
      <c r="G578" s="264"/>
      <c r="H578" s="264"/>
      <c r="I578" s="264"/>
      <c r="J578" s="264"/>
      <c r="K578" s="264"/>
      <c r="L578" s="264"/>
      <c r="M578" s="264"/>
      <c r="N578" s="264"/>
      <c r="O578" s="264"/>
      <c r="P578" s="264"/>
      <c r="Q578" s="264"/>
      <c r="R578" s="264"/>
      <c r="S578" s="264"/>
      <c r="T578" s="264"/>
      <c r="U578" s="264"/>
      <c r="V578" s="264"/>
      <c r="W578" s="264"/>
      <c r="X578" s="264"/>
      <c r="Y578" s="264"/>
      <c r="Z578" s="264"/>
    </row>
    <row r="579" spans="1:26" ht="15.75" customHeight="1">
      <c r="A579" s="264"/>
      <c r="B579" s="264"/>
      <c r="C579" s="264"/>
      <c r="D579" s="264"/>
      <c r="E579" s="264"/>
      <c r="F579" s="264"/>
      <c r="G579" s="264"/>
      <c r="H579" s="264"/>
      <c r="I579" s="264"/>
      <c r="J579" s="264"/>
      <c r="K579" s="264"/>
      <c r="L579" s="264"/>
      <c r="M579" s="264"/>
      <c r="N579" s="264"/>
      <c r="O579" s="264"/>
      <c r="P579" s="264"/>
      <c r="Q579" s="264"/>
      <c r="R579" s="264"/>
      <c r="S579" s="264"/>
      <c r="T579" s="264"/>
      <c r="U579" s="264"/>
      <c r="V579" s="264"/>
      <c r="W579" s="264"/>
      <c r="X579" s="264"/>
      <c r="Y579" s="264"/>
      <c r="Z579" s="264"/>
    </row>
    <row r="580" spans="1:26" ht="15.75" customHeight="1">
      <c r="A580" s="264"/>
      <c r="B580" s="264"/>
      <c r="C580" s="264"/>
      <c r="D580" s="264"/>
      <c r="E580" s="264"/>
      <c r="F580" s="264"/>
      <c r="G580" s="264"/>
      <c r="H580" s="264"/>
      <c r="I580" s="264"/>
      <c r="J580" s="264"/>
      <c r="K580" s="264"/>
      <c r="L580" s="264"/>
      <c r="M580" s="264"/>
      <c r="N580" s="264"/>
      <c r="O580" s="264"/>
      <c r="P580" s="264"/>
      <c r="Q580" s="264"/>
      <c r="R580" s="264"/>
      <c r="S580" s="264"/>
      <c r="T580" s="264"/>
      <c r="U580" s="264"/>
      <c r="V580" s="264"/>
      <c r="W580" s="264"/>
      <c r="X580" s="264"/>
      <c r="Y580" s="264"/>
      <c r="Z580" s="264"/>
    </row>
    <row r="581" spans="1:26" ht="15.75" customHeight="1">
      <c r="A581" s="264"/>
      <c r="B581" s="264"/>
      <c r="C581" s="264"/>
      <c r="D581" s="264"/>
      <c r="E581" s="264"/>
      <c r="F581" s="264"/>
      <c r="G581" s="264"/>
      <c r="H581" s="264"/>
      <c r="I581" s="264"/>
      <c r="J581" s="264"/>
      <c r="K581" s="264"/>
      <c r="L581" s="264"/>
      <c r="M581" s="264"/>
      <c r="N581" s="264"/>
      <c r="O581" s="264"/>
      <c r="P581" s="264"/>
      <c r="Q581" s="264"/>
      <c r="R581" s="264"/>
      <c r="S581" s="264"/>
      <c r="T581" s="264"/>
      <c r="U581" s="264"/>
      <c r="V581" s="264"/>
      <c r="W581" s="264"/>
      <c r="X581" s="264"/>
      <c r="Y581" s="264"/>
      <c r="Z581" s="264"/>
    </row>
    <row r="582" spans="1:26" ht="15.75" customHeight="1">
      <c r="A582" s="264"/>
      <c r="B582" s="264"/>
      <c r="C582" s="264"/>
      <c r="D582" s="264"/>
      <c r="E582" s="264"/>
      <c r="F582" s="264"/>
      <c r="G582" s="264"/>
      <c r="H582" s="264"/>
      <c r="I582" s="264"/>
      <c r="J582" s="264"/>
      <c r="K582" s="264"/>
      <c r="L582" s="264"/>
      <c r="M582" s="264"/>
      <c r="N582" s="264"/>
      <c r="O582" s="264"/>
      <c r="P582" s="264"/>
      <c r="Q582" s="264"/>
      <c r="R582" s="264"/>
      <c r="S582" s="264"/>
      <c r="T582" s="264"/>
      <c r="U582" s="264"/>
      <c r="V582" s="264"/>
      <c r="W582" s="264"/>
      <c r="X582" s="264"/>
      <c r="Y582" s="264"/>
      <c r="Z582" s="264"/>
    </row>
    <row r="583" spans="1:26" ht="15.75" customHeight="1">
      <c r="A583" s="264"/>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row>
    <row r="584" spans="1:26" ht="15.75" customHeight="1">
      <c r="A584" s="264"/>
      <c r="B584" s="264"/>
      <c r="C584" s="264"/>
      <c r="D584" s="264"/>
      <c r="E584" s="264"/>
      <c r="F584" s="264"/>
      <c r="G584" s="264"/>
      <c r="H584" s="264"/>
      <c r="I584" s="264"/>
      <c r="J584" s="264"/>
      <c r="K584" s="264"/>
      <c r="L584" s="264"/>
      <c r="M584" s="264"/>
      <c r="N584" s="264"/>
      <c r="O584" s="264"/>
      <c r="P584" s="264"/>
      <c r="Q584" s="264"/>
      <c r="R584" s="264"/>
      <c r="S584" s="264"/>
      <c r="T584" s="264"/>
      <c r="U584" s="264"/>
      <c r="V584" s="264"/>
      <c r="W584" s="264"/>
      <c r="X584" s="264"/>
      <c r="Y584" s="264"/>
      <c r="Z584" s="264"/>
    </row>
    <row r="585" spans="1:26" ht="15.75" customHeight="1">
      <c r="A585" s="264"/>
      <c r="B585" s="264"/>
      <c r="C585" s="264"/>
      <c r="D585" s="264"/>
      <c r="E585" s="264"/>
      <c r="F585" s="264"/>
      <c r="G585" s="264"/>
      <c r="H585" s="264"/>
      <c r="I585" s="264"/>
      <c r="J585" s="264"/>
      <c r="K585" s="264"/>
      <c r="L585" s="264"/>
      <c r="M585" s="264"/>
      <c r="N585" s="264"/>
      <c r="O585" s="264"/>
      <c r="P585" s="264"/>
      <c r="Q585" s="264"/>
      <c r="R585" s="264"/>
      <c r="S585" s="264"/>
      <c r="T585" s="264"/>
      <c r="U585" s="264"/>
      <c r="V585" s="264"/>
      <c r="W585" s="264"/>
      <c r="X585" s="264"/>
      <c r="Y585" s="264"/>
      <c r="Z585" s="264"/>
    </row>
    <row r="586" spans="1:26" ht="15.75" customHeight="1">
      <c r="A586" s="264"/>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row>
    <row r="587" spans="1:26" ht="15.75" customHeight="1">
      <c r="A587" s="264"/>
      <c r="B587" s="264"/>
      <c r="C587" s="264"/>
      <c r="D587" s="264"/>
      <c r="E587" s="264"/>
      <c r="F587" s="264"/>
      <c r="G587" s="264"/>
      <c r="H587" s="264"/>
      <c r="I587" s="264"/>
      <c r="J587" s="264"/>
      <c r="K587" s="264"/>
      <c r="L587" s="264"/>
      <c r="M587" s="264"/>
      <c r="N587" s="264"/>
      <c r="O587" s="264"/>
      <c r="P587" s="264"/>
      <c r="Q587" s="264"/>
      <c r="R587" s="264"/>
      <c r="S587" s="264"/>
      <c r="T587" s="264"/>
      <c r="U587" s="264"/>
      <c r="V587" s="264"/>
      <c r="W587" s="264"/>
      <c r="X587" s="264"/>
      <c r="Y587" s="264"/>
      <c r="Z587" s="264"/>
    </row>
    <row r="588" spans="1:26" ht="15.75" customHeight="1">
      <c r="A588" s="264"/>
      <c r="B588" s="264"/>
      <c r="C588" s="264"/>
      <c r="D588" s="264"/>
      <c r="E588" s="264"/>
      <c r="F588" s="264"/>
      <c r="G588" s="264"/>
      <c r="H588" s="264"/>
      <c r="I588" s="264"/>
      <c r="J588" s="264"/>
      <c r="K588" s="264"/>
      <c r="L588" s="264"/>
      <c r="M588" s="264"/>
      <c r="N588" s="264"/>
      <c r="O588" s="264"/>
      <c r="P588" s="264"/>
      <c r="Q588" s="264"/>
      <c r="R588" s="264"/>
      <c r="S588" s="264"/>
      <c r="T588" s="264"/>
      <c r="U588" s="264"/>
      <c r="V588" s="264"/>
      <c r="W588" s="264"/>
      <c r="X588" s="264"/>
      <c r="Y588" s="264"/>
      <c r="Z588" s="264"/>
    </row>
    <row r="589" spans="1:26" ht="15.75" customHeight="1">
      <c r="A589" s="264"/>
      <c r="B589" s="264"/>
      <c r="C589" s="264"/>
      <c r="D589" s="264"/>
      <c r="E589" s="264"/>
      <c r="F589" s="264"/>
      <c r="G589" s="264"/>
      <c r="H589" s="264"/>
      <c r="I589" s="264"/>
      <c r="J589" s="264"/>
      <c r="K589" s="264"/>
      <c r="L589" s="264"/>
      <c r="M589" s="264"/>
      <c r="N589" s="264"/>
      <c r="O589" s="264"/>
      <c r="P589" s="264"/>
      <c r="Q589" s="264"/>
      <c r="R589" s="264"/>
      <c r="S589" s="264"/>
      <c r="T589" s="264"/>
      <c r="U589" s="264"/>
      <c r="V589" s="264"/>
      <c r="W589" s="264"/>
      <c r="X589" s="264"/>
      <c r="Y589" s="264"/>
      <c r="Z589" s="264"/>
    </row>
    <row r="590" spans="1:26" ht="15.75" customHeight="1">
      <c r="A590" s="264"/>
      <c r="B590" s="264"/>
      <c r="C590" s="264"/>
      <c r="D590" s="264"/>
      <c r="E590" s="264"/>
      <c r="F590" s="264"/>
      <c r="G590" s="264"/>
      <c r="H590" s="264"/>
      <c r="I590" s="264"/>
      <c r="J590" s="264"/>
      <c r="K590" s="264"/>
      <c r="L590" s="264"/>
      <c r="M590" s="264"/>
      <c r="N590" s="264"/>
      <c r="O590" s="264"/>
      <c r="P590" s="264"/>
      <c r="Q590" s="264"/>
      <c r="R590" s="264"/>
      <c r="S590" s="264"/>
      <c r="T590" s="264"/>
      <c r="U590" s="264"/>
      <c r="V590" s="264"/>
      <c r="W590" s="264"/>
      <c r="X590" s="264"/>
      <c r="Y590" s="264"/>
      <c r="Z590" s="264"/>
    </row>
    <row r="591" spans="1:26" ht="15.75" customHeight="1">
      <c r="A591" s="264"/>
      <c r="B591" s="264"/>
      <c r="C591" s="264"/>
      <c r="D591" s="264"/>
      <c r="E591" s="264"/>
      <c r="F591" s="264"/>
      <c r="G591" s="264"/>
      <c r="H591" s="264"/>
      <c r="I591" s="264"/>
      <c r="J591" s="264"/>
      <c r="K591" s="264"/>
      <c r="L591" s="264"/>
      <c r="M591" s="264"/>
      <c r="N591" s="264"/>
      <c r="O591" s="264"/>
      <c r="P591" s="264"/>
      <c r="Q591" s="264"/>
      <c r="R591" s="264"/>
      <c r="S591" s="264"/>
      <c r="T591" s="264"/>
      <c r="U591" s="264"/>
      <c r="V591" s="264"/>
      <c r="W591" s="264"/>
      <c r="X591" s="264"/>
      <c r="Y591" s="264"/>
      <c r="Z591" s="264"/>
    </row>
    <row r="592" spans="1:26" ht="15.75" customHeight="1">
      <c r="A592" s="264"/>
      <c r="B592" s="264"/>
      <c r="C592" s="264"/>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row>
    <row r="593" spans="1:26" ht="15.75" customHeight="1">
      <c r="A593" s="264"/>
      <c r="B593" s="264"/>
      <c r="C593" s="264"/>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row>
    <row r="594" spans="1:26" ht="15.75" customHeight="1">
      <c r="A594" s="264"/>
      <c r="B594" s="264"/>
      <c r="C594" s="264"/>
      <c r="D594" s="264"/>
      <c r="E594" s="264"/>
      <c r="F594" s="264"/>
      <c r="G594" s="264"/>
      <c r="H594" s="264"/>
      <c r="I594" s="264"/>
      <c r="J594" s="264"/>
      <c r="K594" s="264"/>
      <c r="L594" s="264"/>
      <c r="M594" s="264"/>
      <c r="N594" s="264"/>
      <c r="O594" s="264"/>
      <c r="P594" s="264"/>
      <c r="Q594" s="264"/>
      <c r="R594" s="264"/>
      <c r="S594" s="264"/>
      <c r="T594" s="264"/>
      <c r="U594" s="264"/>
      <c r="V594" s="264"/>
      <c r="W594" s="264"/>
      <c r="X594" s="264"/>
      <c r="Y594" s="264"/>
      <c r="Z594" s="264"/>
    </row>
    <row r="595" spans="1:26" ht="15.75" customHeight="1">
      <c r="A595" s="264"/>
      <c r="B595" s="264"/>
      <c r="C595" s="264"/>
      <c r="D595" s="264"/>
      <c r="E595" s="264"/>
      <c r="F595" s="264"/>
      <c r="G595" s="264"/>
      <c r="H595" s="264"/>
      <c r="I595" s="264"/>
      <c r="J595" s="264"/>
      <c r="K595" s="264"/>
      <c r="L595" s="264"/>
      <c r="M595" s="264"/>
      <c r="N595" s="264"/>
      <c r="O595" s="264"/>
      <c r="P595" s="264"/>
      <c r="Q595" s="264"/>
      <c r="R595" s="264"/>
      <c r="S595" s="264"/>
      <c r="T595" s="264"/>
      <c r="U595" s="264"/>
      <c r="V595" s="264"/>
      <c r="W595" s="264"/>
      <c r="X595" s="264"/>
      <c r="Y595" s="264"/>
      <c r="Z595" s="264"/>
    </row>
    <row r="596" spans="1:26" ht="15.75" customHeight="1">
      <c r="A596" s="264"/>
      <c r="B596" s="264"/>
      <c r="C596" s="264"/>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row>
    <row r="597" spans="1:26" ht="15.75" customHeight="1">
      <c r="A597" s="264"/>
      <c r="B597" s="264"/>
      <c r="C597" s="264"/>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row>
    <row r="598" spans="1:26" ht="15.75" customHeight="1">
      <c r="A598" s="264"/>
      <c r="B598" s="264"/>
      <c r="C598" s="264"/>
      <c r="D598" s="264"/>
      <c r="E598" s="264"/>
      <c r="F598" s="264"/>
      <c r="G598" s="264"/>
      <c r="H598" s="264"/>
      <c r="I598" s="264"/>
      <c r="J598" s="264"/>
      <c r="K598" s="264"/>
      <c r="L598" s="264"/>
      <c r="M598" s="264"/>
      <c r="N598" s="264"/>
      <c r="O598" s="264"/>
      <c r="P598" s="264"/>
      <c r="Q598" s="264"/>
      <c r="R598" s="264"/>
      <c r="S598" s="264"/>
      <c r="T598" s="264"/>
      <c r="U598" s="264"/>
      <c r="V598" s="264"/>
      <c r="W598" s="264"/>
      <c r="X598" s="264"/>
      <c r="Y598" s="264"/>
      <c r="Z598" s="264"/>
    </row>
    <row r="599" spans="1:26" ht="15.75" customHeight="1">
      <c r="A599" s="264"/>
      <c r="B599" s="264"/>
      <c r="C599" s="264"/>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row>
    <row r="600" spans="1:26" ht="15.75" customHeight="1">
      <c r="A600" s="264"/>
      <c r="B600" s="264"/>
      <c r="C600" s="264"/>
      <c r="D600" s="264"/>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row>
    <row r="601" spans="1:26" ht="15.75" customHeight="1">
      <c r="A601" s="264"/>
      <c r="B601" s="264"/>
      <c r="C601" s="264"/>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row>
    <row r="602" spans="1:26" ht="15.75" customHeight="1">
      <c r="A602" s="264"/>
      <c r="B602" s="264"/>
      <c r="C602" s="264"/>
      <c r="D602" s="264"/>
      <c r="E602" s="264"/>
      <c r="F602" s="264"/>
      <c r="G602" s="264"/>
      <c r="H602" s="264"/>
      <c r="I602" s="264"/>
      <c r="J602" s="264"/>
      <c r="K602" s="264"/>
      <c r="L602" s="264"/>
      <c r="M602" s="264"/>
      <c r="N602" s="264"/>
      <c r="O602" s="264"/>
      <c r="P602" s="264"/>
      <c r="Q602" s="264"/>
      <c r="R602" s="264"/>
      <c r="S602" s="264"/>
      <c r="T602" s="264"/>
      <c r="U602" s="264"/>
      <c r="V602" s="264"/>
      <c r="W602" s="264"/>
      <c r="X602" s="264"/>
      <c r="Y602" s="264"/>
      <c r="Z602" s="264"/>
    </row>
    <row r="603" spans="1:26" ht="15.75" customHeight="1">
      <c r="A603" s="264"/>
      <c r="B603" s="264"/>
      <c r="C603" s="264"/>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row>
    <row r="604" spans="1:26" ht="15.75" customHeight="1">
      <c r="A604" s="264"/>
      <c r="B604" s="264"/>
      <c r="C604" s="264"/>
      <c r="D604" s="264"/>
      <c r="E604" s="264"/>
      <c r="F604" s="264"/>
      <c r="G604" s="264"/>
      <c r="H604" s="264"/>
      <c r="I604" s="264"/>
      <c r="J604" s="264"/>
      <c r="K604" s="264"/>
      <c r="L604" s="264"/>
      <c r="M604" s="264"/>
      <c r="N604" s="264"/>
      <c r="O604" s="264"/>
      <c r="P604" s="264"/>
      <c r="Q604" s="264"/>
      <c r="R604" s="264"/>
      <c r="S604" s="264"/>
      <c r="T604" s="264"/>
      <c r="U604" s="264"/>
      <c r="V604" s="264"/>
      <c r="W604" s="264"/>
      <c r="X604" s="264"/>
      <c r="Y604" s="264"/>
      <c r="Z604" s="264"/>
    </row>
    <row r="605" spans="1:26" ht="15.75" customHeight="1">
      <c r="A605" s="264"/>
      <c r="B605" s="264"/>
      <c r="C605" s="264"/>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row>
    <row r="606" spans="1:26" ht="15.75" customHeight="1">
      <c r="A606" s="264"/>
      <c r="B606" s="264"/>
      <c r="C606" s="264"/>
      <c r="D606" s="264"/>
      <c r="E606" s="264"/>
      <c r="F606" s="264"/>
      <c r="G606" s="264"/>
      <c r="H606" s="264"/>
      <c r="I606" s="264"/>
      <c r="J606" s="264"/>
      <c r="K606" s="264"/>
      <c r="L606" s="264"/>
      <c r="M606" s="264"/>
      <c r="N606" s="264"/>
      <c r="O606" s="264"/>
      <c r="P606" s="264"/>
      <c r="Q606" s="264"/>
      <c r="R606" s="264"/>
      <c r="S606" s="264"/>
      <c r="T606" s="264"/>
      <c r="U606" s="264"/>
      <c r="V606" s="264"/>
      <c r="W606" s="264"/>
      <c r="X606" s="264"/>
      <c r="Y606" s="264"/>
      <c r="Z606" s="264"/>
    </row>
    <row r="607" spans="1:26" ht="15.75" customHeight="1">
      <c r="A607" s="264"/>
      <c r="B607" s="264"/>
      <c r="C607" s="264"/>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row>
    <row r="608" spans="1:26" ht="15.75" customHeight="1">
      <c r="A608" s="264"/>
      <c r="B608" s="264"/>
      <c r="C608" s="264"/>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row>
    <row r="609" spans="1:26" ht="15.75" customHeight="1">
      <c r="A609" s="264"/>
      <c r="B609" s="264"/>
      <c r="C609" s="264"/>
      <c r="D609" s="264"/>
      <c r="E609" s="264"/>
      <c r="F609" s="264"/>
      <c r="G609" s="264"/>
      <c r="H609" s="264"/>
      <c r="I609" s="264"/>
      <c r="J609" s="264"/>
      <c r="K609" s="264"/>
      <c r="L609" s="264"/>
      <c r="M609" s="264"/>
      <c r="N609" s="264"/>
      <c r="O609" s="264"/>
      <c r="P609" s="264"/>
      <c r="Q609" s="264"/>
      <c r="R609" s="264"/>
      <c r="S609" s="264"/>
      <c r="T609" s="264"/>
      <c r="U609" s="264"/>
      <c r="V609" s="264"/>
      <c r="W609" s="264"/>
      <c r="X609" s="264"/>
      <c r="Y609" s="264"/>
      <c r="Z609" s="264"/>
    </row>
    <row r="610" spans="1:26" ht="15.75" customHeight="1">
      <c r="A610" s="264"/>
      <c r="B610" s="264"/>
      <c r="C610" s="264"/>
      <c r="D610" s="264"/>
      <c r="E610" s="264"/>
      <c r="F610" s="264"/>
      <c r="G610" s="264"/>
      <c r="H610" s="264"/>
      <c r="I610" s="264"/>
      <c r="J610" s="264"/>
      <c r="K610" s="264"/>
      <c r="L610" s="264"/>
      <c r="M610" s="264"/>
      <c r="N610" s="264"/>
      <c r="O610" s="264"/>
      <c r="P610" s="264"/>
      <c r="Q610" s="264"/>
      <c r="R610" s="264"/>
      <c r="S610" s="264"/>
      <c r="T610" s="264"/>
      <c r="U610" s="264"/>
      <c r="V610" s="264"/>
      <c r="W610" s="264"/>
      <c r="X610" s="264"/>
      <c r="Y610" s="264"/>
      <c r="Z610" s="264"/>
    </row>
    <row r="611" spans="1:26" ht="15.75" customHeight="1">
      <c r="A611" s="264"/>
      <c r="B611" s="264"/>
      <c r="C611" s="264"/>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row>
    <row r="612" spans="1:26" ht="15.75" customHeight="1">
      <c r="A612" s="264"/>
      <c r="B612" s="264"/>
      <c r="C612" s="264"/>
      <c r="D612" s="264"/>
      <c r="E612" s="264"/>
      <c r="F612" s="264"/>
      <c r="G612" s="264"/>
      <c r="H612" s="264"/>
      <c r="I612" s="264"/>
      <c r="J612" s="264"/>
      <c r="K612" s="264"/>
      <c r="L612" s="264"/>
      <c r="M612" s="264"/>
      <c r="N612" s="264"/>
      <c r="O612" s="264"/>
      <c r="P612" s="264"/>
      <c r="Q612" s="264"/>
      <c r="R612" s="264"/>
      <c r="S612" s="264"/>
      <c r="T612" s="264"/>
      <c r="U612" s="264"/>
      <c r="V612" s="264"/>
      <c r="W612" s="264"/>
      <c r="X612" s="264"/>
      <c r="Y612" s="264"/>
      <c r="Z612" s="264"/>
    </row>
    <row r="613" spans="1:26" ht="15.75" customHeight="1">
      <c r="A613" s="264"/>
      <c r="B613" s="264"/>
      <c r="C613" s="264"/>
      <c r="D613" s="264"/>
      <c r="E613" s="264"/>
      <c r="F613" s="264"/>
      <c r="G613" s="264"/>
      <c r="H613" s="264"/>
      <c r="I613" s="264"/>
      <c r="J613" s="264"/>
      <c r="K613" s="264"/>
      <c r="L613" s="264"/>
      <c r="M613" s="264"/>
      <c r="N613" s="264"/>
      <c r="O613" s="264"/>
      <c r="P613" s="264"/>
      <c r="Q613" s="264"/>
      <c r="R613" s="264"/>
      <c r="S613" s="264"/>
      <c r="T613" s="264"/>
      <c r="U613" s="264"/>
      <c r="V613" s="264"/>
      <c r="W613" s="264"/>
      <c r="X613" s="264"/>
      <c r="Y613" s="264"/>
      <c r="Z613" s="264"/>
    </row>
    <row r="614" spans="1:26" ht="15.75" customHeight="1">
      <c r="A614" s="264"/>
      <c r="B614" s="264"/>
      <c r="C614" s="264"/>
      <c r="D614" s="264"/>
      <c r="E614" s="264"/>
      <c r="F614" s="264"/>
      <c r="G614" s="264"/>
      <c r="H614" s="264"/>
      <c r="I614" s="264"/>
      <c r="J614" s="264"/>
      <c r="K614" s="264"/>
      <c r="L614" s="264"/>
      <c r="M614" s="264"/>
      <c r="N614" s="264"/>
      <c r="O614" s="264"/>
      <c r="P614" s="264"/>
      <c r="Q614" s="264"/>
      <c r="R614" s="264"/>
      <c r="S614" s="264"/>
      <c r="T614" s="264"/>
      <c r="U614" s="264"/>
      <c r="V614" s="264"/>
      <c r="W614" s="264"/>
      <c r="X614" s="264"/>
      <c r="Y614" s="264"/>
      <c r="Z614" s="264"/>
    </row>
    <row r="615" spans="1:26" ht="15.75" customHeight="1">
      <c r="A615" s="264"/>
      <c r="B615" s="264"/>
      <c r="C615" s="264"/>
      <c r="D615" s="264"/>
      <c r="E615" s="264"/>
      <c r="F615" s="264"/>
      <c r="G615" s="264"/>
      <c r="H615" s="264"/>
      <c r="I615" s="264"/>
      <c r="J615" s="264"/>
      <c r="K615" s="264"/>
      <c r="L615" s="264"/>
      <c r="M615" s="264"/>
      <c r="N615" s="264"/>
      <c r="O615" s="264"/>
      <c r="P615" s="264"/>
      <c r="Q615" s="264"/>
      <c r="R615" s="264"/>
      <c r="S615" s="264"/>
      <c r="T615" s="264"/>
      <c r="U615" s="264"/>
      <c r="V615" s="264"/>
      <c r="W615" s="264"/>
      <c r="X615" s="264"/>
      <c r="Y615" s="264"/>
      <c r="Z615" s="264"/>
    </row>
    <row r="616" spans="1:26" ht="15.75" customHeight="1">
      <c r="A616" s="264"/>
      <c r="B616" s="264"/>
      <c r="C616" s="264"/>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row>
    <row r="617" spans="1:26" ht="15.75" customHeight="1">
      <c r="A617" s="264"/>
      <c r="B617" s="264"/>
      <c r="C617" s="264"/>
      <c r="D617" s="264"/>
      <c r="E617" s="264"/>
      <c r="F617" s="264"/>
      <c r="G617" s="264"/>
      <c r="H617" s="264"/>
      <c r="I617" s="264"/>
      <c r="J617" s="264"/>
      <c r="K617" s="264"/>
      <c r="L617" s="264"/>
      <c r="M617" s="264"/>
      <c r="N617" s="264"/>
      <c r="O617" s="264"/>
      <c r="P617" s="264"/>
      <c r="Q617" s="264"/>
      <c r="R617" s="264"/>
      <c r="S617" s="264"/>
      <c r="T617" s="264"/>
      <c r="U617" s="264"/>
      <c r="V617" s="264"/>
      <c r="W617" s="264"/>
      <c r="X617" s="264"/>
      <c r="Y617" s="264"/>
      <c r="Z617" s="264"/>
    </row>
    <row r="618" spans="1:26" ht="15.75" customHeight="1">
      <c r="A618" s="264"/>
      <c r="B618" s="264"/>
      <c r="C618" s="264"/>
      <c r="D618" s="264"/>
      <c r="E618" s="264"/>
      <c r="F618" s="264"/>
      <c r="G618" s="264"/>
      <c r="H618" s="264"/>
      <c r="I618" s="264"/>
      <c r="J618" s="264"/>
      <c r="K618" s="264"/>
      <c r="L618" s="264"/>
      <c r="M618" s="264"/>
      <c r="N618" s="264"/>
      <c r="O618" s="264"/>
      <c r="P618" s="264"/>
      <c r="Q618" s="264"/>
      <c r="R618" s="264"/>
      <c r="S618" s="264"/>
      <c r="T618" s="264"/>
      <c r="U618" s="264"/>
      <c r="V618" s="264"/>
      <c r="W618" s="264"/>
      <c r="X618" s="264"/>
      <c r="Y618" s="264"/>
      <c r="Z618" s="264"/>
    </row>
    <row r="619" spans="1:26" ht="15.75" customHeight="1">
      <c r="A619" s="264"/>
      <c r="B619" s="264"/>
      <c r="C619" s="264"/>
      <c r="D619" s="264"/>
      <c r="E619" s="264"/>
      <c r="F619" s="264"/>
      <c r="G619" s="264"/>
      <c r="H619" s="264"/>
      <c r="I619" s="264"/>
      <c r="J619" s="264"/>
      <c r="K619" s="264"/>
      <c r="L619" s="264"/>
      <c r="M619" s="264"/>
      <c r="N619" s="264"/>
      <c r="O619" s="264"/>
      <c r="P619" s="264"/>
      <c r="Q619" s="264"/>
      <c r="R619" s="264"/>
      <c r="S619" s="264"/>
      <c r="T619" s="264"/>
      <c r="U619" s="264"/>
      <c r="V619" s="264"/>
      <c r="W619" s="264"/>
      <c r="X619" s="264"/>
      <c r="Y619" s="264"/>
      <c r="Z619" s="264"/>
    </row>
    <row r="620" spans="1:26" ht="15.75" customHeight="1">
      <c r="A620" s="264"/>
      <c r="B620" s="264"/>
      <c r="C620" s="264"/>
      <c r="D620" s="264"/>
      <c r="E620" s="264"/>
      <c r="F620" s="264"/>
      <c r="G620" s="264"/>
      <c r="H620" s="264"/>
      <c r="I620" s="264"/>
      <c r="J620" s="264"/>
      <c r="K620" s="264"/>
      <c r="L620" s="264"/>
      <c r="M620" s="264"/>
      <c r="N620" s="264"/>
      <c r="O620" s="264"/>
      <c r="P620" s="264"/>
      <c r="Q620" s="264"/>
      <c r="R620" s="264"/>
      <c r="S620" s="264"/>
      <c r="T620" s="264"/>
      <c r="U620" s="264"/>
      <c r="V620" s="264"/>
      <c r="W620" s="264"/>
      <c r="X620" s="264"/>
      <c r="Y620" s="264"/>
      <c r="Z620" s="264"/>
    </row>
    <row r="621" spans="1:26" ht="15.75" customHeight="1">
      <c r="A621" s="264"/>
      <c r="B621" s="264"/>
      <c r="C621" s="264"/>
      <c r="D621" s="264"/>
      <c r="E621" s="264"/>
      <c r="F621" s="264"/>
      <c r="G621" s="264"/>
      <c r="H621" s="264"/>
      <c r="I621" s="264"/>
      <c r="J621" s="264"/>
      <c r="K621" s="264"/>
      <c r="L621" s="264"/>
      <c r="M621" s="264"/>
      <c r="N621" s="264"/>
      <c r="O621" s="264"/>
      <c r="P621" s="264"/>
      <c r="Q621" s="264"/>
      <c r="R621" s="264"/>
      <c r="S621" s="264"/>
      <c r="T621" s="264"/>
      <c r="U621" s="264"/>
      <c r="V621" s="264"/>
      <c r="W621" s="264"/>
      <c r="X621" s="264"/>
      <c r="Y621" s="264"/>
      <c r="Z621" s="264"/>
    </row>
    <row r="622" spans="1:26" ht="15.75" customHeight="1">
      <c r="A622" s="264"/>
      <c r="B622" s="264"/>
      <c r="C622" s="264"/>
      <c r="D622" s="264"/>
      <c r="E622" s="264"/>
      <c r="F622" s="264"/>
      <c r="G622" s="264"/>
      <c r="H622" s="264"/>
      <c r="I622" s="264"/>
      <c r="J622" s="264"/>
      <c r="K622" s="264"/>
      <c r="L622" s="264"/>
      <c r="M622" s="264"/>
      <c r="N622" s="264"/>
      <c r="O622" s="264"/>
      <c r="P622" s="264"/>
      <c r="Q622" s="264"/>
      <c r="R622" s="264"/>
      <c r="S622" s="264"/>
      <c r="T622" s="264"/>
      <c r="U622" s="264"/>
      <c r="V622" s="264"/>
      <c r="W622" s="264"/>
      <c r="X622" s="264"/>
      <c r="Y622" s="264"/>
      <c r="Z622" s="264"/>
    </row>
    <row r="623" spans="1:26" ht="15.75" customHeight="1">
      <c r="A623" s="264"/>
      <c r="B623" s="264"/>
      <c r="C623" s="264"/>
      <c r="D623" s="264"/>
      <c r="E623" s="264"/>
      <c r="F623" s="264"/>
      <c r="G623" s="264"/>
      <c r="H623" s="264"/>
      <c r="I623" s="264"/>
      <c r="J623" s="264"/>
      <c r="K623" s="264"/>
      <c r="L623" s="264"/>
      <c r="M623" s="264"/>
      <c r="N623" s="264"/>
      <c r="O623" s="264"/>
      <c r="P623" s="264"/>
      <c r="Q623" s="264"/>
      <c r="R623" s="264"/>
      <c r="S623" s="264"/>
      <c r="T623" s="264"/>
      <c r="U623" s="264"/>
      <c r="V623" s="264"/>
      <c r="W623" s="264"/>
      <c r="X623" s="264"/>
      <c r="Y623" s="264"/>
      <c r="Z623" s="264"/>
    </row>
    <row r="624" spans="1:26" ht="15.75" customHeight="1">
      <c r="A624" s="264"/>
      <c r="B624" s="264"/>
      <c r="C624" s="264"/>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row>
    <row r="625" spans="1:26" ht="15.75" customHeight="1">
      <c r="A625" s="264"/>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row>
    <row r="626" spans="1:26" ht="15.75" customHeight="1">
      <c r="A626" s="264"/>
      <c r="B626" s="264"/>
      <c r="C626" s="264"/>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row>
    <row r="627" spans="1:26" ht="15.75" customHeight="1">
      <c r="A627" s="264"/>
      <c r="B627" s="264"/>
      <c r="C627" s="264"/>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row>
    <row r="628" spans="1:26" ht="15.75" customHeight="1">
      <c r="A628" s="264"/>
      <c r="B628" s="264"/>
      <c r="C628" s="264"/>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row>
    <row r="629" spans="1:26" ht="15.75" customHeight="1">
      <c r="A629" s="264"/>
      <c r="B629" s="264"/>
      <c r="C629" s="264"/>
      <c r="D629" s="264"/>
      <c r="E629" s="264"/>
      <c r="F629" s="264"/>
      <c r="G629" s="264"/>
      <c r="H629" s="264"/>
      <c r="I629" s="264"/>
      <c r="J629" s="264"/>
      <c r="K629" s="264"/>
      <c r="L629" s="264"/>
      <c r="M629" s="264"/>
      <c r="N629" s="264"/>
      <c r="O629" s="264"/>
      <c r="P629" s="264"/>
      <c r="Q629" s="264"/>
      <c r="R629" s="264"/>
      <c r="S629" s="264"/>
      <c r="T629" s="264"/>
      <c r="U629" s="264"/>
      <c r="V629" s="264"/>
      <c r="W629" s="264"/>
      <c r="X629" s="264"/>
      <c r="Y629" s="264"/>
      <c r="Z629" s="264"/>
    </row>
    <row r="630" spans="1:26" ht="15.75" customHeight="1">
      <c r="A630" s="264"/>
      <c r="B630" s="264"/>
      <c r="C630" s="264"/>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row>
    <row r="631" spans="1:26" ht="15.75" customHeight="1">
      <c r="A631" s="264"/>
      <c r="B631" s="264"/>
      <c r="C631" s="264"/>
      <c r="D631" s="264"/>
      <c r="E631" s="264"/>
      <c r="F631" s="264"/>
      <c r="G631" s="264"/>
      <c r="H631" s="264"/>
      <c r="I631" s="264"/>
      <c r="J631" s="264"/>
      <c r="K631" s="264"/>
      <c r="L631" s="264"/>
      <c r="M631" s="264"/>
      <c r="N631" s="264"/>
      <c r="O631" s="264"/>
      <c r="P631" s="264"/>
      <c r="Q631" s="264"/>
      <c r="R631" s="264"/>
      <c r="S631" s="264"/>
      <c r="T631" s="264"/>
      <c r="U631" s="264"/>
      <c r="V631" s="264"/>
      <c r="W631" s="264"/>
      <c r="X631" s="264"/>
      <c r="Y631" s="264"/>
      <c r="Z631" s="264"/>
    </row>
    <row r="632" spans="1:26" ht="15.75" customHeight="1">
      <c r="A632" s="264"/>
      <c r="B632" s="264"/>
      <c r="C632" s="264"/>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row>
    <row r="633" spans="1:26" ht="15.75" customHeight="1">
      <c r="A633" s="264"/>
      <c r="B633" s="264"/>
      <c r="C633" s="264"/>
      <c r="D633" s="264"/>
      <c r="E633" s="264"/>
      <c r="F633" s="264"/>
      <c r="G633" s="264"/>
      <c r="H633" s="264"/>
      <c r="I633" s="264"/>
      <c r="J633" s="264"/>
      <c r="K633" s="264"/>
      <c r="L633" s="264"/>
      <c r="M633" s="264"/>
      <c r="N633" s="264"/>
      <c r="O633" s="264"/>
      <c r="P633" s="264"/>
      <c r="Q633" s="264"/>
      <c r="R633" s="264"/>
      <c r="S633" s="264"/>
      <c r="T633" s="264"/>
      <c r="U633" s="264"/>
      <c r="V633" s="264"/>
      <c r="W633" s="264"/>
      <c r="X633" s="264"/>
      <c r="Y633" s="264"/>
      <c r="Z633" s="264"/>
    </row>
    <row r="634" spans="1:26" ht="15.75" customHeight="1">
      <c r="A634" s="264"/>
      <c r="B634" s="264"/>
      <c r="C634" s="264"/>
      <c r="D634" s="264"/>
      <c r="E634" s="264"/>
      <c r="F634" s="264"/>
      <c r="G634" s="264"/>
      <c r="H634" s="264"/>
      <c r="I634" s="264"/>
      <c r="J634" s="264"/>
      <c r="K634" s="264"/>
      <c r="L634" s="264"/>
      <c r="M634" s="264"/>
      <c r="N634" s="264"/>
      <c r="O634" s="264"/>
      <c r="P634" s="264"/>
      <c r="Q634" s="264"/>
      <c r="R634" s="264"/>
      <c r="S634" s="264"/>
      <c r="T634" s="264"/>
      <c r="U634" s="264"/>
      <c r="V634" s="264"/>
      <c r="W634" s="264"/>
      <c r="X634" s="264"/>
      <c r="Y634" s="264"/>
      <c r="Z634" s="264"/>
    </row>
    <row r="635" spans="1:26" ht="15.75" customHeight="1">
      <c r="A635" s="264"/>
      <c r="B635" s="264"/>
      <c r="C635" s="264"/>
      <c r="D635" s="264"/>
      <c r="E635" s="264"/>
      <c r="F635" s="264"/>
      <c r="G635" s="264"/>
      <c r="H635" s="264"/>
      <c r="I635" s="264"/>
      <c r="J635" s="264"/>
      <c r="K635" s="264"/>
      <c r="L635" s="264"/>
      <c r="M635" s="264"/>
      <c r="N635" s="264"/>
      <c r="O635" s="264"/>
      <c r="P635" s="264"/>
      <c r="Q635" s="264"/>
      <c r="R635" s="264"/>
      <c r="S635" s="264"/>
      <c r="T635" s="264"/>
      <c r="U635" s="264"/>
      <c r="V635" s="264"/>
      <c r="W635" s="264"/>
      <c r="X635" s="264"/>
      <c r="Y635" s="264"/>
      <c r="Z635" s="264"/>
    </row>
    <row r="636" spans="1:26" ht="15.75" customHeight="1">
      <c r="A636" s="264"/>
      <c r="B636" s="264"/>
      <c r="C636" s="264"/>
      <c r="D636" s="264"/>
      <c r="E636" s="264"/>
      <c r="F636" s="264"/>
      <c r="G636" s="264"/>
      <c r="H636" s="264"/>
      <c r="I636" s="264"/>
      <c r="J636" s="264"/>
      <c r="K636" s="264"/>
      <c r="L636" s="264"/>
      <c r="M636" s="264"/>
      <c r="N636" s="264"/>
      <c r="O636" s="264"/>
      <c r="P636" s="264"/>
      <c r="Q636" s="264"/>
      <c r="R636" s="264"/>
      <c r="S636" s="264"/>
      <c r="T636" s="264"/>
      <c r="U636" s="264"/>
      <c r="V636" s="264"/>
      <c r="W636" s="264"/>
      <c r="X636" s="264"/>
      <c r="Y636" s="264"/>
      <c r="Z636" s="264"/>
    </row>
    <row r="637" spans="1:26" ht="15.75" customHeight="1">
      <c r="A637" s="264"/>
      <c r="B637" s="264"/>
      <c r="C637" s="264"/>
      <c r="D637" s="264"/>
      <c r="E637" s="264"/>
      <c r="F637" s="264"/>
      <c r="G637" s="264"/>
      <c r="H637" s="264"/>
      <c r="I637" s="264"/>
      <c r="J637" s="264"/>
      <c r="K637" s="264"/>
      <c r="L637" s="264"/>
      <c r="M637" s="264"/>
      <c r="N637" s="264"/>
      <c r="O637" s="264"/>
      <c r="P637" s="264"/>
      <c r="Q637" s="264"/>
      <c r="R637" s="264"/>
      <c r="S637" s="264"/>
      <c r="T637" s="264"/>
      <c r="U637" s="264"/>
      <c r="V637" s="264"/>
      <c r="W637" s="264"/>
      <c r="X637" s="264"/>
      <c r="Y637" s="264"/>
      <c r="Z637" s="264"/>
    </row>
    <row r="638" spans="1:26" ht="15.75" customHeight="1">
      <c r="A638" s="264"/>
      <c r="B638" s="264"/>
      <c r="C638" s="264"/>
      <c r="D638" s="264"/>
      <c r="E638" s="264"/>
      <c r="F638" s="264"/>
      <c r="G638" s="264"/>
      <c r="H638" s="264"/>
      <c r="I638" s="264"/>
      <c r="J638" s="264"/>
      <c r="K638" s="264"/>
      <c r="L638" s="264"/>
      <c r="M638" s="264"/>
      <c r="N638" s="264"/>
      <c r="O638" s="264"/>
      <c r="P638" s="264"/>
      <c r="Q638" s="264"/>
      <c r="R638" s="264"/>
      <c r="S638" s="264"/>
      <c r="T638" s="264"/>
      <c r="U638" s="264"/>
      <c r="V638" s="264"/>
      <c r="W638" s="264"/>
      <c r="X638" s="264"/>
      <c r="Y638" s="264"/>
      <c r="Z638" s="264"/>
    </row>
    <row r="639" spans="1:26" ht="15.75" customHeight="1">
      <c r="A639" s="264"/>
      <c r="B639" s="264"/>
      <c r="C639" s="264"/>
      <c r="D639" s="264"/>
      <c r="E639" s="264"/>
      <c r="F639" s="264"/>
      <c r="G639" s="264"/>
      <c r="H639" s="264"/>
      <c r="I639" s="264"/>
      <c r="J639" s="264"/>
      <c r="K639" s="264"/>
      <c r="L639" s="264"/>
      <c r="M639" s="264"/>
      <c r="N639" s="264"/>
      <c r="O639" s="264"/>
      <c r="P639" s="264"/>
      <c r="Q639" s="264"/>
      <c r="R639" s="264"/>
      <c r="S639" s="264"/>
      <c r="T639" s="264"/>
      <c r="U639" s="264"/>
      <c r="V639" s="264"/>
      <c r="W639" s="264"/>
      <c r="X639" s="264"/>
      <c r="Y639" s="264"/>
      <c r="Z639" s="264"/>
    </row>
    <row r="640" spans="1:26" ht="15.75" customHeight="1">
      <c r="A640" s="264"/>
      <c r="B640" s="264"/>
      <c r="C640" s="264"/>
      <c r="D640" s="264"/>
      <c r="E640" s="264"/>
      <c r="F640" s="264"/>
      <c r="G640" s="264"/>
      <c r="H640" s="264"/>
      <c r="I640" s="264"/>
      <c r="J640" s="264"/>
      <c r="K640" s="264"/>
      <c r="L640" s="264"/>
      <c r="M640" s="264"/>
      <c r="N640" s="264"/>
      <c r="O640" s="264"/>
      <c r="P640" s="264"/>
      <c r="Q640" s="264"/>
      <c r="R640" s="264"/>
      <c r="S640" s="264"/>
      <c r="T640" s="264"/>
      <c r="U640" s="264"/>
      <c r="V640" s="264"/>
      <c r="W640" s="264"/>
      <c r="X640" s="264"/>
      <c r="Y640" s="264"/>
      <c r="Z640" s="264"/>
    </row>
    <row r="641" spans="1:26" ht="15.75" customHeight="1">
      <c r="A641" s="264"/>
      <c r="B641" s="264"/>
      <c r="C641" s="264"/>
      <c r="D641" s="264"/>
      <c r="E641" s="264"/>
      <c r="F641" s="264"/>
      <c r="G641" s="264"/>
      <c r="H641" s="264"/>
      <c r="I641" s="264"/>
      <c r="J641" s="264"/>
      <c r="K641" s="264"/>
      <c r="L641" s="264"/>
      <c r="M641" s="264"/>
      <c r="N641" s="264"/>
      <c r="O641" s="264"/>
      <c r="P641" s="264"/>
      <c r="Q641" s="264"/>
      <c r="R641" s="264"/>
      <c r="S641" s="264"/>
      <c r="T641" s="264"/>
      <c r="U641" s="264"/>
      <c r="V641" s="264"/>
      <c r="W641" s="264"/>
      <c r="X641" s="264"/>
      <c r="Y641" s="264"/>
      <c r="Z641" s="264"/>
    </row>
    <row r="642" spans="1:26" ht="15.75" customHeight="1">
      <c r="A642" s="264"/>
      <c r="B642" s="264"/>
      <c r="C642" s="264"/>
      <c r="D642" s="264"/>
      <c r="E642" s="264"/>
      <c r="F642" s="264"/>
      <c r="G642" s="264"/>
      <c r="H642" s="264"/>
      <c r="I642" s="264"/>
      <c r="J642" s="264"/>
      <c r="K642" s="264"/>
      <c r="L642" s="264"/>
      <c r="M642" s="264"/>
      <c r="N642" s="264"/>
      <c r="O642" s="264"/>
      <c r="P642" s="264"/>
      <c r="Q642" s="264"/>
      <c r="R642" s="264"/>
      <c r="S642" s="264"/>
      <c r="T642" s="264"/>
      <c r="U642" s="264"/>
      <c r="V642" s="264"/>
      <c r="W642" s="264"/>
      <c r="X642" s="264"/>
      <c r="Y642" s="264"/>
      <c r="Z642" s="264"/>
    </row>
    <row r="643" spans="1:26" ht="15.75" customHeight="1">
      <c r="A643" s="264"/>
      <c r="B643" s="264"/>
      <c r="C643" s="264"/>
      <c r="D643" s="264"/>
      <c r="E643" s="264"/>
      <c r="F643" s="264"/>
      <c r="G643" s="264"/>
      <c r="H643" s="264"/>
      <c r="I643" s="264"/>
      <c r="J643" s="264"/>
      <c r="K643" s="264"/>
      <c r="L643" s="264"/>
      <c r="M643" s="264"/>
      <c r="N643" s="264"/>
      <c r="O643" s="264"/>
      <c r="P643" s="264"/>
      <c r="Q643" s="264"/>
      <c r="R643" s="264"/>
      <c r="S643" s="264"/>
      <c r="T643" s="264"/>
      <c r="U643" s="264"/>
      <c r="V643" s="264"/>
      <c r="W643" s="264"/>
      <c r="X643" s="264"/>
      <c r="Y643" s="264"/>
      <c r="Z643" s="264"/>
    </row>
    <row r="644" spans="1:26" ht="15.75" customHeight="1">
      <c r="A644" s="264"/>
      <c r="B644" s="264"/>
      <c r="C644" s="264"/>
      <c r="D644" s="264"/>
      <c r="E644" s="264"/>
      <c r="F644" s="264"/>
      <c r="G644" s="264"/>
      <c r="H644" s="264"/>
      <c r="I644" s="264"/>
      <c r="J644" s="264"/>
      <c r="K644" s="264"/>
      <c r="L644" s="264"/>
      <c r="M644" s="264"/>
      <c r="N644" s="264"/>
      <c r="O644" s="264"/>
      <c r="P644" s="264"/>
      <c r="Q644" s="264"/>
      <c r="R644" s="264"/>
      <c r="S644" s="264"/>
      <c r="T644" s="264"/>
      <c r="U644" s="264"/>
      <c r="V644" s="264"/>
      <c r="W644" s="264"/>
      <c r="X644" s="264"/>
      <c r="Y644" s="264"/>
      <c r="Z644" s="264"/>
    </row>
    <row r="645" spans="1:26" ht="15.75" customHeight="1">
      <c r="A645" s="264"/>
      <c r="B645" s="264"/>
      <c r="C645" s="264"/>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row>
    <row r="646" spans="1:26" ht="15.75" customHeight="1">
      <c r="A646" s="264"/>
      <c r="B646" s="264"/>
      <c r="C646" s="264"/>
      <c r="D646" s="264"/>
      <c r="E646" s="264"/>
      <c r="F646" s="264"/>
      <c r="G646" s="264"/>
      <c r="H646" s="264"/>
      <c r="I646" s="264"/>
      <c r="J646" s="264"/>
      <c r="K646" s="264"/>
      <c r="L646" s="264"/>
      <c r="M646" s="264"/>
      <c r="N646" s="264"/>
      <c r="O646" s="264"/>
      <c r="P646" s="264"/>
      <c r="Q646" s="264"/>
      <c r="R646" s="264"/>
      <c r="S646" s="264"/>
      <c r="T646" s="264"/>
      <c r="U646" s="264"/>
      <c r="V646" s="264"/>
      <c r="W646" s="264"/>
      <c r="X646" s="264"/>
      <c r="Y646" s="264"/>
      <c r="Z646" s="264"/>
    </row>
    <row r="647" spans="1:26" ht="15.75" customHeight="1">
      <c r="A647" s="264"/>
      <c r="B647" s="264"/>
      <c r="C647" s="264"/>
      <c r="D647" s="264"/>
      <c r="E647" s="264"/>
      <c r="F647" s="264"/>
      <c r="G647" s="264"/>
      <c r="H647" s="264"/>
      <c r="I647" s="264"/>
      <c r="J647" s="264"/>
      <c r="K647" s="264"/>
      <c r="L647" s="264"/>
      <c r="M647" s="264"/>
      <c r="N647" s="264"/>
      <c r="O647" s="264"/>
      <c r="P647" s="264"/>
      <c r="Q647" s="264"/>
      <c r="R647" s="264"/>
      <c r="S647" s="264"/>
      <c r="T647" s="264"/>
      <c r="U647" s="264"/>
      <c r="V647" s="264"/>
      <c r="W647" s="264"/>
      <c r="X647" s="264"/>
      <c r="Y647" s="264"/>
      <c r="Z647" s="264"/>
    </row>
    <row r="648" spans="1:26" ht="15.75" customHeight="1">
      <c r="A648" s="264"/>
      <c r="B648" s="264"/>
      <c r="C648" s="264"/>
      <c r="D648" s="264"/>
      <c r="E648" s="264"/>
      <c r="F648" s="264"/>
      <c r="G648" s="264"/>
      <c r="H648" s="264"/>
      <c r="I648" s="264"/>
      <c r="J648" s="264"/>
      <c r="K648" s="264"/>
      <c r="L648" s="264"/>
      <c r="M648" s="264"/>
      <c r="N648" s="264"/>
      <c r="O648" s="264"/>
      <c r="P648" s="264"/>
      <c r="Q648" s="264"/>
      <c r="R648" s="264"/>
      <c r="S648" s="264"/>
      <c r="T648" s="264"/>
      <c r="U648" s="264"/>
      <c r="V648" s="264"/>
      <c r="W648" s="264"/>
      <c r="X648" s="264"/>
      <c r="Y648" s="264"/>
      <c r="Z648" s="264"/>
    </row>
    <row r="649" spans="1:26" ht="15.75" customHeight="1">
      <c r="A649" s="264"/>
      <c r="B649" s="264"/>
      <c r="C649" s="264"/>
      <c r="D649" s="264"/>
      <c r="E649" s="264"/>
      <c r="F649" s="264"/>
      <c r="G649" s="264"/>
      <c r="H649" s="264"/>
      <c r="I649" s="264"/>
      <c r="J649" s="264"/>
      <c r="K649" s="264"/>
      <c r="L649" s="264"/>
      <c r="M649" s="264"/>
      <c r="N649" s="264"/>
      <c r="O649" s="264"/>
      <c r="P649" s="264"/>
      <c r="Q649" s="264"/>
      <c r="R649" s="264"/>
      <c r="S649" s="264"/>
      <c r="T649" s="264"/>
      <c r="U649" s="264"/>
      <c r="V649" s="264"/>
      <c r="W649" s="264"/>
      <c r="X649" s="264"/>
      <c r="Y649" s="264"/>
      <c r="Z649" s="264"/>
    </row>
    <row r="650" spans="1:26" ht="15.75" customHeight="1">
      <c r="A650" s="264"/>
      <c r="B650" s="264"/>
      <c r="C650" s="264"/>
      <c r="D650" s="264"/>
      <c r="E650" s="264"/>
      <c r="F650" s="264"/>
      <c r="G650" s="264"/>
      <c r="H650" s="264"/>
      <c r="I650" s="264"/>
      <c r="J650" s="264"/>
      <c r="K650" s="264"/>
      <c r="L650" s="264"/>
      <c r="M650" s="264"/>
      <c r="N650" s="264"/>
      <c r="O650" s="264"/>
      <c r="P650" s="264"/>
      <c r="Q650" s="264"/>
      <c r="R650" s="264"/>
      <c r="S650" s="264"/>
      <c r="T650" s="264"/>
      <c r="U650" s="264"/>
      <c r="V650" s="264"/>
      <c r="W650" s="264"/>
      <c r="X650" s="264"/>
      <c r="Y650" s="264"/>
      <c r="Z650" s="264"/>
    </row>
    <row r="651" spans="1:26" ht="15.75" customHeight="1">
      <c r="A651" s="264"/>
      <c r="B651" s="264"/>
      <c r="C651" s="264"/>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row>
    <row r="652" spans="1:26" ht="15.75" customHeight="1">
      <c r="A652" s="264"/>
      <c r="B652" s="264"/>
      <c r="C652" s="264"/>
      <c r="D652" s="264"/>
      <c r="E652" s="264"/>
      <c r="F652" s="264"/>
      <c r="G652" s="264"/>
      <c r="H652" s="264"/>
      <c r="I652" s="264"/>
      <c r="J652" s="264"/>
      <c r="K652" s="264"/>
      <c r="L652" s="264"/>
      <c r="M652" s="264"/>
      <c r="N652" s="264"/>
      <c r="O652" s="264"/>
      <c r="P652" s="264"/>
      <c r="Q652" s="264"/>
      <c r="R652" s="264"/>
      <c r="S652" s="264"/>
      <c r="T652" s="264"/>
      <c r="U652" s="264"/>
      <c r="V652" s="264"/>
      <c r="W652" s="264"/>
      <c r="X652" s="264"/>
      <c r="Y652" s="264"/>
      <c r="Z652" s="264"/>
    </row>
    <row r="653" spans="1:26" ht="15.75" customHeight="1">
      <c r="A653" s="264"/>
      <c r="B653" s="264"/>
      <c r="C653" s="264"/>
      <c r="D653" s="264"/>
      <c r="E653" s="264"/>
      <c r="F653" s="264"/>
      <c r="G653" s="264"/>
      <c r="H653" s="264"/>
      <c r="I653" s="264"/>
      <c r="J653" s="264"/>
      <c r="K653" s="264"/>
      <c r="L653" s="264"/>
      <c r="M653" s="264"/>
      <c r="N653" s="264"/>
      <c r="O653" s="264"/>
      <c r="P653" s="264"/>
      <c r="Q653" s="264"/>
      <c r="R653" s="264"/>
      <c r="S653" s="264"/>
      <c r="T653" s="264"/>
      <c r="U653" s="264"/>
      <c r="V653" s="264"/>
      <c r="W653" s="264"/>
      <c r="X653" s="264"/>
      <c r="Y653" s="264"/>
      <c r="Z653" s="264"/>
    </row>
    <row r="654" spans="1:26" ht="15.75" customHeight="1">
      <c r="A654" s="264"/>
      <c r="B654" s="264"/>
      <c r="C654" s="264"/>
      <c r="D654" s="264"/>
      <c r="E654" s="264"/>
      <c r="F654" s="264"/>
      <c r="G654" s="264"/>
      <c r="H654" s="264"/>
      <c r="I654" s="264"/>
      <c r="J654" s="264"/>
      <c r="K654" s="264"/>
      <c r="L654" s="264"/>
      <c r="M654" s="264"/>
      <c r="N654" s="264"/>
      <c r="O654" s="264"/>
      <c r="P654" s="264"/>
      <c r="Q654" s="264"/>
      <c r="R654" s="264"/>
      <c r="S654" s="264"/>
      <c r="T654" s="264"/>
      <c r="U654" s="264"/>
      <c r="V654" s="264"/>
      <c r="W654" s="264"/>
      <c r="X654" s="264"/>
      <c r="Y654" s="264"/>
      <c r="Z654" s="264"/>
    </row>
    <row r="655" spans="1:26" ht="15.75" customHeight="1">
      <c r="A655" s="264"/>
      <c r="B655" s="264"/>
      <c r="C655" s="264"/>
      <c r="D655" s="264"/>
      <c r="E655" s="264"/>
      <c r="F655" s="264"/>
      <c r="G655" s="264"/>
      <c r="H655" s="264"/>
      <c r="I655" s="264"/>
      <c r="J655" s="264"/>
      <c r="K655" s="264"/>
      <c r="L655" s="264"/>
      <c r="M655" s="264"/>
      <c r="N655" s="264"/>
      <c r="O655" s="264"/>
      <c r="P655" s="264"/>
      <c r="Q655" s="264"/>
      <c r="R655" s="264"/>
      <c r="S655" s="264"/>
      <c r="T655" s="264"/>
      <c r="U655" s="264"/>
      <c r="V655" s="264"/>
      <c r="W655" s="264"/>
      <c r="X655" s="264"/>
      <c r="Y655" s="264"/>
      <c r="Z655" s="264"/>
    </row>
    <row r="656" spans="1:26" ht="15.75" customHeight="1">
      <c r="A656" s="264"/>
      <c r="B656" s="264"/>
      <c r="C656" s="264"/>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row>
    <row r="657" spans="1:26" ht="15.75" customHeight="1">
      <c r="A657" s="264"/>
      <c r="B657" s="264"/>
      <c r="C657" s="264"/>
      <c r="D657" s="264"/>
      <c r="E657" s="264"/>
      <c r="F657" s="264"/>
      <c r="G657" s="264"/>
      <c r="H657" s="264"/>
      <c r="I657" s="264"/>
      <c r="J657" s="264"/>
      <c r="K657" s="264"/>
      <c r="L657" s="264"/>
      <c r="M657" s="264"/>
      <c r="N657" s="264"/>
      <c r="O657" s="264"/>
      <c r="P657" s="264"/>
      <c r="Q657" s="264"/>
      <c r="R657" s="264"/>
      <c r="S657" s="264"/>
      <c r="T657" s="264"/>
      <c r="U657" s="264"/>
      <c r="V657" s="264"/>
      <c r="W657" s="264"/>
      <c r="X657" s="264"/>
      <c r="Y657" s="264"/>
      <c r="Z657" s="264"/>
    </row>
    <row r="658" spans="1:26" ht="15.75" customHeight="1">
      <c r="A658" s="264"/>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row>
    <row r="659" spans="1:26" ht="15.75" customHeight="1">
      <c r="A659" s="264"/>
      <c r="B659" s="264"/>
      <c r="C659" s="264"/>
      <c r="D659" s="264"/>
      <c r="E659" s="264"/>
      <c r="F659" s="264"/>
      <c r="G659" s="264"/>
      <c r="H659" s="264"/>
      <c r="I659" s="264"/>
      <c r="J659" s="264"/>
      <c r="K659" s="264"/>
      <c r="L659" s="264"/>
      <c r="M659" s="264"/>
      <c r="N659" s="264"/>
      <c r="O659" s="264"/>
      <c r="P659" s="264"/>
      <c r="Q659" s="264"/>
      <c r="R659" s="264"/>
      <c r="S659" s="264"/>
      <c r="T659" s="264"/>
      <c r="U659" s="264"/>
      <c r="V659" s="264"/>
      <c r="W659" s="264"/>
      <c r="X659" s="264"/>
      <c r="Y659" s="264"/>
      <c r="Z659" s="264"/>
    </row>
    <row r="660" spans="1:26" ht="15.75" customHeight="1">
      <c r="A660" s="264"/>
      <c r="B660" s="264"/>
      <c r="C660" s="264"/>
      <c r="D660" s="264"/>
      <c r="E660" s="264"/>
      <c r="F660" s="264"/>
      <c r="G660" s="264"/>
      <c r="H660" s="264"/>
      <c r="I660" s="264"/>
      <c r="J660" s="264"/>
      <c r="K660" s="264"/>
      <c r="L660" s="264"/>
      <c r="M660" s="264"/>
      <c r="N660" s="264"/>
      <c r="O660" s="264"/>
      <c r="P660" s="264"/>
      <c r="Q660" s="264"/>
      <c r="R660" s="264"/>
      <c r="S660" s="264"/>
      <c r="T660" s="264"/>
      <c r="U660" s="264"/>
      <c r="V660" s="264"/>
      <c r="W660" s="264"/>
      <c r="X660" s="264"/>
      <c r="Y660" s="264"/>
      <c r="Z660" s="264"/>
    </row>
    <row r="661" spans="1:26" ht="15.75" customHeight="1">
      <c r="A661" s="264"/>
      <c r="B661" s="264"/>
      <c r="C661" s="264"/>
      <c r="D661" s="264"/>
      <c r="E661" s="264"/>
      <c r="F661" s="264"/>
      <c r="G661" s="264"/>
      <c r="H661" s="264"/>
      <c r="I661" s="264"/>
      <c r="J661" s="264"/>
      <c r="K661" s="264"/>
      <c r="L661" s="264"/>
      <c r="M661" s="264"/>
      <c r="N661" s="264"/>
      <c r="O661" s="264"/>
      <c r="P661" s="264"/>
      <c r="Q661" s="264"/>
      <c r="R661" s="264"/>
      <c r="S661" s="264"/>
      <c r="T661" s="264"/>
      <c r="U661" s="264"/>
      <c r="V661" s="264"/>
      <c r="W661" s="264"/>
      <c r="X661" s="264"/>
      <c r="Y661" s="264"/>
      <c r="Z661" s="264"/>
    </row>
    <row r="662" spans="1:26" ht="15.75" customHeight="1">
      <c r="A662" s="264"/>
      <c r="B662" s="264"/>
      <c r="C662" s="264"/>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row>
    <row r="663" spans="1:26" ht="15.75" customHeight="1">
      <c r="A663" s="264"/>
      <c r="B663" s="264"/>
      <c r="C663" s="264"/>
      <c r="D663" s="264"/>
      <c r="E663" s="264"/>
      <c r="F663" s="264"/>
      <c r="G663" s="264"/>
      <c r="H663" s="264"/>
      <c r="I663" s="264"/>
      <c r="J663" s="264"/>
      <c r="K663" s="264"/>
      <c r="L663" s="264"/>
      <c r="M663" s="264"/>
      <c r="N663" s="264"/>
      <c r="O663" s="264"/>
      <c r="P663" s="264"/>
      <c r="Q663" s="264"/>
      <c r="R663" s="264"/>
      <c r="S663" s="264"/>
      <c r="T663" s="264"/>
      <c r="U663" s="264"/>
      <c r="V663" s="264"/>
      <c r="W663" s="264"/>
      <c r="X663" s="264"/>
      <c r="Y663" s="264"/>
      <c r="Z663" s="264"/>
    </row>
    <row r="664" spans="1:26" ht="15.75" customHeight="1">
      <c r="A664" s="264"/>
      <c r="B664" s="264"/>
      <c r="C664" s="264"/>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row>
    <row r="665" spans="1:26" ht="15.75" customHeight="1">
      <c r="A665" s="264"/>
      <c r="B665" s="264"/>
      <c r="C665" s="264"/>
      <c r="D665" s="264"/>
      <c r="E665" s="264"/>
      <c r="F665" s="264"/>
      <c r="G665" s="264"/>
      <c r="H665" s="264"/>
      <c r="I665" s="264"/>
      <c r="J665" s="264"/>
      <c r="K665" s="264"/>
      <c r="L665" s="264"/>
      <c r="M665" s="264"/>
      <c r="N665" s="264"/>
      <c r="O665" s="264"/>
      <c r="P665" s="264"/>
      <c r="Q665" s="264"/>
      <c r="R665" s="264"/>
      <c r="S665" s="264"/>
      <c r="T665" s="264"/>
      <c r="U665" s="264"/>
      <c r="V665" s="264"/>
      <c r="W665" s="264"/>
      <c r="X665" s="264"/>
      <c r="Y665" s="264"/>
      <c r="Z665" s="264"/>
    </row>
    <row r="666" spans="1:26" ht="15.75" customHeight="1">
      <c r="A666" s="264"/>
      <c r="B666" s="264"/>
      <c r="C666" s="264"/>
      <c r="D666" s="264"/>
      <c r="E666" s="264"/>
      <c r="F666" s="264"/>
      <c r="G666" s="264"/>
      <c r="H666" s="264"/>
      <c r="I666" s="264"/>
      <c r="J666" s="264"/>
      <c r="K666" s="264"/>
      <c r="L666" s="264"/>
      <c r="M666" s="264"/>
      <c r="N666" s="264"/>
      <c r="O666" s="264"/>
      <c r="P666" s="264"/>
      <c r="Q666" s="264"/>
      <c r="R666" s="264"/>
      <c r="S666" s="264"/>
      <c r="T666" s="264"/>
      <c r="U666" s="264"/>
      <c r="V666" s="264"/>
      <c r="W666" s="264"/>
      <c r="X666" s="264"/>
      <c r="Y666" s="264"/>
      <c r="Z666" s="264"/>
    </row>
    <row r="667" spans="1:26" ht="15.75" customHeight="1">
      <c r="A667" s="264"/>
      <c r="B667" s="264"/>
      <c r="C667" s="264"/>
      <c r="D667" s="264"/>
      <c r="E667" s="264"/>
      <c r="F667" s="264"/>
      <c r="G667" s="264"/>
      <c r="H667" s="264"/>
      <c r="I667" s="264"/>
      <c r="J667" s="264"/>
      <c r="K667" s="264"/>
      <c r="L667" s="264"/>
      <c r="M667" s="264"/>
      <c r="N667" s="264"/>
      <c r="O667" s="264"/>
      <c r="P667" s="264"/>
      <c r="Q667" s="264"/>
      <c r="R667" s="264"/>
      <c r="S667" s="264"/>
      <c r="T667" s="264"/>
      <c r="U667" s="264"/>
      <c r="V667" s="264"/>
      <c r="W667" s="264"/>
      <c r="X667" s="264"/>
      <c r="Y667" s="264"/>
      <c r="Z667" s="264"/>
    </row>
    <row r="668" spans="1:26" ht="15.75" customHeight="1">
      <c r="A668" s="264"/>
      <c r="B668" s="264"/>
      <c r="C668" s="264"/>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row>
    <row r="669" spans="1:26" ht="15.75" customHeight="1">
      <c r="A669" s="264"/>
      <c r="B669" s="264"/>
      <c r="C669" s="264"/>
      <c r="D669" s="264"/>
      <c r="E669" s="264"/>
      <c r="F669" s="264"/>
      <c r="G669" s="264"/>
      <c r="H669" s="264"/>
      <c r="I669" s="264"/>
      <c r="J669" s="264"/>
      <c r="K669" s="264"/>
      <c r="L669" s="264"/>
      <c r="M669" s="264"/>
      <c r="N669" s="264"/>
      <c r="O669" s="264"/>
      <c r="P669" s="264"/>
      <c r="Q669" s="264"/>
      <c r="R669" s="264"/>
      <c r="S669" s="264"/>
      <c r="T669" s="264"/>
      <c r="U669" s="264"/>
      <c r="V669" s="264"/>
      <c r="W669" s="264"/>
      <c r="X669" s="264"/>
      <c r="Y669" s="264"/>
      <c r="Z669" s="264"/>
    </row>
    <row r="670" spans="1:26" ht="15.75" customHeight="1">
      <c r="A670" s="264"/>
      <c r="B670" s="264"/>
      <c r="C670" s="264"/>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row>
    <row r="671" spans="1:26" ht="15.75" customHeight="1">
      <c r="A671" s="264"/>
      <c r="B671" s="264"/>
      <c r="C671" s="264"/>
      <c r="D671" s="264"/>
      <c r="E671" s="264"/>
      <c r="F671" s="264"/>
      <c r="G671" s="264"/>
      <c r="H671" s="264"/>
      <c r="I671" s="264"/>
      <c r="J671" s="264"/>
      <c r="K671" s="264"/>
      <c r="L671" s="264"/>
      <c r="M671" s="264"/>
      <c r="N671" s="264"/>
      <c r="O671" s="264"/>
      <c r="P671" s="264"/>
      <c r="Q671" s="264"/>
      <c r="R671" s="264"/>
      <c r="S671" s="264"/>
      <c r="T671" s="264"/>
      <c r="U671" s="264"/>
      <c r="V671" s="264"/>
      <c r="W671" s="264"/>
      <c r="X671" s="264"/>
      <c r="Y671" s="264"/>
      <c r="Z671" s="264"/>
    </row>
    <row r="672" spans="1:26" ht="15.75" customHeight="1">
      <c r="A672" s="264"/>
      <c r="B672" s="264"/>
      <c r="C672" s="264"/>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row>
    <row r="673" spans="1:26" ht="15.75" customHeight="1">
      <c r="A673" s="264"/>
      <c r="B673" s="264"/>
      <c r="C673" s="264"/>
      <c r="D673" s="264"/>
      <c r="E673" s="264"/>
      <c r="F673" s="264"/>
      <c r="G673" s="264"/>
      <c r="H673" s="264"/>
      <c r="I673" s="264"/>
      <c r="J673" s="264"/>
      <c r="K673" s="264"/>
      <c r="L673" s="264"/>
      <c r="M673" s="264"/>
      <c r="N673" s="264"/>
      <c r="O673" s="264"/>
      <c r="P673" s="264"/>
      <c r="Q673" s="264"/>
      <c r="R673" s="264"/>
      <c r="S673" s="264"/>
      <c r="T673" s="264"/>
      <c r="U673" s="264"/>
      <c r="V673" s="264"/>
      <c r="W673" s="264"/>
      <c r="X673" s="264"/>
      <c r="Y673" s="264"/>
      <c r="Z673" s="264"/>
    </row>
    <row r="674" spans="1:26" ht="15.75" customHeight="1">
      <c r="A674" s="264"/>
      <c r="B674" s="264"/>
      <c r="C674" s="264"/>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row>
    <row r="675" spans="1:26" ht="15.75" customHeight="1">
      <c r="A675" s="264"/>
      <c r="B675" s="264"/>
      <c r="C675" s="264"/>
      <c r="D675" s="264"/>
      <c r="E675" s="264"/>
      <c r="F675" s="264"/>
      <c r="G675" s="264"/>
      <c r="H675" s="264"/>
      <c r="I675" s="264"/>
      <c r="J675" s="264"/>
      <c r="K675" s="264"/>
      <c r="L675" s="264"/>
      <c r="M675" s="264"/>
      <c r="N675" s="264"/>
      <c r="O675" s="264"/>
      <c r="P675" s="264"/>
      <c r="Q675" s="264"/>
      <c r="R675" s="264"/>
      <c r="S675" s="264"/>
      <c r="T675" s="264"/>
      <c r="U675" s="264"/>
      <c r="V675" s="264"/>
      <c r="W675" s="264"/>
      <c r="X675" s="264"/>
      <c r="Y675" s="264"/>
      <c r="Z675" s="264"/>
    </row>
    <row r="676" spans="1:26" ht="15.75" customHeight="1">
      <c r="A676" s="264"/>
      <c r="B676" s="264"/>
      <c r="C676" s="264"/>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row>
    <row r="677" spans="1:26" ht="15.75" customHeight="1">
      <c r="A677" s="264"/>
      <c r="B677" s="264"/>
      <c r="C677" s="264"/>
      <c r="D677" s="264"/>
      <c r="E677" s="264"/>
      <c r="F677" s="264"/>
      <c r="G677" s="264"/>
      <c r="H677" s="264"/>
      <c r="I677" s="264"/>
      <c r="J677" s="264"/>
      <c r="K677" s="264"/>
      <c r="L677" s="264"/>
      <c r="M677" s="264"/>
      <c r="N677" s="264"/>
      <c r="O677" s="264"/>
      <c r="P677" s="264"/>
      <c r="Q677" s="264"/>
      <c r="R677" s="264"/>
      <c r="S677" s="264"/>
      <c r="T677" s="264"/>
      <c r="U677" s="264"/>
      <c r="V677" s="264"/>
      <c r="W677" s="264"/>
      <c r="X677" s="264"/>
      <c r="Y677" s="264"/>
      <c r="Z677" s="264"/>
    </row>
    <row r="678" spans="1:26" ht="15.75" customHeight="1">
      <c r="A678" s="264"/>
      <c r="B678" s="264"/>
      <c r="C678" s="264"/>
      <c r="D678" s="264"/>
      <c r="E678" s="264"/>
      <c r="F678" s="264"/>
      <c r="G678" s="264"/>
      <c r="H678" s="264"/>
      <c r="I678" s="264"/>
      <c r="J678" s="264"/>
      <c r="K678" s="264"/>
      <c r="L678" s="264"/>
      <c r="M678" s="264"/>
      <c r="N678" s="264"/>
      <c r="O678" s="264"/>
      <c r="P678" s="264"/>
      <c r="Q678" s="264"/>
      <c r="R678" s="264"/>
      <c r="S678" s="264"/>
      <c r="T678" s="264"/>
      <c r="U678" s="264"/>
      <c r="V678" s="264"/>
      <c r="W678" s="264"/>
      <c r="X678" s="264"/>
      <c r="Y678" s="264"/>
      <c r="Z678" s="264"/>
    </row>
    <row r="679" spans="1:26" ht="15.75" customHeight="1">
      <c r="A679" s="264"/>
      <c r="B679" s="264"/>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row>
    <row r="680" spans="1:26" ht="15.75" customHeight="1">
      <c r="A680" s="264"/>
      <c r="B680" s="264"/>
      <c r="C680" s="264"/>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row>
    <row r="681" spans="1:26" ht="15.75" customHeight="1">
      <c r="A681" s="264"/>
      <c r="B681" s="264"/>
      <c r="C681" s="264"/>
      <c r="D681" s="264"/>
      <c r="E681" s="264"/>
      <c r="F681" s="264"/>
      <c r="G681" s="264"/>
      <c r="H681" s="264"/>
      <c r="I681" s="264"/>
      <c r="J681" s="264"/>
      <c r="K681" s="264"/>
      <c r="L681" s="264"/>
      <c r="M681" s="264"/>
      <c r="N681" s="264"/>
      <c r="O681" s="264"/>
      <c r="P681" s="264"/>
      <c r="Q681" s="264"/>
      <c r="R681" s="264"/>
      <c r="S681" s="264"/>
      <c r="T681" s="264"/>
      <c r="U681" s="264"/>
      <c r="V681" s="264"/>
      <c r="W681" s="264"/>
      <c r="X681" s="264"/>
      <c r="Y681" s="264"/>
      <c r="Z681" s="264"/>
    </row>
    <row r="682" spans="1:26" ht="15.75" customHeight="1">
      <c r="A682" s="264"/>
      <c r="B682" s="264"/>
      <c r="C682" s="264"/>
      <c r="D682" s="264"/>
      <c r="E682" s="264"/>
      <c r="F682" s="264"/>
      <c r="G682" s="264"/>
      <c r="H682" s="264"/>
      <c r="I682" s="264"/>
      <c r="J682" s="264"/>
      <c r="K682" s="264"/>
      <c r="L682" s="264"/>
      <c r="M682" s="264"/>
      <c r="N682" s="264"/>
      <c r="O682" s="264"/>
      <c r="P682" s="264"/>
      <c r="Q682" s="264"/>
      <c r="R682" s="264"/>
      <c r="S682" s="264"/>
      <c r="T682" s="264"/>
      <c r="U682" s="264"/>
      <c r="V682" s="264"/>
      <c r="W682" s="264"/>
      <c r="X682" s="264"/>
      <c r="Y682" s="264"/>
      <c r="Z682" s="264"/>
    </row>
    <row r="683" spans="1:26" ht="15.75" customHeight="1">
      <c r="A683" s="264"/>
      <c r="B683" s="264"/>
      <c r="C683" s="264"/>
      <c r="D683" s="264"/>
      <c r="E683" s="264"/>
      <c r="F683" s="264"/>
      <c r="G683" s="264"/>
      <c r="H683" s="264"/>
      <c r="I683" s="264"/>
      <c r="J683" s="264"/>
      <c r="K683" s="264"/>
      <c r="L683" s="264"/>
      <c r="M683" s="264"/>
      <c r="N683" s="264"/>
      <c r="O683" s="264"/>
      <c r="P683" s="264"/>
      <c r="Q683" s="264"/>
      <c r="R683" s="264"/>
      <c r="S683" s="264"/>
      <c r="T683" s="264"/>
      <c r="U683" s="264"/>
      <c r="V683" s="264"/>
      <c r="W683" s="264"/>
      <c r="X683" s="264"/>
      <c r="Y683" s="264"/>
      <c r="Z683" s="264"/>
    </row>
    <row r="684" spans="1:26" ht="15.75" customHeight="1">
      <c r="A684" s="264"/>
      <c r="B684" s="264"/>
      <c r="C684" s="264"/>
      <c r="D684" s="264"/>
      <c r="E684" s="264"/>
      <c r="F684" s="264"/>
      <c r="G684" s="264"/>
      <c r="H684" s="264"/>
      <c r="I684" s="264"/>
      <c r="J684" s="264"/>
      <c r="K684" s="264"/>
      <c r="L684" s="264"/>
      <c r="M684" s="264"/>
      <c r="N684" s="264"/>
      <c r="O684" s="264"/>
      <c r="P684" s="264"/>
      <c r="Q684" s="264"/>
      <c r="R684" s="264"/>
      <c r="S684" s="264"/>
      <c r="T684" s="264"/>
      <c r="U684" s="264"/>
      <c r="V684" s="264"/>
      <c r="W684" s="264"/>
      <c r="X684" s="264"/>
      <c r="Y684" s="264"/>
      <c r="Z684" s="264"/>
    </row>
    <row r="685" spans="1:26" ht="15.75" customHeight="1">
      <c r="A685" s="264"/>
      <c r="B685" s="264"/>
      <c r="C685" s="264"/>
      <c r="D685" s="264"/>
      <c r="E685" s="264"/>
      <c r="F685" s="264"/>
      <c r="G685" s="264"/>
      <c r="H685" s="264"/>
      <c r="I685" s="264"/>
      <c r="J685" s="264"/>
      <c r="K685" s="264"/>
      <c r="L685" s="264"/>
      <c r="M685" s="264"/>
      <c r="N685" s="264"/>
      <c r="O685" s="264"/>
      <c r="P685" s="264"/>
      <c r="Q685" s="264"/>
      <c r="R685" s="264"/>
      <c r="S685" s="264"/>
      <c r="T685" s="264"/>
      <c r="U685" s="264"/>
      <c r="V685" s="264"/>
      <c r="W685" s="264"/>
      <c r="X685" s="264"/>
      <c r="Y685" s="264"/>
      <c r="Z685" s="264"/>
    </row>
    <row r="686" spans="1:26" ht="15.75" customHeight="1">
      <c r="A686" s="264"/>
      <c r="B686" s="264"/>
      <c r="C686" s="264"/>
      <c r="D686" s="264"/>
      <c r="E686" s="264"/>
      <c r="F686" s="264"/>
      <c r="G686" s="264"/>
      <c r="H686" s="264"/>
      <c r="I686" s="264"/>
      <c r="J686" s="264"/>
      <c r="K686" s="264"/>
      <c r="L686" s="264"/>
      <c r="M686" s="264"/>
      <c r="N686" s="264"/>
      <c r="O686" s="264"/>
      <c r="P686" s="264"/>
      <c r="Q686" s="264"/>
      <c r="R686" s="264"/>
      <c r="S686" s="264"/>
      <c r="T686" s="264"/>
      <c r="U686" s="264"/>
      <c r="V686" s="264"/>
      <c r="W686" s="264"/>
      <c r="X686" s="264"/>
      <c r="Y686" s="264"/>
      <c r="Z686" s="264"/>
    </row>
    <row r="687" spans="1:26" ht="15.75" customHeight="1">
      <c r="A687" s="264"/>
      <c r="B687" s="264"/>
      <c r="C687" s="264"/>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row>
    <row r="688" spans="1:26" ht="15.75" customHeight="1">
      <c r="A688" s="264"/>
      <c r="B688" s="264"/>
      <c r="C688" s="264"/>
      <c r="D688" s="264"/>
      <c r="E688" s="264"/>
      <c r="F688" s="264"/>
      <c r="G688" s="264"/>
      <c r="H688" s="264"/>
      <c r="I688" s="264"/>
      <c r="J688" s="264"/>
      <c r="K688" s="264"/>
      <c r="L688" s="264"/>
      <c r="M688" s="264"/>
      <c r="N688" s="264"/>
      <c r="O688" s="264"/>
      <c r="P688" s="264"/>
      <c r="Q688" s="264"/>
      <c r="R688" s="264"/>
      <c r="S688" s="264"/>
      <c r="T688" s="264"/>
      <c r="U688" s="264"/>
      <c r="V688" s="264"/>
      <c r="W688" s="264"/>
      <c r="X688" s="264"/>
      <c r="Y688" s="264"/>
      <c r="Z688" s="264"/>
    </row>
    <row r="689" spans="1:26" ht="15.75" customHeight="1">
      <c r="A689" s="264"/>
      <c r="B689" s="264"/>
      <c r="C689" s="264"/>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row>
    <row r="690" spans="1:26" ht="15.75" customHeight="1">
      <c r="A690" s="264"/>
      <c r="B690" s="264"/>
      <c r="C690" s="264"/>
      <c r="D690" s="264"/>
      <c r="E690" s="264"/>
      <c r="F690" s="264"/>
      <c r="G690" s="264"/>
      <c r="H690" s="264"/>
      <c r="I690" s="264"/>
      <c r="J690" s="264"/>
      <c r="K690" s="264"/>
      <c r="L690" s="264"/>
      <c r="M690" s="264"/>
      <c r="N690" s="264"/>
      <c r="O690" s="264"/>
      <c r="P690" s="264"/>
      <c r="Q690" s="264"/>
      <c r="R690" s="264"/>
      <c r="S690" s="264"/>
      <c r="T690" s="264"/>
      <c r="U690" s="264"/>
      <c r="V690" s="264"/>
      <c r="W690" s="264"/>
      <c r="X690" s="264"/>
      <c r="Y690" s="264"/>
      <c r="Z690" s="264"/>
    </row>
    <row r="691" spans="1:26" ht="15.75" customHeight="1">
      <c r="A691" s="264"/>
      <c r="B691" s="264"/>
      <c r="C691" s="264"/>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row>
    <row r="692" spans="1:26" ht="15.75" customHeight="1">
      <c r="A692" s="264"/>
      <c r="B692" s="264"/>
      <c r="C692" s="264"/>
      <c r="D692" s="264"/>
      <c r="E692" s="264"/>
      <c r="F692" s="264"/>
      <c r="G692" s="264"/>
      <c r="H692" s="264"/>
      <c r="I692" s="264"/>
      <c r="J692" s="264"/>
      <c r="K692" s="264"/>
      <c r="L692" s="264"/>
      <c r="M692" s="264"/>
      <c r="N692" s="264"/>
      <c r="O692" s="264"/>
      <c r="P692" s="264"/>
      <c r="Q692" s="264"/>
      <c r="R692" s="264"/>
      <c r="S692" s="264"/>
      <c r="T692" s="264"/>
      <c r="U692" s="264"/>
      <c r="V692" s="264"/>
      <c r="W692" s="264"/>
      <c r="X692" s="264"/>
      <c r="Y692" s="264"/>
      <c r="Z692" s="264"/>
    </row>
    <row r="693" spans="1:26" ht="15.75" customHeight="1">
      <c r="A693" s="264"/>
      <c r="B693" s="264"/>
      <c r="C693" s="264"/>
      <c r="D693" s="264"/>
      <c r="E693" s="264"/>
      <c r="F693" s="264"/>
      <c r="G693" s="264"/>
      <c r="H693" s="264"/>
      <c r="I693" s="264"/>
      <c r="J693" s="264"/>
      <c r="K693" s="264"/>
      <c r="L693" s="264"/>
      <c r="M693" s="264"/>
      <c r="N693" s="264"/>
      <c r="O693" s="264"/>
      <c r="P693" s="264"/>
      <c r="Q693" s="264"/>
      <c r="R693" s="264"/>
      <c r="S693" s="264"/>
      <c r="T693" s="264"/>
      <c r="U693" s="264"/>
      <c r="V693" s="264"/>
      <c r="W693" s="264"/>
      <c r="X693" s="264"/>
      <c r="Y693" s="264"/>
      <c r="Z693" s="264"/>
    </row>
    <row r="694" spans="1:26" ht="15.75" customHeight="1">
      <c r="A694" s="264"/>
      <c r="B694" s="264"/>
      <c r="C694" s="264"/>
      <c r="D694" s="264"/>
      <c r="E694" s="264"/>
      <c r="F694" s="264"/>
      <c r="G694" s="264"/>
      <c r="H694" s="264"/>
      <c r="I694" s="264"/>
      <c r="J694" s="264"/>
      <c r="K694" s="264"/>
      <c r="L694" s="264"/>
      <c r="M694" s="264"/>
      <c r="N694" s="264"/>
      <c r="O694" s="264"/>
      <c r="P694" s="264"/>
      <c r="Q694" s="264"/>
      <c r="R694" s="264"/>
      <c r="S694" s="264"/>
      <c r="T694" s="264"/>
      <c r="U694" s="264"/>
      <c r="V694" s="264"/>
      <c r="W694" s="264"/>
      <c r="X694" s="264"/>
      <c r="Y694" s="264"/>
      <c r="Z694" s="264"/>
    </row>
    <row r="695" spans="1:26" ht="15.75" customHeight="1">
      <c r="A695" s="264"/>
      <c r="B695" s="264"/>
      <c r="C695" s="264"/>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row>
    <row r="696" spans="1:26" ht="15.75" customHeight="1">
      <c r="A696" s="264"/>
      <c r="B696" s="264"/>
      <c r="C696" s="264"/>
      <c r="D696" s="264"/>
      <c r="E696" s="264"/>
      <c r="F696" s="264"/>
      <c r="G696" s="264"/>
      <c r="H696" s="264"/>
      <c r="I696" s="264"/>
      <c r="J696" s="264"/>
      <c r="K696" s="264"/>
      <c r="L696" s="264"/>
      <c r="M696" s="264"/>
      <c r="N696" s="264"/>
      <c r="O696" s="264"/>
      <c r="P696" s="264"/>
      <c r="Q696" s="264"/>
      <c r="R696" s="264"/>
      <c r="S696" s="264"/>
      <c r="T696" s="264"/>
      <c r="U696" s="264"/>
      <c r="V696" s="264"/>
      <c r="W696" s="264"/>
      <c r="X696" s="264"/>
      <c r="Y696" s="264"/>
      <c r="Z696" s="264"/>
    </row>
    <row r="697" spans="1:26" ht="15.75" customHeight="1">
      <c r="A697" s="264"/>
      <c r="B697" s="264"/>
      <c r="C697" s="264"/>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row>
    <row r="698" spans="1:26" ht="15.75" customHeight="1">
      <c r="A698" s="264"/>
      <c r="B698" s="264"/>
      <c r="C698" s="264"/>
      <c r="D698" s="264"/>
      <c r="E698" s="264"/>
      <c r="F698" s="264"/>
      <c r="G698" s="264"/>
      <c r="H698" s="264"/>
      <c r="I698" s="264"/>
      <c r="J698" s="264"/>
      <c r="K698" s="264"/>
      <c r="L698" s="264"/>
      <c r="M698" s="264"/>
      <c r="N698" s="264"/>
      <c r="O698" s="264"/>
      <c r="P698" s="264"/>
      <c r="Q698" s="264"/>
      <c r="R698" s="264"/>
      <c r="S698" s="264"/>
      <c r="T698" s="264"/>
      <c r="U698" s="264"/>
      <c r="V698" s="264"/>
      <c r="W698" s="264"/>
      <c r="X698" s="264"/>
      <c r="Y698" s="264"/>
      <c r="Z698" s="264"/>
    </row>
    <row r="699" spans="1:26" ht="15.75" customHeight="1">
      <c r="A699" s="264"/>
      <c r="B699" s="264"/>
      <c r="C699" s="264"/>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row>
    <row r="700" spans="1:26" ht="15.75" customHeight="1">
      <c r="A700" s="264"/>
      <c r="B700" s="264"/>
      <c r="C700" s="264"/>
      <c r="D700" s="264"/>
      <c r="E700" s="264"/>
      <c r="F700" s="264"/>
      <c r="G700" s="264"/>
      <c r="H700" s="264"/>
      <c r="I700" s="264"/>
      <c r="J700" s="264"/>
      <c r="K700" s="264"/>
      <c r="L700" s="264"/>
      <c r="M700" s="264"/>
      <c r="N700" s="264"/>
      <c r="O700" s="264"/>
      <c r="P700" s="264"/>
      <c r="Q700" s="264"/>
      <c r="R700" s="264"/>
      <c r="S700" s="264"/>
      <c r="T700" s="264"/>
      <c r="U700" s="264"/>
      <c r="V700" s="264"/>
      <c r="W700" s="264"/>
      <c r="X700" s="264"/>
      <c r="Y700" s="264"/>
      <c r="Z700" s="264"/>
    </row>
    <row r="701" spans="1:26" ht="15.75" customHeight="1">
      <c r="A701" s="264"/>
      <c r="B701" s="264"/>
      <c r="C701" s="264"/>
      <c r="D701" s="264"/>
      <c r="E701" s="264"/>
      <c r="F701" s="264"/>
      <c r="G701" s="264"/>
      <c r="H701" s="264"/>
      <c r="I701" s="264"/>
      <c r="J701" s="264"/>
      <c r="K701" s="264"/>
      <c r="L701" s="264"/>
      <c r="M701" s="264"/>
      <c r="N701" s="264"/>
      <c r="O701" s="264"/>
      <c r="P701" s="264"/>
      <c r="Q701" s="264"/>
      <c r="R701" s="264"/>
      <c r="S701" s="264"/>
      <c r="T701" s="264"/>
      <c r="U701" s="264"/>
      <c r="V701" s="264"/>
      <c r="W701" s="264"/>
      <c r="X701" s="264"/>
      <c r="Y701" s="264"/>
      <c r="Z701" s="264"/>
    </row>
    <row r="702" spans="1:26" ht="15.75" customHeight="1">
      <c r="A702" s="264"/>
      <c r="B702" s="264"/>
      <c r="C702" s="264"/>
      <c r="D702" s="264"/>
      <c r="E702" s="264"/>
      <c r="F702" s="264"/>
      <c r="G702" s="264"/>
      <c r="H702" s="264"/>
      <c r="I702" s="264"/>
      <c r="J702" s="264"/>
      <c r="K702" s="264"/>
      <c r="L702" s="264"/>
      <c r="M702" s="264"/>
      <c r="N702" s="264"/>
      <c r="O702" s="264"/>
      <c r="P702" s="264"/>
      <c r="Q702" s="264"/>
      <c r="R702" s="264"/>
      <c r="S702" s="264"/>
      <c r="T702" s="264"/>
      <c r="U702" s="264"/>
      <c r="V702" s="264"/>
      <c r="W702" s="264"/>
      <c r="X702" s="264"/>
      <c r="Y702" s="264"/>
      <c r="Z702" s="264"/>
    </row>
    <row r="703" spans="1:26" ht="15.75" customHeight="1">
      <c r="A703" s="264"/>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row>
    <row r="704" spans="1:26" ht="15.75" customHeight="1">
      <c r="A704" s="264"/>
      <c r="B704" s="264"/>
      <c r="C704" s="264"/>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row>
    <row r="705" spans="1:26" ht="15.75" customHeight="1">
      <c r="A705" s="264"/>
      <c r="B705" s="264"/>
      <c r="C705" s="264"/>
      <c r="D705" s="264"/>
      <c r="E705" s="264"/>
      <c r="F705" s="264"/>
      <c r="G705" s="264"/>
      <c r="H705" s="264"/>
      <c r="I705" s="264"/>
      <c r="J705" s="264"/>
      <c r="K705" s="264"/>
      <c r="L705" s="264"/>
      <c r="M705" s="264"/>
      <c r="N705" s="264"/>
      <c r="O705" s="264"/>
      <c r="P705" s="264"/>
      <c r="Q705" s="264"/>
      <c r="R705" s="264"/>
      <c r="S705" s="264"/>
      <c r="T705" s="264"/>
      <c r="U705" s="264"/>
      <c r="V705" s="264"/>
      <c r="W705" s="264"/>
      <c r="X705" s="264"/>
      <c r="Y705" s="264"/>
      <c r="Z705" s="264"/>
    </row>
    <row r="706" spans="1:26" ht="15.75" customHeight="1">
      <c r="A706" s="264"/>
      <c r="B706" s="264"/>
      <c r="C706" s="264"/>
      <c r="D706" s="264"/>
      <c r="E706" s="264"/>
      <c r="F706" s="264"/>
      <c r="G706" s="264"/>
      <c r="H706" s="264"/>
      <c r="I706" s="264"/>
      <c r="J706" s="264"/>
      <c r="K706" s="264"/>
      <c r="L706" s="264"/>
      <c r="M706" s="264"/>
      <c r="N706" s="264"/>
      <c r="O706" s="264"/>
      <c r="P706" s="264"/>
      <c r="Q706" s="264"/>
      <c r="R706" s="264"/>
      <c r="S706" s="264"/>
      <c r="T706" s="264"/>
      <c r="U706" s="264"/>
      <c r="V706" s="264"/>
      <c r="W706" s="264"/>
      <c r="X706" s="264"/>
      <c r="Y706" s="264"/>
      <c r="Z706" s="264"/>
    </row>
    <row r="707" spans="1:26" ht="15.75" customHeight="1">
      <c r="A707" s="264"/>
      <c r="B707" s="264"/>
      <c r="C707" s="264"/>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row>
    <row r="708" spans="1:26" ht="15.75" customHeight="1">
      <c r="A708" s="264"/>
      <c r="B708" s="264"/>
      <c r="C708" s="264"/>
      <c r="D708" s="264"/>
      <c r="E708" s="264"/>
      <c r="F708" s="264"/>
      <c r="G708" s="264"/>
      <c r="H708" s="264"/>
      <c r="I708" s="264"/>
      <c r="J708" s="264"/>
      <c r="K708" s="264"/>
      <c r="L708" s="264"/>
      <c r="M708" s="264"/>
      <c r="N708" s="264"/>
      <c r="O708" s="264"/>
      <c r="P708" s="264"/>
      <c r="Q708" s="264"/>
      <c r="R708" s="264"/>
      <c r="S708" s="264"/>
      <c r="T708" s="264"/>
      <c r="U708" s="264"/>
      <c r="V708" s="264"/>
      <c r="W708" s="264"/>
      <c r="X708" s="264"/>
      <c r="Y708" s="264"/>
      <c r="Z708" s="264"/>
    </row>
    <row r="709" spans="1:26" ht="15.75" customHeight="1">
      <c r="A709" s="264"/>
      <c r="B709" s="264"/>
      <c r="C709" s="264"/>
      <c r="D709" s="264"/>
      <c r="E709" s="264"/>
      <c r="F709" s="264"/>
      <c r="G709" s="264"/>
      <c r="H709" s="264"/>
      <c r="I709" s="264"/>
      <c r="J709" s="264"/>
      <c r="K709" s="264"/>
      <c r="L709" s="264"/>
      <c r="M709" s="264"/>
      <c r="N709" s="264"/>
      <c r="O709" s="264"/>
      <c r="P709" s="264"/>
      <c r="Q709" s="264"/>
      <c r="R709" s="264"/>
      <c r="S709" s="264"/>
      <c r="T709" s="264"/>
      <c r="U709" s="264"/>
      <c r="V709" s="264"/>
      <c r="W709" s="264"/>
      <c r="X709" s="264"/>
      <c r="Y709" s="264"/>
      <c r="Z709" s="264"/>
    </row>
    <row r="710" spans="1:26" ht="15.75" customHeight="1">
      <c r="A710" s="264"/>
      <c r="B710" s="264"/>
      <c r="C710" s="264"/>
      <c r="D710" s="264"/>
      <c r="E710" s="264"/>
      <c r="F710" s="264"/>
      <c r="G710" s="264"/>
      <c r="H710" s="264"/>
      <c r="I710" s="264"/>
      <c r="J710" s="264"/>
      <c r="K710" s="264"/>
      <c r="L710" s="264"/>
      <c r="M710" s="264"/>
      <c r="N710" s="264"/>
      <c r="O710" s="264"/>
      <c r="P710" s="264"/>
      <c r="Q710" s="264"/>
      <c r="R710" s="264"/>
      <c r="S710" s="264"/>
      <c r="T710" s="264"/>
      <c r="U710" s="264"/>
      <c r="V710" s="264"/>
      <c r="W710" s="264"/>
      <c r="X710" s="264"/>
      <c r="Y710" s="264"/>
      <c r="Z710" s="264"/>
    </row>
    <row r="711" spans="1:26" ht="15.75" customHeight="1">
      <c r="A711" s="264"/>
      <c r="B711" s="264"/>
      <c r="C711" s="264"/>
      <c r="D711" s="264"/>
      <c r="E711" s="264"/>
      <c r="F711" s="264"/>
      <c r="G711" s="264"/>
      <c r="H711" s="264"/>
      <c r="I711" s="264"/>
      <c r="J711" s="264"/>
      <c r="K711" s="264"/>
      <c r="L711" s="264"/>
      <c r="M711" s="264"/>
      <c r="N711" s="264"/>
      <c r="O711" s="264"/>
      <c r="P711" s="264"/>
      <c r="Q711" s="264"/>
      <c r="R711" s="264"/>
      <c r="S711" s="264"/>
      <c r="T711" s="264"/>
      <c r="U711" s="264"/>
      <c r="V711" s="264"/>
      <c r="W711" s="264"/>
      <c r="X711" s="264"/>
      <c r="Y711" s="264"/>
      <c r="Z711" s="264"/>
    </row>
    <row r="712" spans="1:26" ht="15.75" customHeight="1">
      <c r="A712" s="264"/>
      <c r="B712" s="264"/>
      <c r="C712" s="264"/>
      <c r="D712" s="264"/>
      <c r="E712" s="264"/>
      <c r="F712" s="264"/>
      <c r="G712" s="264"/>
      <c r="H712" s="264"/>
      <c r="I712" s="264"/>
      <c r="J712" s="264"/>
      <c r="K712" s="264"/>
      <c r="L712" s="264"/>
      <c r="M712" s="264"/>
      <c r="N712" s="264"/>
      <c r="O712" s="264"/>
      <c r="P712" s="264"/>
      <c r="Q712" s="264"/>
      <c r="R712" s="264"/>
      <c r="S712" s="264"/>
      <c r="T712" s="264"/>
      <c r="U712" s="264"/>
      <c r="V712" s="264"/>
      <c r="W712" s="264"/>
      <c r="X712" s="264"/>
      <c r="Y712" s="264"/>
      <c r="Z712" s="264"/>
    </row>
    <row r="713" spans="1:26" ht="15.75" customHeight="1">
      <c r="A713" s="264"/>
      <c r="B713" s="264"/>
      <c r="C713" s="264"/>
      <c r="D713" s="264"/>
      <c r="E713" s="264"/>
      <c r="F713" s="264"/>
      <c r="G713" s="264"/>
      <c r="H713" s="264"/>
      <c r="I713" s="264"/>
      <c r="J713" s="264"/>
      <c r="K713" s="264"/>
      <c r="L713" s="264"/>
      <c r="M713" s="264"/>
      <c r="N713" s="264"/>
      <c r="O713" s="264"/>
      <c r="P713" s="264"/>
      <c r="Q713" s="264"/>
      <c r="R713" s="264"/>
      <c r="S713" s="264"/>
      <c r="T713" s="264"/>
      <c r="U713" s="264"/>
      <c r="V713" s="264"/>
      <c r="W713" s="264"/>
      <c r="X713" s="264"/>
      <c r="Y713" s="264"/>
      <c r="Z713" s="264"/>
    </row>
    <row r="714" spans="1:26" ht="15.75" customHeight="1">
      <c r="A714" s="264"/>
      <c r="B714" s="264"/>
      <c r="C714" s="264"/>
      <c r="D714" s="264"/>
      <c r="E714" s="264"/>
      <c r="F714" s="264"/>
      <c r="G714" s="264"/>
      <c r="H714" s="264"/>
      <c r="I714" s="264"/>
      <c r="J714" s="264"/>
      <c r="K714" s="264"/>
      <c r="L714" s="264"/>
      <c r="M714" s="264"/>
      <c r="N714" s="264"/>
      <c r="O714" s="264"/>
      <c r="P714" s="264"/>
      <c r="Q714" s="264"/>
      <c r="R714" s="264"/>
      <c r="S714" s="264"/>
      <c r="T714" s="264"/>
      <c r="U714" s="264"/>
      <c r="V714" s="264"/>
      <c r="W714" s="264"/>
      <c r="X714" s="264"/>
      <c r="Y714" s="264"/>
      <c r="Z714" s="264"/>
    </row>
    <row r="715" spans="1:26" ht="15.75" customHeight="1">
      <c r="A715" s="264"/>
      <c r="B715" s="264"/>
      <c r="C715" s="264"/>
      <c r="D715" s="264"/>
      <c r="E715" s="264"/>
      <c r="F715" s="264"/>
      <c r="G715" s="264"/>
      <c r="H715" s="264"/>
      <c r="I715" s="264"/>
      <c r="J715" s="264"/>
      <c r="K715" s="264"/>
      <c r="L715" s="264"/>
      <c r="M715" s="264"/>
      <c r="N715" s="264"/>
      <c r="O715" s="264"/>
      <c r="P715" s="264"/>
      <c r="Q715" s="264"/>
      <c r="R715" s="264"/>
      <c r="S715" s="264"/>
      <c r="T715" s="264"/>
      <c r="U715" s="264"/>
      <c r="V715" s="264"/>
      <c r="W715" s="264"/>
      <c r="X715" s="264"/>
      <c r="Y715" s="264"/>
      <c r="Z715" s="264"/>
    </row>
    <row r="716" spans="1:26" ht="15.75" customHeight="1">
      <c r="A716" s="264"/>
      <c r="B716" s="264"/>
      <c r="C716" s="264"/>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row>
    <row r="717" spans="1:26" ht="15.75" customHeight="1">
      <c r="A717" s="264"/>
      <c r="B717" s="264"/>
      <c r="C717" s="264"/>
      <c r="D717" s="264"/>
      <c r="E717" s="264"/>
      <c r="F717" s="264"/>
      <c r="G717" s="264"/>
      <c r="H717" s="264"/>
      <c r="I717" s="264"/>
      <c r="J717" s="264"/>
      <c r="K717" s="264"/>
      <c r="L717" s="264"/>
      <c r="M717" s="264"/>
      <c r="N717" s="264"/>
      <c r="O717" s="264"/>
      <c r="P717" s="264"/>
      <c r="Q717" s="264"/>
      <c r="R717" s="264"/>
      <c r="S717" s="264"/>
      <c r="T717" s="264"/>
      <c r="U717" s="264"/>
      <c r="V717" s="264"/>
      <c r="W717" s="264"/>
      <c r="X717" s="264"/>
      <c r="Y717" s="264"/>
      <c r="Z717" s="264"/>
    </row>
    <row r="718" spans="1:26" ht="15.75" customHeight="1">
      <c r="A718" s="264"/>
      <c r="B718" s="264"/>
      <c r="C718" s="264"/>
      <c r="D718" s="264"/>
      <c r="E718" s="264"/>
      <c r="F718" s="264"/>
      <c r="G718" s="264"/>
      <c r="H718" s="264"/>
      <c r="I718" s="264"/>
      <c r="J718" s="264"/>
      <c r="K718" s="264"/>
      <c r="L718" s="264"/>
      <c r="M718" s="264"/>
      <c r="N718" s="264"/>
      <c r="O718" s="264"/>
      <c r="P718" s="264"/>
      <c r="Q718" s="264"/>
      <c r="R718" s="264"/>
      <c r="S718" s="264"/>
      <c r="T718" s="264"/>
      <c r="U718" s="264"/>
      <c r="V718" s="264"/>
      <c r="W718" s="264"/>
      <c r="X718" s="264"/>
      <c r="Y718" s="264"/>
      <c r="Z718" s="264"/>
    </row>
    <row r="719" spans="1:26" ht="15.75" customHeight="1">
      <c r="A719" s="264"/>
      <c r="B719" s="264"/>
      <c r="C719" s="264"/>
      <c r="D719" s="264"/>
      <c r="E719" s="264"/>
      <c r="F719" s="264"/>
      <c r="G719" s="264"/>
      <c r="H719" s="264"/>
      <c r="I719" s="264"/>
      <c r="J719" s="264"/>
      <c r="K719" s="264"/>
      <c r="L719" s="264"/>
      <c r="M719" s="264"/>
      <c r="N719" s="264"/>
      <c r="O719" s="264"/>
      <c r="P719" s="264"/>
      <c r="Q719" s="264"/>
      <c r="R719" s="264"/>
      <c r="S719" s="264"/>
      <c r="T719" s="264"/>
      <c r="U719" s="264"/>
      <c r="V719" s="264"/>
      <c r="W719" s="264"/>
      <c r="X719" s="264"/>
      <c r="Y719" s="264"/>
      <c r="Z719" s="264"/>
    </row>
    <row r="720" spans="1:26" ht="15.75" customHeight="1">
      <c r="A720" s="264"/>
      <c r="B720" s="264"/>
      <c r="C720" s="264"/>
      <c r="D720" s="264"/>
      <c r="E720" s="264"/>
      <c r="F720" s="264"/>
      <c r="G720" s="264"/>
      <c r="H720" s="264"/>
      <c r="I720" s="264"/>
      <c r="J720" s="264"/>
      <c r="K720" s="264"/>
      <c r="L720" s="264"/>
      <c r="M720" s="264"/>
      <c r="N720" s="264"/>
      <c r="O720" s="264"/>
      <c r="P720" s="264"/>
      <c r="Q720" s="264"/>
      <c r="R720" s="264"/>
      <c r="S720" s="264"/>
      <c r="T720" s="264"/>
      <c r="U720" s="264"/>
      <c r="V720" s="264"/>
      <c r="W720" s="264"/>
      <c r="X720" s="264"/>
      <c r="Y720" s="264"/>
      <c r="Z720" s="264"/>
    </row>
    <row r="721" spans="1:26" ht="15.75" customHeight="1">
      <c r="A721" s="264"/>
      <c r="B721" s="264"/>
      <c r="C721" s="264"/>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row>
    <row r="722" spans="1:26" ht="15.75" customHeight="1">
      <c r="A722" s="264"/>
      <c r="B722" s="264"/>
      <c r="C722" s="264"/>
      <c r="D722" s="264"/>
      <c r="E722" s="264"/>
      <c r="F722" s="264"/>
      <c r="G722" s="264"/>
      <c r="H722" s="264"/>
      <c r="I722" s="264"/>
      <c r="J722" s="264"/>
      <c r="K722" s="264"/>
      <c r="L722" s="264"/>
      <c r="M722" s="264"/>
      <c r="N722" s="264"/>
      <c r="O722" s="264"/>
      <c r="P722" s="264"/>
      <c r="Q722" s="264"/>
      <c r="R722" s="264"/>
      <c r="S722" s="264"/>
      <c r="T722" s="264"/>
      <c r="U722" s="264"/>
      <c r="V722" s="264"/>
      <c r="W722" s="264"/>
      <c r="X722" s="264"/>
      <c r="Y722" s="264"/>
      <c r="Z722" s="264"/>
    </row>
    <row r="723" spans="1:26" ht="15.75" customHeight="1">
      <c r="A723" s="264"/>
      <c r="B723" s="264"/>
      <c r="C723" s="264"/>
      <c r="D723" s="264"/>
      <c r="E723" s="264"/>
      <c r="F723" s="264"/>
      <c r="G723" s="264"/>
      <c r="H723" s="264"/>
      <c r="I723" s="264"/>
      <c r="J723" s="264"/>
      <c r="K723" s="264"/>
      <c r="L723" s="264"/>
      <c r="M723" s="264"/>
      <c r="N723" s="264"/>
      <c r="O723" s="264"/>
      <c r="P723" s="264"/>
      <c r="Q723" s="264"/>
      <c r="R723" s="264"/>
      <c r="S723" s="264"/>
      <c r="T723" s="264"/>
      <c r="U723" s="264"/>
      <c r="V723" s="264"/>
      <c r="W723" s="264"/>
      <c r="X723" s="264"/>
      <c r="Y723" s="264"/>
      <c r="Z723" s="264"/>
    </row>
    <row r="724" spans="1:26" ht="15.75" customHeight="1">
      <c r="A724" s="264"/>
      <c r="B724" s="264"/>
      <c r="C724" s="264"/>
      <c r="D724" s="264"/>
      <c r="E724" s="264"/>
      <c r="F724" s="264"/>
      <c r="G724" s="264"/>
      <c r="H724" s="264"/>
      <c r="I724" s="264"/>
      <c r="J724" s="264"/>
      <c r="K724" s="264"/>
      <c r="L724" s="264"/>
      <c r="M724" s="264"/>
      <c r="N724" s="264"/>
      <c r="O724" s="264"/>
      <c r="P724" s="264"/>
      <c r="Q724" s="264"/>
      <c r="R724" s="264"/>
      <c r="S724" s="264"/>
      <c r="T724" s="264"/>
      <c r="U724" s="264"/>
      <c r="V724" s="264"/>
      <c r="W724" s="264"/>
      <c r="X724" s="264"/>
      <c r="Y724" s="264"/>
      <c r="Z724" s="264"/>
    </row>
    <row r="725" spans="1:26" ht="15.75" customHeight="1">
      <c r="A725" s="264"/>
      <c r="B725" s="264"/>
      <c r="C725" s="264"/>
      <c r="D725" s="264"/>
      <c r="E725" s="264"/>
      <c r="F725" s="264"/>
      <c r="G725" s="264"/>
      <c r="H725" s="264"/>
      <c r="I725" s="264"/>
      <c r="J725" s="264"/>
      <c r="K725" s="264"/>
      <c r="L725" s="264"/>
      <c r="M725" s="264"/>
      <c r="N725" s="264"/>
      <c r="O725" s="264"/>
      <c r="P725" s="264"/>
      <c r="Q725" s="264"/>
      <c r="R725" s="264"/>
      <c r="S725" s="264"/>
      <c r="T725" s="264"/>
      <c r="U725" s="264"/>
      <c r="V725" s="264"/>
      <c r="W725" s="264"/>
      <c r="X725" s="264"/>
      <c r="Y725" s="264"/>
      <c r="Z725" s="264"/>
    </row>
    <row r="726" spans="1:26" ht="15.75" customHeight="1">
      <c r="A726" s="264"/>
      <c r="B726" s="264"/>
      <c r="C726" s="264"/>
      <c r="D726" s="264"/>
      <c r="E726" s="264"/>
      <c r="F726" s="264"/>
      <c r="G726" s="264"/>
      <c r="H726" s="264"/>
      <c r="I726" s="264"/>
      <c r="J726" s="264"/>
      <c r="K726" s="264"/>
      <c r="L726" s="264"/>
      <c r="M726" s="264"/>
      <c r="N726" s="264"/>
      <c r="O726" s="264"/>
      <c r="P726" s="264"/>
      <c r="Q726" s="264"/>
      <c r="R726" s="264"/>
      <c r="S726" s="264"/>
      <c r="T726" s="264"/>
      <c r="U726" s="264"/>
      <c r="V726" s="264"/>
      <c r="W726" s="264"/>
      <c r="X726" s="264"/>
      <c r="Y726" s="264"/>
      <c r="Z726" s="264"/>
    </row>
    <row r="727" spans="1:26" ht="15.75" customHeight="1">
      <c r="A727" s="264"/>
      <c r="B727" s="264"/>
      <c r="C727" s="264"/>
      <c r="D727" s="264"/>
      <c r="E727" s="264"/>
      <c r="F727" s="264"/>
      <c r="G727" s="264"/>
      <c r="H727" s="264"/>
      <c r="I727" s="264"/>
      <c r="J727" s="264"/>
      <c r="K727" s="264"/>
      <c r="L727" s="264"/>
      <c r="M727" s="264"/>
      <c r="N727" s="264"/>
      <c r="O727" s="264"/>
      <c r="P727" s="264"/>
      <c r="Q727" s="264"/>
      <c r="R727" s="264"/>
      <c r="S727" s="264"/>
      <c r="T727" s="264"/>
      <c r="U727" s="264"/>
      <c r="V727" s="264"/>
      <c r="W727" s="264"/>
      <c r="X727" s="264"/>
      <c r="Y727" s="264"/>
      <c r="Z727" s="264"/>
    </row>
    <row r="728" spans="1:26" ht="15.75" customHeight="1">
      <c r="A728" s="264"/>
      <c r="B728" s="264"/>
      <c r="C728" s="264"/>
      <c r="D728" s="264"/>
      <c r="E728" s="264"/>
      <c r="F728" s="264"/>
      <c r="G728" s="264"/>
      <c r="H728" s="264"/>
      <c r="I728" s="264"/>
      <c r="J728" s="264"/>
      <c r="K728" s="264"/>
      <c r="L728" s="264"/>
      <c r="M728" s="264"/>
      <c r="N728" s="264"/>
      <c r="O728" s="264"/>
      <c r="P728" s="264"/>
      <c r="Q728" s="264"/>
      <c r="R728" s="264"/>
      <c r="S728" s="264"/>
      <c r="T728" s="264"/>
      <c r="U728" s="264"/>
      <c r="V728" s="264"/>
      <c r="W728" s="264"/>
      <c r="X728" s="264"/>
      <c r="Y728" s="264"/>
      <c r="Z728" s="264"/>
    </row>
    <row r="729" spans="1:26" ht="15.75" customHeight="1">
      <c r="A729" s="264"/>
      <c r="B729" s="264"/>
      <c r="C729" s="264"/>
      <c r="D729" s="264"/>
      <c r="E729" s="264"/>
      <c r="F729" s="264"/>
      <c r="G729" s="264"/>
      <c r="H729" s="264"/>
      <c r="I729" s="264"/>
      <c r="J729" s="264"/>
      <c r="K729" s="264"/>
      <c r="L729" s="264"/>
      <c r="M729" s="264"/>
      <c r="N729" s="264"/>
      <c r="O729" s="264"/>
      <c r="P729" s="264"/>
      <c r="Q729" s="264"/>
      <c r="R729" s="264"/>
      <c r="S729" s="264"/>
      <c r="T729" s="264"/>
      <c r="U729" s="264"/>
      <c r="V729" s="264"/>
      <c r="W729" s="264"/>
      <c r="X729" s="264"/>
      <c r="Y729" s="264"/>
      <c r="Z729" s="264"/>
    </row>
    <row r="730" spans="1:26" ht="15.75" customHeight="1">
      <c r="A730" s="264"/>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row>
    <row r="731" spans="1:26" ht="15.75" customHeight="1">
      <c r="A731" s="264"/>
      <c r="B731" s="264"/>
      <c r="C731" s="264"/>
      <c r="D731" s="264"/>
      <c r="E731" s="264"/>
      <c r="F731" s="264"/>
      <c r="G731" s="264"/>
      <c r="H731" s="264"/>
      <c r="I731" s="264"/>
      <c r="J731" s="264"/>
      <c r="K731" s="264"/>
      <c r="L731" s="264"/>
      <c r="M731" s="264"/>
      <c r="N731" s="264"/>
      <c r="O731" s="264"/>
      <c r="P731" s="264"/>
      <c r="Q731" s="264"/>
      <c r="R731" s="264"/>
      <c r="S731" s="264"/>
      <c r="T731" s="264"/>
      <c r="U731" s="264"/>
      <c r="V731" s="264"/>
      <c r="W731" s="264"/>
      <c r="X731" s="264"/>
      <c r="Y731" s="264"/>
      <c r="Z731" s="264"/>
    </row>
    <row r="732" spans="1:26" ht="15.75" customHeight="1">
      <c r="A732" s="264"/>
      <c r="B732" s="264"/>
      <c r="C732" s="264"/>
      <c r="D732" s="264"/>
      <c r="E732" s="264"/>
      <c r="F732" s="264"/>
      <c r="G732" s="264"/>
      <c r="H732" s="264"/>
      <c r="I732" s="264"/>
      <c r="J732" s="264"/>
      <c r="K732" s="264"/>
      <c r="L732" s="264"/>
      <c r="M732" s="264"/>
      <c r="N732" s="264"/>
      <c r="O732" s="264"/>
      <c r="P732" s="264"/>
      <c r="Q732" s="264"/>
      <c r="R732" s="264"/>
      <c r="S732" s="264"/>
      <c r="T732" s="264"/>
      <c r="U732" s="264"/>
      <c r="V732" s="264"/>
      <c r="W732" s="264"/>
      <c r="X732" s="264"/>
      <c r="Y732" s="264"/>
      <c r="Z732" s="264"/>
    </row>
    <row r="733" spans="1:26" ht="15.75" customHeight="1">
      <c r="A733" s="264"/>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row>
    <row r="734" spans="1:26" ht="15.75" customHeight="1">
      <c r="A734" s="264"/>
      <c r="B734" s="264"/>
      <c r="C734" s="264"/>
      <c r="D734" s="264"/>
      <c r="E734" s="264"/>
      <c r="F734" s="264"/>
      <c r="G734" s="264"/>
      <c r="H734" s="264"/>
      <c r="I734" s="264"/>
      <c r="J734" s="264"/>
      <c r="K734" s="264"/>
      <c r="L734" s="264"/>
      <c r="M734" s="264"/>
      <c r="N734" s="264"/>
      <c r="O734" s="264"/>
      <c r="P734" s="264"/>
      <c r="Q734" s="264"/>
      <c r="R734" s="264"/>
      <c r="S734" s="264"/>
      <c r="T734" s="264"/>
      <c r="U734" s="264"/>
      <c r="V734" s="264"/>
      <c r="W734" s="264"/>
      <c r="X734" s="264"/>
      <c r="Y734" s="264"/>
      <c r="Z734" s="264"/>
    </row>
    <row r="735" spans="1:26" ht="15.75" customHeight="1">
      <c r="A735" s="264"/>
      <c r="B735" s="264"/>
      <c r="C735" s="264"/>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row>
    <row r="736" spans="1:26" ht="15.75" customHeight="1">
      <c r="A736" s="264"/>
      <c r="B736" s="264"/>
      <c r="C736" s="264"/>
      <c r="D736" s="264"/>
      <c r="E736" s="264"/>
      <c r="F736" s="264"/>
      <c r="G736" s="264"/>
      <c r="H736" s="264"/>
      <c r="I736" s="264"/>
      <c r="J736" s="264"/>
      <c r="K736" s="264"/>
      <c r="L736" s="264"/>
      <c r="M736" s="264"/>
      <c r="N736" s="264"/>
      <c r="O736" s="264"/>
      <c r="P736" s="264"/>
      <c r="Q736" s="264"/>
      <c r="R736" s="264"/>
      <c r="S736" s="264"/>
      <c r="T736" s="264"/>
      <c r="U736" s="264"/>
      <c r="V736" s="264"/>
      <c r="W736" s="264"/>
      <c r="X736" s="264"/>
      <c r="Y736" s="264"/>
      <c r="Z736" s="264"/>
    </row>
    <row r="737" spans="1:26" ht="15.75" customHeight="1">
      <c r="A737" s="264"/>
      <c r="B737" s="264"/>
      <c r="C737" s="264"/>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row>
    <row r="738" spans="1:26" ht="15.75" customHeight="1">
      <c r="A738" s="264"/>
      <c r="B738" s="264"/>
      <c r="C738" s="264"/>
      <c r="D738" s="264"/>
      <c r="E738" s="264"/>
      <c r="F738" s="264"/>
      <c r="G738" s="264"/>
      <c r="H738" s="264"/>
      <c r="I738" s="264"/>
      <c r="J738" s="264"/>
      <c r="K738" s="264"/>
      <c r="L738" s="264"/>
      <c r="M738" s="264"/>
      <c r="N738" s="264"/>
      <c r="O738" s="264"/>
      <c r="P738" s="264"/>
      <c r="Q738" s="264"/>
      <c r="R738" s="264"/>
      <c r="S738" s="264"/>
      <c r="T738" s="264"/>
      <c r="U738" s="264"/>
      <c r="V738" s="264"/>
      <c r="W738" s="264"/>
      <c r="X738" s="264"/>
      <c r="Y738" s="264"/>
      <c r="Z738" s="264"/>
    </row>
    <row r="739" spans="1:26" ht="15.75" customHeight="1">
      <c r="A739" s="264"/>
      <c r="B739" s="264"/>
      <c r="C739" s="264"/>
      <c r="D739" s="264"/>
      <c r="E739" s="264"/>
      <c r="F739" s="264"/>
      <c r="G739" s="264"/>
      <c r="H739" s="264"/>
      <c r="I739" s="264"/>
      <c r="J739" s="264"/>
      <c r="K739" s="264"/>
      <c r="L739" s="264"/>
      <c r="M739" s="264"/>
      <c r="N739" s="264"/>
      <c r="O739" s="264"/>
      <c r="P739" s="264"/>
      <c r="Q739" s="264"/>
      <c r="R739" s="264"/>
      <c r="S739" s="264"/>
      <c r="T739" s="264"/>
      <c r="U739" s="264"/>
      <c r="V739" s="264"/>
      <c r="W739" s="264"/>
      <c r="X739" s="264"/>
      <c r="Y739" s="264"/>
      <c r="Z739" s="264"/>
    </row>
    <row r="740" spans="1:26" ht="15.75" customHeight="1">
      <c r="A740" s="264"/>
      <c r="B740" s="264"/>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row>
    <row r="741" spans="1:26" ht="15.75" customHeight="1">
      <c r="A741" s="264"/>
      <c r="B741" s="264"/>
      <c r="C741" s="264"/>
      <c r="D741" s="264"/>
      <c r="E741" s="264"/>
      <c r="F741" s="264"/>
      <c r="G741" s="264"/>
      <c r="H741" s="264"/>
      <c r="I741" s="264"/>
      <c r="J741" s="264"/>
      <c r="K741" s="264"/>
      <c r="L741" s="264"/>
      <c r="M741" s="264"/>
      <c r="N741" s="264"/>
      <c r="O741" s="264"/>
      <c r="P741" s="264"/>
      <c r="Q741" s="264"/>
      <c r="R741" s="264"/>
      <c r="S741" s="264"/>
      <c r="T741" s="264"/>
      <c r="U741" s="264"/>
      <c r="V741" s="264"/>
      <c r="W741" s="264"/>
      <c r="X741" s="264"/>
      <c r="Y741" s="264"/>
      <c r="Z741" s="264"/>
    </row>
    <row r="742" spans="1:26" ht="15.75" customHeight="1">
      <c r="A742" s="264"/>
      <c r="B742" s="264"/>
      <c r="C742" s="264"/>
      <c r="D742" s="264"/>
      <c r="E742" s="264"/>
      <c r="F742" s="264"/>
      <c r="G742" s="264"/>
      <c r="H742" s="264"/>
      <c r="I742" s="264"/>
      <c r="J742" s="264"/>
      <c r="K742" s="264"/>
      <c r="L742" s="264"/>
      <c r="M742" s="264"/>
      <c r="N742" s="264"/>
      <c r="O742" s="264"/>
      <c r="P742" s="264"/>
      <c r="Q742" s="264"/>
      <c r="R742" s="264"/>
      <c r="S742" s="264"/>
      <c r="T742" s="264"/>
      <c r="U742" s="264"/>
      <c r="V742" s="264"/>
      <c r="W742" s="264"/>
      <c r="X742" s="264"/>
      <c r="Y742" s="264"/>
      <c r="Z742" s="264"/>
    </row>
    <row r="743" spans="1:26" ht="15.75" customHeight="1">
      <c r="A743" s="264"/>
      <c r="B743" s="264"/>
      <c r="C743" s="264"/>
      <c r="D743" s="264"/>
      <c r="E743" s="264"/>
      <c r="F743" s="264"/>
      <c r="G743" s="264"/>
      <c r="H743" s="264"/>
      <c r="I743" s="264"/>
      <c r="J743" s="264"/>
      <c r="K743" s="264"/>
      <c r="L743" s="264"/>
      <c r="M743" s="264"/>
      <c r="N743" s="264"/>
      <c r="O743" s="264"/>
      <c r="P743" s="264"/>
      <c r="Q743" s="264"/>
      <c r="R743" s="264"/>
      <c r="S743" s="264"/>
      <c r="T743" s="264"/>
      <c r="U743" s="264"/>
      <c r="V743" s="264"/>
      <c r="W743" s="264"/>
      <c r="X743" s="264"/>
      <c r="Y743" s="264"/>
      <c r="Z743" s="264"/>
    </row>
    <row r="744" spans="1:26" ht="15.75" customHeight="1">
      <c r="A744" s="264"/>
      <c r="B744" s="264"/>
      <c r="C744" s="264"/>
      <c r="D744" s="264"/>
      <c r="E744" s="264"/>
      <c r="F744" s="264"/>
      <c r="G744" s="264"/>
      <c r="H744" s="264"/>
      <c r="I744" s="264"/>
      <c r="J744" s="264"/>
      <c r="K744" s="264"/>
      <c r="L744" s="264"/>
      <c r="M744" s="264"/>
      <c r="N744" s="264"/>
      <c r="O744" s="264"/>
      <c r="P744" s="264"/>
      <c r="Q744" s="264"/>
      <c r="R744" s="264"/>
      <c r="S744" s="264"/>
      <c r="T744" s="264"/>
      <c r="U744" s="264"/>
      <c r="V744" s="264"/>
      <c r="W744" s="264"/>
      <c r="X744" s="264"/>
      <c r="Y744" s="264"/>
      <c r="Z744" s="264"/>
    </row>
    <row r="745" spans="1:26" ht="15.75" customHeight="1">
      <c r="A745" s="264"/>
      <c r="B745" s="264"/>
      <c r="C745" s="264"/>
      <c r="D745" s="264"/>
      <c r="E745" s="264"/>
      <c r="F745" s="264"/>
      <c r="G745" s="264"/>
      <c r="H745" s="264"/>
      <c r="I745" s="264"/>
      <c r="J745" s="264"/>
      <c r="K745" s="264"/>
      <c r="L745" s="264"/>
      <c r="M745" s="264"/>
      <c r="N745" s="264"/>
      <c r="O745" s="264"/>
      <c r="P745" s="264"/>
      <c r="Q745" s="264"/>
      <c r="R745" s="264"/>
      <c r="S745" s="264"/>
      <c r="T745" s="264"/>
      <c r="U745" s="264"/>
      <c r="V745" s="264"/>
      <c r="W745" s="264"/>
      <c r="X745" s="264"/>
      <c r="Y745" s="264"/>
      <c r="Z745" s="264"/>
    </row>
    <row r="746" spans="1:26" ht="15.75" customHeight="1">
      <c r="A746" s="264"/>
      <c r="B746" s="264"/>
      <c r="C746" s="264"/>
      <c r="D746" s="264"/>
      <c r="E746" s="264"/>
      <c r="F746" s="264"/>
      <c r="G746" s="264"/>
      <c r="H746" s="264"/>
      <c r="I746" s="264"/>
      <c r="J746" s="264"/>
      <c r="K746" s="264"/>
      <c r="L746" s="264"/>
      <c r="M746" s="264"/>
      <c r="N746" s="264"/>
      <c r="O746" s="264"/>
      <c r="P746" s="264"/>
      <c r="Q746" s="264"/>
      <c r="R746" s="264"/>
      <c r="S746" s="264"/>
      <c r="T746" s="264"/>
      <c r="U746" s="264"/>
      <c r="V746" s="264"/>
      <c r="W746" s="264"/>
      <c r="X746" s="264"/>
      <c r="Y746" s="264"/>
      <c r="Z746" s="264"/>
    </row>
    <row r="747" spans="1:26" ht="15.75" customHeight="1">
      <c r="A747" s="264"/>
      <c r="B747" s="264"/>
      <c r="C747" s="264"/>
      <c r="D747" s="264"/>
      <c r="E747" s="264"/>
      <c r="F747" s="264"/>
      <c r="G747" s="264"/>
      <c r="H747" s="264"/>
      <c r="I747" s="264"/>
      <c r="J747" s="264"/>
      <c r="K747" s="264"/>
      <c r="L747" s="264"/>
      <c r="M747" s="264"/>
      <c r="N747" s="264"/>
      <c r="O747" s="264"/>
      <c r="P747" s="264"/>
      <c r="Q747" s="264"/>
      <c r="R747" s="264"/>
      <c r="S747" s="264"/>
      <c r="T747" s="264"/>
      <c r="U747" s="264"/>
      <c r="V747" s="264"/>
      <c r="W747" s="264"/>
      <c r="X747" s="264"/>
      <c r="Y747" s="264"/>
      <c r="Z747" s="264"/>
    </row>
    <row r="748" spans="1:26" ht="15.75" customHeight="1">
      <c r="A748" s="264"/>
      <c r="B748" s="264"/>
      <c r="C748" s="264"/>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row>
    <row r="749" spans="1:26" ht="15.75" customHeight="1">
      <c r="A749" s="264"/>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row>
    <row r="750" spans="1:26" ht="15.75" customHeight="1">
      <c r="A750" s="264"/>
      <c r="B750" s="264"/>
      <c r="C750" s="264"/>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row>
    <row r="751" spans="1:26" ht="15.75" customHeight="1">
      <c r="A751" s="264"/>
      <c r="B751" s="264"/>
      <c r="C751" s="264"/>
      <c r="D751" s="264"/>
      <c r="E751" s="264"/>
      <c r="F751" s="264"/>
      <c r="G751" s="264"/>
      <c r="H751" s="264"/>
      <c r="I751" s="264"/>
      <c r="J751" s="264"/>
      <c r="K751" s="264"/>
      <c r="L751" s="264"/>
      <c r="M751" s="264"/>
      <c r="N751" s="264"/>
      <c r="O751" s="264"/>
      <c r="P751" s="264"/>
      <c r="Q751" s="264"/>
      <c r="R751" s="264"/>
      <c r="S751" s="264"/>
      <c r="T751" s="264"/>
      <c r="U751" s="264"/>
      <c r="V751" s="264"/>
      <c r="W751" s="264"/>
      <c r="X751" s="264"/>
      <c r="Y751" s="264"/>
      <c r="Z751" s="264"/>
    </row>
    <row r="752" spans="1:26" ht="15.75" customHeight="1">
      <c r="A752" s="264"/>
      <c r="B752" s="264"/>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row>
    <row r="753" spans="1:26" ht="15.75" customHeight="1">
      <c r="A753" s="264"/>
      <c r="B753" s="264"/>
      <c r="C753" s="264"/>
      <c r="D753" s="264"/>
      <c r="E753" s="264"/>
      <c r="F753" s="264"/>
      <c r="G753" s="264"/>
      <c r="H753" s="264"/>
      <c r="I753" s="264"/>
      <c r="J753" s="264"/>
      <c r="K753" s="264"/>
      <c r="L753" s="264"/>
      <c r="M753" s="264"/>
      <c r="N753" s="264"/>
      <c r="O753" s="264"/>
      <c r="P753" s="264"/>
      <c r="Q753" s="264"/>
      <c r="R753" s="264"/>
      <c r="S753" s="264"/>
      <c r="T753" s="264"/>
      <c r="U753" s="264"/>
      <c r="V753" s="264"/>
      <c r="W753" s="264"/>
      <c r="X753" s="264"/>
      <c r="Y753" s="264"/>
      <c r="Z753" s="264"/>
    </row>
    <row r="754" spans="1:26" ht="15.75" customHeight="1">
      <c r="A754" s="264"/>
      <c r="B754" s="264"/>
      <c r="C754" s="264"/>
      <c r="D754" s="264"/>
      <c r="E754" s="264"/>
      <c r="F754" s="264"/>
      <c r="G754" s="264"/>
      <c r="H754" s="264"/>
      <c r="I754" s="264"/>
      <c r="J754" s="264"/>
      <c r="K754" s="264"/>
      <c r="L754" s="264"/>
      <c r="M754" s="264"/>
      <c r="N754" s="264"/>
      <c r="O754" s="264"/>
      <c r="P754" s="264"/>
      <c r="Q754" s="264"/>
      <c r="R754" s="264"/>
      <c r="S754" s="264"/>
      <c r="T754" s="264"/>
      <c r="U754" s="264"/>
      <c r="V754" s="264"/>
      <c r="W754" s="264"/>
      <c r="X754" s="264"/>
      <c r="Y754" s="264"/>
      <c r="Z754" s="264"/>
    </row>
    <row r="755" spans="1:26" ht="15.75" customHeight="1">
      <c r="A755" s="264"/>
      <c r="B755" s="264"/>
      <c r="C755" s="264"/>
      <c r="D755" s="264"/>
      <c r="E755" s="264"/>
      <c r="F755" s="264"/>
      <c r="G755" s="264"/>
      <c r="H755" s="264"/>
      <c r="I755" s="264"/>
      <c r="J755" s="264"/>
      <c r="K755" s="264"/>
      <c r="L755" s="264"/>
      <c r="M755" s="264"/>
      <c r="N755" s="264"/>
      <c r="O755" s="264"/>
      <c r="P755" s="264"/>
      <c r="Q755" s="264"/>
      <c r="R755" s="264"/>
      <c r="S755" s="264"/>
      <c r="T755" s="264"/>
      <c r="U755" s="264"/>
      <c r="V755" s="264"/>
      <c r="W755" s="264"/>
      <c r="X755" s="264"/>
      <c r="Y755" s="264"/>
      <c r="Z755" s="264"/>
    </row>
    <row r="756" spans="1:26" ht="15.75" customHeight="1">
      <c r="A756" s="264"/>
      <c r="B756" s="264"/>
      <c r="C756" s="264"/>
      <c r="D756" s="264"/>
      <c r="E756" s="264"/>
      <c r="F756" s="264"/>
      <c r="G756" s="264"/>
      <c r="H756" s="264"/>
      <c r="I756" s="264"/>
      <c r="J756" s="264"/>
      <c r="K756" s="264"/>
      <c r="L756" s="264"/>
      <c r="M756" s="264"/>
      <c r="N756" s="264"/>
      <c r="O756" s="264"/>
      <c r="P756" s="264"/>
      <c r="Q756" s="264"/>
      <c r="R756" s="264"/>
      <c r="S756" s="264"/>
      <c r="T756" s="264"/>
      <c r="U756" s="264"/>
      <c r="V756" s="264"/>
      <c r="W756" s="264"/>
      <c r="X756" s="264"/>
      <c r="Y756" s="264"/>
      <c r="Z756" s="264"/>
    </row>
    <row r="757" spans="1:26" ht="15.75" customHeight="1">
      <c r="A757" s="264"/>
      <c r="B757" s="264"/>
      <c r="C757" s="264"/>
      <c r="D757" s="264"/>
      <c r="E757" s="264"/>
      <c r="F757" s="264"/>
      <c r="G757" s="264"/>
      <c r="H757" s="264"/>
      <c r="I757" s="264"/>
      <c r="J757" s="264"/>
      <c r="K757" s="264"/>
      <c r="L757" s="264"/>
      <c r="M757" s="264"/>
      <c r="N757" s="264"/>
      <c r="O757" s="264"/>
      <c r="P757" s="264"/>
      <c r="Q757" s="264"/>
      <c r="R757" s="264"/>
      <c r="S757" s="264"/>
      <c r="T757" s="264"/>
      <c r="U757" s="264"/>
      <c r="V757" s="264"/>
      <c r="W757" s="264"/>
      <c r="X757" s="264"/>
      <c r="Y757" s="264"/>
      <c r="Z757" s="264"/>
    </row>
    <row r="758" spans="1:26" ht="15.75" customHeight="1">
      <c r="A758" s="264"/>
      <c r="B758" s="264"/>
      <c r="C758" s="264"/>
      <c r="D758" s="264"/>
      <c r="E758" s="264"/>
      <c r="F758" s="264"/>
      <c r="G758" s="264"/>
      <c r="H758" s="264"/>
      <c r="I758" s="264"/>
      <c r="J758" s="264"/>
      <c r="K758" s="264"/>
      <c r="L758" s="264"/>
      <c r="M758" s="264"/>
      <c r="N758" s="264"/>
      <c r="O758" s="264"/>
      <c r="P758" s="264"/>
      <c r="Q758" s="264"/>
      <c r="R758" s="264"/>
      <c r="S758" s="264"/>
      <c r="T758" s="264"/>
      <c r="U758" s="264"/>
      <c r="V758" s="264"/>
      <c r="W758" s="264"/>
      <c r="X758" s="264"/>
      <c r="Y758" s="264"/>
      <c r="Z758" s="264"/>
    </row>
    <row r="759" spans="1:26" ht="15.75" customHeight="1">
      <c r="A759" s="264"/>
      <c r="B759" s="264"/>
      <c r="C759" s="264"/>
      <c r="D759" s="264"/>
      <c r="E759" s="264"/>
      <c r="F759" s="264"/>
      <c r="G759" s="264"/>
      <c r="H759" s="264"/>
      <c r="I759" s="264"/>
      <c r="J759" s="264"/>
      <c r="K759" s="264"/>
      <c r="L759" s="264"/>
      <c r="M759" s="264"/>
      <c r="N759" s="264"/>
      <c r="O759" s="264"/>
      <c r="P759" s="264"/>
      <c r="Q759" s="264"/>
      <c r="R759" s="264"/>
      <c r="S759" s="264"/>
      <c r="T759" s="264"/>
      <c r="U759" s="264"/>
      <c r="V759" s="264"/>
      <c r="W759" s="264"/>
      <c r="X759" s="264"/>
      <c r="Y759" s="264"/>
      <c r="Z759" s="264"/>
    </row>
    <row r="760" spans="1:26" ht="15.75" customHeight="1">
      <c r="A760" s="264"/>
      <c r="B760" s="264"/>
      <c r="C760" s="264"/>
      <c r="D760" s="264"/>
      <c r="E760" s="264"/>
      <c r="F760" s="264"/>
      <c r="G760" s="264"/>
      <c r="H760" s="264"/>
      <c r="I760" s="264"/>
      <c r="J760" s="264"/>
      <c r="K760" s="264"/>
      <c r="L760" s="264"/>
      <c r="M760" s="264"/>
      <c r="N760" s="264"/>
      <c r="O760" s="264"/>
      <c r="P760" s="264"/>
      <c r="Q760" s="264"/>
      <c r="R760" s="264"/>
      <c r="S760" s="264"/>
      <c r="T760" s="264"/>
      <c r="U760" s="264"/>
      <c r="V760" s="264"/>
      <c r="W760" s="264"/>
      <c r="X760" s="264"/>
      <c r="Y760" s="264"/>
      <c r="Z760" s="264"/>
    </row>
    <row r="761" spans="1:26" ht="15.75" customHeight="1">
      <c r="A761" s="264"/>
      <c r="B761" s="264"/>
      <c r="C761" s="264"/>
      <c r="D761" s="264"/>
      <c r="E761" s="264"/>
      <c r="F761" s="264"/>
      <c r="G761" s="264"/>
      <c r="H761" s="264"/>
      <c r="I761" s="264"/>
      <c r="J761" s="264"/>
      <c r="K761" s="264"/>
      <c r="L761" s="264"/>
      <c r="M761" s="264"/>
      <c r="N761" s="264"/>
      <c r="O761" s="264"/>
      <c r="P761" s="264"/>
      <c r="Q761" s="264"/>
      <c r="R761" s="264"/>
      <c r="S761" s="264"/>
      <c r="T761" s="264"/>
      <c r="U761" s="264"/>
      <c r="V761" s="264"/>
      <c r="W761" s="264"/>
      <c r="X761" s="264"/>
      <c r="Y761" s="264"/>
      <c r="Z761" s="264"/>
    </row>
    <row r="762" spans="1:26" ht="15.75" customHeight="1">
      <c r="A762" s="264"/>
      <c r="B762" s="264"/>
      <c r="C762" s="264"/>
      <c r="D762" s="264"/>
      <c r="E762" s="264"/>
      <c r="F762" s="264"/>
      <c r="G762" s="264"/>
      <c r="H762" s="264"/>
      <c r="I762" s="264"/>
      <c r="J762" s="264"/>
      <c r="K762" s="264"/>
      <c r="L762" s="264"/>
      <c r="M762" s="264"/>
      <c r="N762" s="264"/>
      <c r="O762" s="264"/>
      <c r="P762" s="264"/>
      <c r="Q762" s="264"/>
      <c r="R762" s="264"/>
      <c r="S762" s="264"/>
      <c r="T762" s="264"/>
      <c r="U762" s="264"/>
      <c r="V762" s="264"/>
      <c r="W762" s="264"/>
      <c r="X762" s="264"/>
      <c r="Y762" s="264"/>
      <c r="Z762" s="264"/>
    </row>
    <row r="763" spans="1:26" ht="15.75" customHeight="1">
      <c r="A763" s="264"/>
      <c r="B763" s="264"/>
      <c r="C763" s="264"/>
      <c r="D763" s="264"/>
      <c r="E763" s="264"/>
      <c r="F763" s="264"/>
      <c r="G763" s="264"/>
      <c r="H763" s="264"/>
      <c r="I763" s="264"/>
      <c r="J763" s="264"/>
      <c r="K763" s="264"/>
      <c r="L763" s="264"/>
      <c r="M763" s="264"/>
      <c r="N763" s="264"/>
      <c r="O763" s="264"/>
      <c r="P763" s="264"/>
      <c r="Q763" s="264"/>
      <c r="R763" s="264"/>
      <c r="S763" s="264"/>
      <c r="T763" s="264"/>
      <c r="U763" s="264"/>
      <c r="V763" s="264"/>
      <c r="W763" s="264"/>
      <c r="X763" s="264"/>
      <c r="Y763" s="264"/>
      <c r="Z763" s="264"/>
    </row>
    <row r="764" spans="1:26" ht="15.75" customHeight="1">
      <c r="A764" s="264"/>
      <c r="B764" s="264"/>
      <c r="C764" s="264"/>
      <c r="D764" s="264"/>
      <c r="E764" s="264"/>
      <c r="F764" s="264"/>
      <c r="G764" s="264"/>
      <c r="H764" s="264"/>
      <c r="I764" s="264"/>
      <c r="J764" s="264"/>
      <c r="K764" s="264"/>
      <c r="L764" s="264"/>
      <c r="M764" s="264"/>
      <c r="N764" s="264"/>
      <c r="O764" s="264"/>
      <c r="P764" s="264"/>
      <c r="Q764" s="264"/>
      <c r="R764" s="264"/>
      <c r="S764" s="264"/>
      <c r="T764" s="264"/>
      <c r="U764" s="264"/>
      <c r="V764" s="264"/>
      <c r="W764" s="264"/>
      <c r="X764" s="264"/>
      <c r="Y764" s="264"/>
      <c r="Z764" s="264"/>
    </row>
    <row r="765" spans="1:26" ht="15.75" customHeight="1">
      <c r="A765" s="264"/>
      <c r="B765" s="264"/>
      <c r="C765" s="264"/>
      <c r="D765" s="264"/>
      <c r="E765" s="264"/>
      <c r="F765" s="264"/>
      <c r="G765" s="264"/>
      <c r="H765" s="264"/>
      <c r="I765" s="264"/>
      <c r="J765" s="264"/>
      <c r="K765" s="264"/>
      <c r="L765" s="264"/>
      <c r="M765" s="264"/>
      <c r="N765" s="264"/>
      <c r="O765" s="264"/>
      <c r="P765" s="264"/>
      <c r="Q765" s="264"/>
      <c r="R765" s="264"/>
      <c r="S765" s="264"/>
      <c r="T765" s="264"/>
      <c r="U765" s="264"/>
      <c r="V765" s="264"/>
      <c r="W765" s="264"/>
      <c r="X765" s="264"/>
      <c r="Y765" s="264"/>
      <c r="Z765" s="264"/>
    </row>
    <row r="766" spans="1:26" ht="15.75" customHeight="1">
      <c r="A766" s="264"/>
      <c r="B766" s="264"/>
      <c r="C766" s="264"/>
      <c r="D766" s="264"/>
      <c r="E766" s="264"/>
      <c r="F766" s="264"/>
      <c r="G766" s="264"/>
      <c r="H766" s="264"/>
      <c r="I766" s="264"/>
      <c r="J766" s="264"/>
      <c r="K766" s="264"/>
      <c r="L766" s="264"/>
      <c r="M766" s="264"/>
      <c r="N766" s="264"/>
      <c r="O766" s="264"/>
      <c r="P766" s="264"/>
      <c r="Q766" s="264"/>
      <c r="R766" s="264"/>
      <c r="S766" s="264"/>
      <c r="T766" s="264"/>
      <c r="U766" s="264"/>
      <c r="V766" s="264"/>
      <c r="W766" s="264"/>
      <c r="X766" s="264"/>
      <c r="Y766" s="264"/>
      <c r="Z766" s="264"/>
    </row>
    <row r="767" spans="1:26" ht="15.75" customHeight="1">
      <c r="A767" s="264"/>
      <c r="B767" s="264"/>
      <c r="C767" s="264"/>
      <c r="D767" s="264"/>
      <c r="E767" s="264"/>
      <c r="F767" s="264"/>
      <c r="G767" s="264"/>
      <c r="H767" s="264"/>
      <c r="I767" s="264"/>
      <c r="J767" s="264"/>
      <c r="K767" s="264"/>
      <c r="L767" s="264"/>
      <c r="M767" s="264"/>
      <c r="N767" s="264"/>
      <c r="O767" s="264"/>
      <c r="P767" s="264"/>
      <c r="Q767" s="264"/>
      <c r="R767" s="264"/>
      <c r="S767" s="264"/>
      <c r="T767" s="264"/>
      <c r="U767" s="264"/>
      <c r="V767" s="264"/>
      <c r="W767" s="264"/>
      <c r="X767" s="264"/>
      <c r="Y767" s="264"/>
      <c r="Z767" s="264"/>
    </row>
    <row r="768" spans="1:26" ht="15.75" customHeight="1">
      <c r="A768" s="264"/>
      <c r="B768" s="264"/>
      <c r="C768" s="264"/>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row>
    <row r="769" spans="1:26" ht="15.75" customHeight="1">
      <c r="A769" s="264"/>
      <c r="B769" s="264"/>
      <c r="C769" s="264"/>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row>
    <row r="770" spans="1:26" ht="15.75" customHeight="1">
      <c r="A770" s="264"/>
      <c r="B770" s="264"/>
      <c r="C770" s="264"/>
      <c r="D770" s="264"/>
      <c r="E770" s="264"/>
      <c r="F770" s="264"/>
      <c r="G770" s="264"/>
      <c r="H770" s="264"/>
      <c r="I770" s="264"/>
      <c r="J770" s="264"/>
      <c r="K770" s="264"/>
      <c r="L770" s="264"/>
      <c r="M770" s="264"/>
      <c r="N770" s="264"/>
      <c r="O770" s="264"/>
      <c r="P770" s="264"/>
      <c r="Q770" s="264"/>
      <c r="R770" s="264"/>
      <c r="S770" s="264"/>
      <c r="T770" s="264"/>
      <c r="U770" s="264"/>
      <c r="V770" s="264"/>
      <c r="W770" s="264"/>
      <c r="X770" s="264"/>
      <c r="Y770" s="264"/>
      <c r="Z770" s="264"/>
    </row>
    <row r="771" spans="1:26" ht="15.75" customHeight="1">
      <c r="A771" s="264"/>
      <c r="B771" s="264"/>
      <c r="C771" s="264"/>
      <c r="D771" s="264"/>
      <c r="E771" s="264"/>
      <c r="F771" s="264"/>
      <c r="G771" s="264"/>
      <c r="H771" s="264"/>
      <c r="I771" s="264"/>
      <c r="J771" s="264"/>
      <c r="K771" s="264"/>
      <c r="L771" s="264"/>
      <c r="M771" s="264"/>
      <c r="N771" s="264"/>
      <c r="O771" s="264"/>
      <c r="P771" s="264"/>
      <c r="Q771" s="264"/>
      <c r="R771" s="264"/>
      <c r="S771" s="264"/>
      <c r="T771" s="264"/>
      <c r="U771" s="264"/>
      <c r="V771" s="264"/>
      <c r="W771" s="264"/>
      <c r="X771" s="264"/>
      <c r="Y771" s="264"/>
      <c r="Z771" s="264"/>
    </row>
    <row r="772" spans="1:26" ht="15.75" customHeight="1">
      <c r="A772" s="264"/>
      <c r="B772" s="264"/>
      <c r="C772" s="264"/>
      <c r="D772" s="264"/>
      <c r="E772" s="264"/>
      <c r="F772" s="264"/>
      <c r="G772" s="264"/>
      <c r="H772" s="264"/>
      <c r="I772" s="264"/>
      <c r="J772" s="264"/>
      <c r="K772" s="264"/>
      <c r="L772" s="264"/>
      <c r="M772" s="264"/>
      <c r="N772" s="264"/>
      <c r="O772" s="264"/>
      <c r="P772" s="264"/>
      <c r="Q772" s="264"/>
      <c r="R772" s="264"/>
      <c r="S772" s="264"/>
      <c r="T772" s="264"/>
      <c r="U772" s="264"/>
      <c r="V772" s="264"/>
      <c r="W772" s="264"/>
      <c r="X772" s="264"/>
      <c r="Y772" s="264"/>
      <c r="Z772" s="264"/>
    </row>
    <row r="773" spans="1:26" ht="15.75" customHeight="1">
      <c r="A773" s="264"/>
      <c r="B773" s="264"/>
      <c r="C773" s="264"/>
      <c r="D773" s="264"/>
      <c r="E773" s="264"/>
      <c r="F773" s="264"/>
      <c r="G773" s="264"/>
      <c r="H773" s="264"/>
      <c r="I773" s="264"/>
      <c r="J773" s="264"/>
      <c r="K773" s="264"/>
      <c r="L773" s="264"/>
      <c r="M773" s="264"/>
      <c r="N773" s="264"/>
      <c r="O773" s="264"/>
      <c r="P773" s="264"/>
      <c r="Q773" s="264"/>
      <c r="R773" s="264"/>
      <c r="S773" s="264"/>
      <c r="T773" s="264"/>
      <c r="U773" s="264"/>
      <c r="V773" s="264"/>
      <c r="W773" s="264"/>
      <c r="X773" s="264"/>
      <c r="Y773" s="264"/>
      <c r="Z773" s="264"/>
    </row>
    <row r="774" spans="1:26" ht="15.75" customHeight="1">
      <c r="A774" s="264"/>
      <c r="B774" s="264"/>
      <c r="C774" s="264"/>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row>
    <row r="775" spans="1:26" ht="15.75" customHeight="1">
      <c r="A775" s="264"/>
      <c r="B775" s="264"/>
      <c r="C775" s="264"/>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row>
    <row r="776" spans="1:26" ht="15.75" customHeight="1">
      <c r="A776" s="264"/>
      <c r="B776" s="264"/>
      <c r="C776" s="264"/>
      <c r="D776" s="264"/>
      <c r="E776" s="264"/>
      <c r="F776" s="264"/>
      <c r="G776" s="264"/>
      <c r="H776" s="264"/>
      <c r="I776" s="264"/>
      <c r="J776" s="264"/>
      <c r="K776" s="264"/>
      <c r="L776" s="264"/>
      <c r="M776" s="264"/>
      <c r="N776" s="264"/>
      <c r="O776" s="264"/>
      <c r="P776" s="264"/>
      <c r="Q776" s="264"/>
      <c r="R776" s="264"/>
      <c r="S776" s="264"/>
      <c r="T776" s="264"/>
      <c r="U776" s="264"/>
      <c r="V776" s="264"/>
      <c r="W776" s="264"/>
      <c r="X776" s="264"/>
      <c r="Y776" s="264"/>
      <c r="Z776" s="264"/>
    </row>
    <row r="777" spans="1:26" ht="15.75" customHeight="1">
      <c r="A777" s="264"/>
      <c r="B777" s="264"/>
      <c r="C777" s="264"/>
      <c r="D777" s="264"/>
      <c r="E777" s="264"/>
      <c r="F777" s="264"/>
      <c r="G777" s="264"/>
      <c r="H777" s="264"/>
      <c r="I777" s="264"/>
      <c r="J777" s="264"/>
      <c r="K777" s="264"/>
      <c r="L777" s="264"/>
      <c r="M777" s="264"/>
      <c r="N777" s="264"/>
      <c r="O777" s="264"/>
      <c r="P777" s="264"/>
      <c r="Q777" s="264"/>
      <c r="R777" s="264"/>
      <c r="S777" s="264"/>
      <c r="T777" s="264"/>
      <c r="U777" s="264"/>
      <c r="V777" s="264"/>
      <c r="W777" s="264"/>
      <c r="X777" s="264"/>
      <c r="Y777" s="264"/>
      <c r="Z777" s="264"/>
    </row>
    <row r="778" spans="1:26" ht="15.75" customHeight="1">
      <c r="A778" s="264"/>
      <c r="B778" s="264"/>
      <c r="C778" s="264"/>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row>
    <row r="779" spans="1:26" ht="15.75" customHeight="1">
      <c r="A779" s="264"/>
      <c r="B779" s="264"/>
      <c r="C779" s="264"/>
      <c r="D779" s="264"/>
      <c r="E779" s="264"/>
      <c r="F779" s="264"/>
      <c r="G779" s="264"/>
      <c r="H779" s="264"/>
      <c r="I779" s="264"/>
      <c r="J779" s="264"/>
      <c r="K779" s="264"/>
      <c r="L779" s="264"/>
      <c r="M779" s="264"/>
      <c r="N779" s="264"/>
      <c r="O779" s="264"/>
      <c r="P779" s="264"/>
      <c r="Q779" s="264"/>
      <c r="R779" s="264"/>
      <c r="S779" s="264"/>
      <c r="T779" s="264"/>
      <c r="U779" s="264"/>
      <c r="V779" s="264"/>
      <c r="W779" s="264"/>
      <c r="X779" s="264"/>
      <c r="Y779" s="264"/>
      <c r="Z779" s="264"/>
    </row>
    <row r="780" spans="1:26" ht="15.75" customHeight="1">
      <c r="A780" s="264"/>
      <c r="B780" s="264"/>
      <c r="C780" s="264"/>
      <c r="D780" s="264"/>
      <c r="E780" s="264"/>
      <c r="F780" s="264"/>
      <c r="G780" s="264"/>
      <c r="H780" s="264"/>
      <c r="I780" s="264"/>
      <c r="J780" s="264"/>
      <c r="K780" s="264"/>
      <c r="L780" s="264"/>
      <c r="M780" s="264"/>
      <c r="N780" s="264"/>
      <c r="O780" s="264"/>
      <c r="P780" s="264"/>
      <c r="Q780" s="264"/>
      <c r="R780" s="264"/>
      <c r="S780" s="264"/>
      <c r="T780" s="264"/>
      <c r="U780" s="264"/>
      <c r="V780" s="264"/>
      <c r="W780" s="264"/>
      <c r="X780" s="264"/>
      <c r="Y780" s="264"/>
      <c r="Z780" s="264"/>
    </row>
    <row r="781" spans="1:26" ht="15.75" customHeight="1">
      <c r="A781" s="264"/>
      <c r="B781" s="264"/>
      <c r="C781" s="264"/>
      <c r="D781" s="264"/>
      <c r="E781" s="264"/>
      <c r="F781" s="264"/>
      <c r="G781" s="264"/>
      <c r="H781" s="264"/>
      <c r="I781" s="264"/>
      <c r="J781" s="264"/>
      <c r="K781" s="264"/>
      <c r="L781" s="264"/>
      <c r="M781" s="264"/>
      <c r="N781" s="264"/>
      <c r="O781" s="264"/>
      <c r="P781" s="264"/>
      <c r="Q781" s="264"/>
      <c r="R781" s="264"/>
      <c r="S781" s="264"/>
      <c r="T781" s="264"/>
      <c r="U781" s="264"/>
      <c r="V781" s="264"/>
      <c r="W781" s="264"/>
      <c r="X781" s="264"/>
      <c r="Y781" s="264"/>
      <c r="Z781" s="264"/>
    </row>
    <row r="782" spans="1:26" ht="15.75" customHeight="1">
      <c r="A782" s="264"/>
      <c r="B782" s="264"/>
      <c r="C782" s="264"/>
      <c r="D782" s="264"/>
      <c r="E782" s="264"/>
      <c r="F782" s="264"/>
      <c r="G782" s="264"/>
      <c r="H782" s="264"/>
      <c r="I782" s="264"/>
      <c r="J782" s="264"/>
      <c r="K782" s="264"/>
      <c r="L782" s="264"/>
      <c r="M782" s="264"/>
      <c r="N782" s="264"/>
      <c r="O782" s="264"/>
      <c r="P782" s="264"/>
      <c r="Q782" s="264"/>
      <c r="R782" s="264"/>
      <c r="S782" s="264"/>
      <c r="T782" s="264"/>
      <c r="U782" s="264"/>
      <c r="V782" s="264"/>
      <c r="W782" s="264"/>
      <c r="X782" s="264"/>
      <c r="Y782" s="264"/>
      <c r="Z782" s="264"/>
    </row>
    <row r="783" spans="1:26" ht="15.75" customHeight="1">
      <c r="A783" s="264"/>
      <c r="B783" s="264"/>
      <c r="C783" s="264"/>
      <c r="D783" s="264"/>
      <c r="E783" s="264"/>
      <c r="F783" s="264"/>
      <c r="G783" s="264"/>
      <c r="H783" s="264"/>
      <c r="I783" s="264"/>
      <c r="J783" s="264"/>
      <c r="K783" s="264"/>
      <c r="L783" s="264"/>
      <c r="M783" s="264"/>
      <c r="N783" s="264"/>
      <c r="O783" s="264"/>
      <c r="P783" s="264"/>
      <c r="Q783" s="264"/>
      <c r="R783" s="264"/>
      <c r="S783" s="264"/>
      <c r="T783" s="264"/>
      <c r="U783" s="264"/>
      <c r="V783" s="264"/>
      <c r="W783" s="264"/>
      <c r="X783" s="264"/>
      <c r="Y783" s="264"/>
      <c r="Z783" s="264"/>
    </row>
    <row r="784" spans="1:26" ht="15.75" customHeight="1">
      <c r="A784" s="264"/>
      <c r="B784" s="264"/>
      <c r="C784" s="264"/>
      <c r="D784" s="264"/>
      <c r="E784" s="264"/>
      <c r="F784" s="264"/>
      <c r="G784" s="264"/>
      <c r="H784" s="264"/>
      <c r="I784" s="264"/>
      <c r="J784" s="264"/>
      <c r="K784" s="264"/>
      <c r="L784" s="264"/>
      <c r="M784" s="264"/>
      <c r="N784" s="264"/>
      <c r="O784" s="264"/>
      <c r="P784" s="264"/>
      <c r="Q784" s="264"/>
      <c r="R784" s="264"/>
      <c r="S784" s="264"/>
      <c r="T784" s="264"/>
      <c r="U784" s="264"/>
      <c r="V784" s="264"/>
      <c r="W784" s="264"/>
      <c r="X784" s="264"/>
      <c r="Y784" s="264"/>
      <c r="Z784" s="264"/>
    </row>
    <row r="785" spans="1:26" ht="15.75" customHeight="1">
      <c r="A785" s="264"/>
      <c r="B785" s="264"/>
      <c r="C785" s="264"/>
      <c r="D785" s="264"/>
      <c r="E785" s="264"/>
      <c r="F785" s="264"/>
      <c r="G785" s="264"/>
      <c r="H785" s="264"/>
      <c r="I785" s="264"/>
      <c r="J785" s="264"/>
      <c r="K785" s="264"/>
      <c r="L785" s="264"/>
      <c r="M785" s="264"/>
      <c r="N785" s="264"/>
      <c r="O785" s="264"/>
      <c r="P785" s="264"/>
      <c r="Q785" s="264"/>
      <c r="R785" s="264"/>
      <c r="S785" s="264"/>
      <c r="T785" s="264"/>
      <c r="U785" s="264"/>
      <c r="V785" s="264"/>
      <c r="W785" s="264"/>
      <c r="X785" s="264"/>
      <c r="Y785" s="264"/>
      <c r="Z785" s="264"/>
    </row>
    <row r="786" spans="1:26" ht="15.75" customHeight="1">
      <c r="A786" s="264"/>
      <c r="B786" s="264"/>
      <c r="C786" s="264"/>
      <c r="D786" s="264"/>
      <c r="E786" s="264"/>
      <c r="F786" s="264"/>
      <c r="G786" s="264"/>
      <c r="H786" s="264"/>
      <c r="I786" s="264"/>
      <c r="J786" s="264"/>
      <c r="K786" s="264"/>
      <c r="L786" s="264"/>
      <c r="M786" s="264"/>
      <c r="N786" s="264"/>
      <c r="O786" s="264"/>
      <c r="P786" s="264"/>
      <c r="Q786" s="264"/>
      <c r="R786" s="264"/>
      <c r="S786" s="264"/>
      <c r="T786" s="264"/>
      <c r="U786" s="264"/>
      <c r="V786" s="264"/>
      <c r="W786" s="264"/>
      <c r="X786" s="264"/>
      <c r="Y786" s="264"/>
      <c r="Z786" s="264"/>
    </row>
    <row r="787" spans="1:26" ht="15.75" customHeight="1">
      <c r="A787" s="264"/>
      <c r="B787" s="264"/>
      <c r="C787" s="264"/>
      <c r="D787" s="264"/>
      <c r="E787" s="264"/>
      <c r="F787" s="264"/>
      <c r="G787" s="264"/>
      <c r="H787" s="264"/>
      <c r="I787" s="264"/>
      <c r="J787" s="264"/>
      <c r="K787" s="264"/>
      <c r="L787" s="264"/>
      <c r="M787" s="264"/>
      <c r="N787" s="264"/>
      <c r="O787" s="264"/>
      <c r="P787" s="264"/>
      <c r="Q787" s="264"/>
      <c r="R787" s="264"/>
      <c r="S787" s="264"/>
      <c r="T787" s="264"/>
      <c r="U787" s="264"/>
      <c r="V787" s="264"/>
      <c r="W787" s="264"/>
      <c r="X787" s="264"/>
      <c r="Y787" s="264"/>
      <c r="Z787" s="264"/>
    </row>
    <row r="788" spans="1:26" ht="15.75" customHeight="1">
      <c r="A788" s="264"/>
      <c r="B788" s="264"/>
      <c r="C788" s="264"/>
      <c r="D788" s="264"/>
      <c r="E788" s="264"/>
      <c r="F788" s="264"/>
      <c r="G788" s="264"/>
      <c r="H788" s="264"/>
      <c r="I788" s="264"/>
      <c r="J788" s="264"/>
      <c r="K788" s="264"/>
      <c r="L788" s="264"/>
      <c r="M788" s="264"/>
      <c r="N788" s="264"/>
      <c r="O788" s="264"/>
      <c r="P788" s="264"/>
      <c r="Q788" s="264"/>
      <c r="R788" s="264"/>
      <c r="S788" s="264"/>
      <c r="T788" s="264"/>
      <c r="U788" s="264"/>
      <c r="V788" s="264"/>
      <c r="W788" s="264"/>
      <c r="X788" s="264"/>
      <c r="Y788" s="264"/>
      <c r="Z788" s="264"/>
    </row>
    <row r="789" spans="1:26" ht="15.75" customHeight="1">
      <c r="A789" s="264"/>
      <c r="B789" s="264"/>
      <c r="C789" s="264"/>
      <c r="D789" s="264"/>
      <c r="E789" s="264"/>
      <c r="F789" s="264"/>
      <c r="G789" s="264"/>
      <c r="H789" s="264"/>
      <c r="I789" s="264"/>
      <c r="J789" s="264"/>
      <c r="K789" s="264"/>
      <c r="L789" s="264"/>
      <c r="M789" s="264"/>
      <c r="N789" s="264"/>
      <c r="O789" s="264"/>
      <c r="P789" s="264"/>
      <c r="Q789" s="264"/>
      <c r="R789" s="264"/>
      <c r="S789" s="264"/>
      <c r="T789" s="264"/>
      <c r="U789" s="264"/>
      <c r="V789" s="264"/>
      <c r="W789" s="264"/>
      <c r="X789" s="264"/>
      <c r="Y789" s="264"/>
      <c r="Z789" s="264"/>
    </row>
    <row r="790" spans="1:26" ht="15.75" customHeight="1">
      <c r="A790" s="264"/>
      <c r="B790" s="264"/>
      <c r="C790" s="264"/>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row>
    <row r="791" spans="1:26" ht="15.75" customHeight="1">
      <c r="A791" s="264"/>
      <c r="B791" s="264"/>
      <c r="C791" s="264"/>
      <c r="D791" s="264"/>
      <c r="E791" s="264"/>
      <c r="F791" s="264"/>
      <c r="G791" s="264"/>
      <c r="H791" s="264"/>
      <c r="I791" s="264"/>
      <c r="J791" s="264"/>
      <c r="K791" s="264"/>
      <c r="L791" s="264"/>
      <c r="M791" s="264"/>
      <c r="N791" s="264"/>
      <c r="O791" s="264"/>
      <c r="P791" s="264"/>
      <c r="Q791" s="264"/>
      <c r="R791" s="264"/>
      <c r="S791" s="264"/>
      <c r="T791" s="264"/>
      <c r="U791" s="264"/>
      <c r="V791" s="264"/>
      <c r="W791" s="264"/>
      <c r="X791" s="264"/>
      <c r="Y791" s="264"/>
      <c r="Z791" s="264"/>
    </row>
    <row r="792" spans="1:26" ht="15.75" customHeight="1">
      <c r="A792" s="264"/>
      <c r="B792" s="264"/>
      <c r="C792" s="264"/>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row>
    <row r="793" spans="1:26" ht="15.75" customHeight="1">
      <c r="A793" s="264"/>
      <c r="B793" s="264"/>
      <c r="C793" s="264"/>
      <c r="D793" s="264"/>
      <c r="E793" s="264"/>
      <c r="F793" s="264"/>
      <c r="G793" s="264"/>
      <c r="H793" s="264"/>
      <c r="I793" s="264"/>
      <c r="J793" s="264"/>
      <c r="K793" s="264"/>
      <c r="L793" s="264"/>
      <c r="M793" s="264"/>
      <c r="N793" s="264"/>
      <c r="O793" s="264"/>
      <c r="P793" s="264"/>
      <c r="Q793" s="264"/>
      <c r="R793" s="264"/>
      <c r="S793" s="264"/>
      <c r="T793" s="264"/>
      <c r="U793" s="264"/>
      <c r="V793" s="264"/>
      <c r="W793" s="264"/>
      <c r="X793" s="264"/>
      <c r="Y793" s="264"/>
      <c r="Z793" s="264"/>
    </row>
    <row r="794" spans="1:26" ht="15.75" customHeight="1">
      <c r="A794" s="264"/>
      <c r="B794" s="264"/>
      <c r="C794" s="264"/>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row>
    <row r="795" spans="1:26" ht="15.75" customHeight="1">
      <c r="A795" s="264"/>
      <c r="B795" s="264"/>
      <c r="C795" s="264"/>
      <c r="D795" s="264"/>
      <c r="E795" s="264"/>
      <c r="F795" s="264"/>
      <c r="G795" s="264"/>
      <c r="H795" s="264"/>
      <c r="I795" s="264"/>
      <c r="J795" s="264"/>
      <c r="K795" s="264"/>
      <c r="L795" s="264"/>
      <c r="M795" s="264"/>
      <c r="N795" s="264"/>
      <c r="O795" s="264"/>
      <c r="P795" s="264"/>
      <c r="Q795" s="264"/>
      <c r="R795" s="264"/>
      <c r="S795" s="264"/>
      <c r="T795" s="264"/>
      <c r="U795" s="264"/>
      <c r="V795" s="264"/>
      <c r="W795" s="264"/>
      <c r="X795" s="264"/>
      <c r="Y795" s="264"/>
      <c r="Z795" s="264"/>
    </row>
    <row r="796" spans="1:26" ht="15.75" customHeight="1">
      <c r="A796" s="264"/>
      <c r="B796" s="264"/>
      <c r="C796" s="264"/>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row>
    <row r="797" spans="1:26" ht="15.75" customHeight="1">
      <c r="A797" s="264"/>
      <c r="B797" s="264"/>
      <c r="C797" s="264"/>
      <c r="D797" s="264"/>
      <c r="E797" s="264"/>
      <c r="F797" s="264"/>
      <c r="G797" s="264"/>
      <c r="H797" s="264"/>
      <c r="I797" s="264"/>
      <c r="J797" s="264"/>
      <c r="K797" s="264"/>
      <c r="L797" s="264"/>
      <c r="M797" s="264"/>
      <c r="N797" s="264"/>
      <c r="O797" s="264"/>
      <c r="P797" s="264"/>
      <c r="Q797" s="264"/>
      <c r="R797" s="264"/>
      <c r="S797" s="264"/>
      <c r="T797" s="264"/>
      <c r="U797" s="264"/>
      <c r="V797" s="264"/>
      <c r="W797" s="264"/>
      <c r="X797" s="264"/>
      <c r="Y797" s="264"/>
      <c r="Z797" s="264"/>
    </row>
    <row r="798" spans="1:26" ht="15.75" customHeight="1">
      <c r="A798" s="264"/>
      <c r="B798" s="264"/>
      <c r="C798" s="264"/>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row>
    <row r="799" spans="1:26" ht="15.75" customHeight="1">
      <c r="A799" s="264"/>
      <c r="B799" s="264"/>
      <c r="C799" s="264"/>
      <c r="D799" s="264"/>
      <c r="E799" s="264"/>
      <c r="F799" s="264"/>
      <c r="G799" s="264"/>
      <c r="H799" s="264"/>
      <c r="I799" s="264"/>
      <c r="J799" s="264"/>
      <c r="K799" s="264"/>
      <c r="L799" s="264"/>
      <c r="M799" s="264"/>
      <c r="N799" s="264"/>
      <c r="O799" s="264"/>
      <c r="P799" s="264"/>
      <c r="Q799" s="264"/>
      <c r="R799" s="264"/>
      <c r="S799" s="264"/>
      <c r="T799" s="264"/>
      <c r="U799" s="264"/>
      <c r="V799" s="264"/>
      <c r="W799" s="264"/>
      <c r="X799" s="264"/>
      <c r="Y799" s="264"/>
      <c r="Z799" s="264"/>
    </row>
    <row r="800" spans="1:26" ht="15.75" customHeight="1">
      <c r="A800" s="264"/>
      <c r="B800" s="264"/>
      <c r="C800" s="264"/>
      <c r="D800" s="264"/>
      <c r="E800" s="264"/>
      <c r="F800" s="264"/>
      <c r="G800" s="264"/>
      <c r="H800" s="264"/>
      <c r="I800" s="264"/>
      <c r="J800" s="264"/>
      <c r="K800" s="264"/>
      <c r="L800" s="264"/>
      <c r="M800" s="264"/>
      <c r="N800" s="264"/>
      <c r="O800" s="264"/>
      <c r="P800" s="264"/>
      <c r="Q800" s="264"/>
      <c r="R800" s="264"/>
      <c r="S800" s="264"/>
      <c r="T800" s="264"/>
      <c r="U800" s="264"/>
      <c r="V800" s="264"/>
      <c r="W800" s="264"/>
      <c r="X800" s="264"/>
      <c r="Y800" s="264"/>
      <c r="Z800" s="264"/>
    </row>
    <row r="801" spans="1:26" ht="15.75" customHeight="1">
      <c r="A801" s="264"/>
      <c r="B801" s="264"/>
      <c r="C801" s="264"/>
      <c r="D801" s="264"/>
      <c r="E801" s="264"/>
      <c r="F801" s="264"/>
      <c r="G801" s="264"/>
      <c r="H801" s="264"/>
      <c r="I801" s="264"/>
      <c r="J801" s="264"/>
      <c r="K801" s="264"/>
      <c r="L801" s="264"/>
      <c r="M801" s="264"/>
      <c r="N801" s="264"/>
      <c r="O801" s="264"/>
      <c r="P801" s="264"/>
      <c r="Q801" s="264"/>
      <c r="R801" s="264"/>
      <c r="S801" s="264"/>
      <c r="T801" s="264"/>
      <c r="U801" s="264"/>
      <c r="V801" s="264"/>
      <c r="W801" s="264"/>
      <c r="X801" s="264"/>
      <c r="Y801" s="264"/>
      <c r="Z801" s="264"/>
    </row>
    <row r="802" spans="1:26" ht="15.75" customHeight="1">
      <c r="A802" s="264"/>
      <c r="B802" s="264"/>
      <c r="C802" s="264"/>
      <c r="D802" s="264"/>
      <c r="E802" s="264"/>
      <c r="F802" s="264"/>
      <c r="G802" s="264"/>
      <c r="H802" s="264"/>
      <c r="I802" s="264"/>
      <c r="J802" s="264"/>
      <c r="K802" s="264"/>
      <c r="L802" s="264"/>
      <c r="M802" s="264"/>
      <c r="N802" s="264"/>
      <c r="O802" s="264"/>
      <c r="P802" s="264"/>
      <c r="Q802" s="264"/>
      <c r="R802" s="264"/>
      <c r="S802" s="264"/>
      <c r="T802" s="264"/>
      <c r="U802" s="264"/>
      <c r="V802" s="264"/>
      <c r="W802" s="264"/>
      <c r="X802" s="264"/>
      <c r="Y802" s="264"/>
      <c r="Z802" s="264"/>
    </row>
    <row r="803" spans="1:26" ht="15.75" customHeight="1">
      <c r="A803" s="264"/>
      <c r="B803" s="264"/>
      <c r="C803" s="264"/>
      <c r="D803" s="264"/>
      <c r="E803" s="264"/>
      <c r="F803" s="264"/>
      <c r="G803" s="264"/>
      <c r="H803" s="264"/>
      <c r="I803" s="264"/>
      <c r="J803" s="264"/>
      <c r="K803" s="264"/>
      <c r="L803" s="264"/>
      <c r="M803" s="264"/>
      <c r="N803" s="264"/>
      <c r="O803" s="264"/>
      <c r="P803" s="264"/>
      <c r="Q803" s="264"/>
      <c r="R803" s="264"/>
      <c r="S803" s="264"/>
      <c r="T803" s="264"/>
      <c r="U803" s="264"/>
      <c r="V803" s="264"/>
      <c r="W803" s="264"/>
      <c r="X803" s="264"/>
      <c r="Y803" s="264"/>
      <c r="Z803" s="264"/>
    </row>
    <row r="804" spans="1:26" ht="15.75" customHeight="1">
      <c r="A804" s="264"/>
      <c r="B804" s="264"/>
      <c r="C804" s="264"/>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row>
    <row r="805" spans="1:26" ht="15.75" customHeight="1">
      <c r="A805" s="264"/>
      <c r="B805" s="264"/>
      <c r="C805" s="264"/>
      <c r="D805" s="264"/>
      <c r="E805" s="264"/>
      <c r="F805" s="264"/>
      <c r="G805" s="264"/>
      <c r="H805" s="264"/>
      <c r="I805" s="264"/>
      <c r="J805" s="264"/>
      <c r="K805" s="264"/>
      <c r="L805" s="264"/>
      <c r="M805" s="264"/>
      <c r="N805" s="264"/>
      <c r="O805" s="264"/>
      <c r="P805" s="264"/>
      <c r="Q805" s="264"/>
      <c r="R805" s="264"/>
      <c r="S805" s="264"/>
      <c r="T805" s="264"/>
      <c r="U805" s="264"/>
      <c r="V805" s="264"/>
      <c r="W805" s="264"/>
      <c r="X805" s="264"/>
      <c r="Y805" s="264"/>
      <c r="Z805" s="264"/>
    </row>
    <row r="806" spans="1:26" ht="15.75" customHeight="1">
      <c r="A806" s="264"/>
      <c r="B806" s="264"/>
      <c r="C806" s="264"/>
      <c r="D806" s="264"/>
      <c r="E806" s="264"/>
      <c r="F806" s="264"/>
      <c r="G806" s="264"/>
      <c r="H806" s="264"/>
      <c r="I806" s="264"/>
      <c r="J806" s="264"/>
      <c r="K806" s="264"/>
      <c r="L806" s="264"/>
      <c r="M806" s="264"/>
      <c r="N806" s="264"/>
      <c r="O806" s="264"/>
      <c r="P806" s="264"/>
      <c r="Q806" s="264"/>
      <c r="R806" s="264"/>
      <c r="S806" s="264"/>
      <c r="T806" s="264"/>
      <c r="U806" s="264"/>
      <c r="V806" s="264"/>
      <c r="W806" s="264"/>
      <c r="X806" s="264"/>
      <c r="Y806" s="264"/>
      <c r="Z806" s="264"/>
    </row>
    <row r="807" spans="1:26" ht="15.75" customHeight="1">
      <c r="A807" s="264"/>
      <c r="B807" s="264"/>
      <c r="C807" s="264"/>
      <c r="D807" s="264"/>
      <c r="E807" s="264"/>
      <c r="F807" s="264"/>
      <c r="G807" s="264"/>
      <c r="H807" s="264"/>
      <c r="I807" s="264"/>
      <c r="J807" s="264"/>
      <c r="K807" s="264"/>
      <c r="L807" s="264"/>
      <c r="M807" s="264"/>
      <c r="N807" s="264"/>
      <c r="O807" s="264"/>
      <c r="P807" s="264"/>
      <c r="Q807" s="264"/>
      <c r="R807" s="264"/>
      <c r="S807" s="264"/>
      <c r="T807" s="264"/>
      <c r="U807" s="264"/>
      <c r="V807" s="264"/>
      <c r="W807" s="264"/>
      <c r="X807" s="264"/>
      <c r="Y807" s="264"/>
      <c r="Z807" s="264"/>
    </row>
    <row r="808" spans="1:26" ht="15.75" customHeight="1">
      <c r="A808" s="264"/>
      <c r="B808" s="264"/>
      <c r="C808" s="264"/>
      <c r="D808" s="264"/>
      <c r="E808" s="264"/>
      <c r="F808" s="264"/>
      <c r="G808" s="264"/>
      <c r="H808" s="264"/>
      <c r="I808" s="264"/>
      <c r="J808" s="264"/>
      <c r="K808" s="264"/>
      <c r="L808" s="264"/>
      <c r="M808" s="264"/>
      <c r="N808" s="264"/>
      <c r="O808" s="264"/>
      <c r="P808" s="264"/>
      <c r="Q808" s="264"/>
      <c r="R808" s="264"/>
      <c r="S808" s="264"/>
      <c r="T808" s="264"/>
      <c r="U808" s="264"/>
      <c r="V808" s="264"/>
      <c r="W808" s="264"/>
      <c r="X808" s="264"/>
      <c r="Y808" s="264"/>
      <c r="Z808" s="264"/>
    </row>
    <row r="809" spans="1:26" ht="15.75" customHeight="1">
      <c r="A809" s="264"/>
      <c r="B809" s="264"/>
      <c r="C809" s="264"/>
      <c r="D809" s="264"/>
      <c r="E809" s="264"/>
      <c r="F809" s="264"/>
      <c r="G809" s="264"/>
      <c r="H809" s="264"/>
      <c r="I809" s="264"/>
      <c r="J809" s="264"/>
      <c r="K809" s="264"/>
      <c r="L809" s="264"/>
      <c r="M809" s="264"/>
      <c r="N809" s="264"/>
      <c r="O809" s="264"/>
      <c r="P809" s="264"/>
      <c r="Q809" s="264"/>
      <c r="R809" s="264"/>
      <c r="S809" s="264"/>
      <c r="T809" s="264"/>
      <c r="U809" s="264"/>
      <c r="V809" s="264"/>
      <c r="W809" s="264"/>
      <c r="X809" s="264"/>
      <c r="Y809" s="264"/>
      <c r="Z809" s="264"/>
    </row>
    <row r="810" spans="1:26" ht="15.75" customHeight="1">
      <c r="A810" s="264"/>
      <c r="B810" s="264"/>
      <c r="C810" s="264"/>
      <c r="D810" s="264"/>
      <c r="E810" s="264"/>
      <c r="F810" s="264"/>
      <c r="G810" s="264"/>
      <c r="H810" s="264"/>
      <c r="I810" s="264"/>
      <c r="J810" s="264"/>
      <c r="K810" s="264"/>
      <c r="L810" s="264"/>
      <c r="M810" s="264"/>
      <c r="N810" s="264"/>
      <c r="O810" s="264"/>
      <c r="P810" s="264"/>
      <c r="Q810" s="264"/>
      <c r="R810" s="264"/>
      <c r="S810" s="264"/>
      <c r="T810" s="264"/>
      <c r="U810" s="264"/>
      <c r="V810" s="264"/>
      <c r="W810" s="264"/>
      <c r="X810" s="264"/>
      <c r="Y810" s="264"/>
      <c r="Z810" s="264"/>
    </row>
    <row r="811" spans="1:26" ht="15.75" customHeight="1">
      <c r="A811" s="264"/>
      <c r="B811" s="264"/>
      <c r="C811" s="264"/>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row>
    <row r="812" spans="1:26" ht="15.75" customHeight="1">
      <c r="A812" s="264"/>
      <c r="B812" s="264"/>
      <c r="C812" s="264"/>
      <c r="D812" s="264"/>
      <c r="E812" s="264"/>
      <c r="F812" s="264"/>
      <c r="G812" s="264"/>
      <c r="H812" s="264"/>
      <c r="I812" s="264"/>
      <c r="J812" s="264"/>
      <c r="K812" s="264"/>
      <c r="L812" s="264"/>
      <c r="M812" s="264"/>
      <c r="N812" s="264"/>
      <c r="O812" s="264"/>
      <c r="P812" s="264"/>
      <c r="Q812" s="264"/>
      <c r="R812" s="264"/>
      <c r="S812" s="264"/>
      <c r="T812" s="264"/>
      <c r="U812" s="264"/>
      <c r="V812" s="264"/>
      <c r="W812" s="264"/>
      <c r="X812" s="264"/>
      <c r="Y812" s="264"/>
      <c r="Z812" s="264"/>
    </row>
    <row r="813" spans="1:26" ht="15.75" customHeight="1">
      <c r="A813" s="264"/>
      <c r="B813" s="264"/>
      <c r="C813" s="264"/>
      <c r="D813" s="264"/>
      <c r="E813" s="264"/>
      <c r="F813" s="264"/>
      <c r="G813" s="264"/>
      <c r="H813" s="264"/>
      <c r="I813" s="264"/>
      <c r="J813" s="264"/>
      <c r="K813" s="264"/>
      <c r="L813" s="264"/>
      <c r="M813" s="264"/>
      <c r="N813" s="264"/>
      <c r="O813" s="264"/>
      <c r="P813" s="264"/>
      <c r="Q813" s="264"/>
      <c r="R813" s="264"/>
      <c r="S813" s="264"/>
      <c r="T813" s="264"/>
      <c r="U813" s="264"/>
      <c r="V813" s="264"/>
      <c r="W813" s="264"/>
      <c r="X813" s="264"/>
      <c r="Y813" s="264"/>
      <c r="Z813" s="264"/>
    </row>
    <row r="814" spans="1:26" ht="15.75" customHeight="1">
      <c r="A814" s="264"/>
      <c r="B814" s="264"/>
      <c r="C814" s="264"/>
      <c r="D814" s="264"/>
      <c r="E814" s="264"/>
      <c r="F814" s="264"/>
      <c r="G814" s="264"/>
      <c r="H814" s="264"/>
      <c r="I814" s="264"/>
      <c r="J814" s="264"/>
      <c r="K814" s="264"/>
      <c r="L814" s="264"/>
      <c r="M814" s="264"/>
      <c r="N814" s="264"/>
      <c r="O814" s="264"/>
      <c r="P814" s="264"/>
      <c r="Q814" s="264"/>
      <c r="R814" s="264"/>
      <c r="S814" s="264"/>
      <c r="T814" s="264"/>
      <c r="U814" s="264"/>
      <c r="V814" s="264"/>
      <c r="W814" s="264"/>
      <c r="X814" s="264"/>
      <c r="Y814" s="264"/>
      <c r="Z814" s="264"/>
    </row>
    <row r="815" spans="1:26" ht="15.75" customHeight="1">
      <c r="A815" s="264"/>
      <c r="B815" s="264"/>
      <c r="C815" s="264"/>
      <c r="D815" s="264"/>
      <c r="E815" s="264"/>
      <c r="F815" s="264"/>
      <c r="G815" s="264"/>
      <c r="H815" s="264"/>
      <c r="I815" s="264"/>
      <c r="J815" s="264"/>
      <c r="K815" s="264"/>
      <c r="L815" s="264"/>
      <c r="M815" s="264"/>
      <c r="N815" s="264"/>
      <c r="O815" s="264"/>
      <c r="P815" s="264"/>
      <c r="Q815" s="264"/>
      <c r="R815" s="264"/>
      <c r="S815" s="264"/>
      <c r="T815" s="264"/>
      <c r="U815" s="264"/>
      <c r="V815" s="264"/>
      <c r="W815" s="264"/>
      <c r="X815" s="264"/>
      <c r="Y815" s="264"/>
      <c r="Z815" s="264"/>
    </row>
    <row r="816" spans="1:26" ht="15.75" customHeight="1">
      <c r="A816" s="264"/>
      <c r="B816" s="264"/>
      <c r="C816" s="264"/>
      <c r="D816" s="264"/>
      <c r="E816" s="264"/>
      <c r="F816" s="264"/>
      <c r="G816" s="264"/>
      <c r="H816" s="264"/>
      <c r="I816" s="264"/>
      <c r="J816" s="264"/>
      <c r="K816" s="264"/>
      <c r="L816" s="264"/>
      <c r="M816" s="264"/>
      <c r="N816" s="264"/>
      <c r="O816" s="264"/>
      <c r="P816" s="264"/>
      <c r="Q816" s="264"/>
      <c r="R816" s="264"/>
      <c r="S816" s="264"/>
      <c r="T816" s="264"/>
      <c r="U816" s="264"/>
      <c r="V816" s="264"/>
      <c r="W816" s="264"/>
      <c r="X816" s="264"/>
      <c r="Y816" s="264"/>
      <c r="Z816" s="264"/>
    </row>
    <row r="817" spans="1:26" ht="15.75" customHeight="1">
      <c r="A817" s="264"/>
      <c r="B817" s="264"/>
      <c r="C817" s="264"/>
      <c r="D817" s="264"/>
      <c r="E817" s="264"/>
      <c r="F817" s="264"/>
      <c r="G817" s="264"/>
      <c r="H817" s="264"/>
      <c r="I817" s="264"/>
      <c r="J817" s="264"/>
      <c r="K817" s="264"/>
      <c r="L817" s="264"/>
      <c r="M817" s="264"/>
      <c r="N817" s="264"/>
      <c r="O817" s="264"/>
      <c r="P817" s="264"/>
      <c r="Q817" s="264"/>
      <c r="R817" s="264"/>
      <c r="S817" s="264"/>
      <c r="T817" s="264"/>
      <c r="U817" s="264"/>
      <c r="V817" s="264"/>
      <c r="W817" s="264"/>
      <c r="X817" s="264"/>
      <c r="Y817" s="264"/>
      <c r="Z817" s="264"/>
    </row>
    <row r="818" spans="1:26" ht="15.75" customHeight="1">
      <c r="A818" s="264"/>
      <c r="B818" s="264"/>
      <c r="C818" s="264"/>
      <c r="D818" s="264"/>
      <c r="E818" s="264"/>
      <c r="F818" s="264"/>
      <c r="G818" s="264"/>
      <c r="H818" s="264"/>
      <c r="I818" s="264"/>
      <c r="J818" s="264"/>
      <c r="K818" s="264"/>
      <c r="L818" s="264"/>
      <c r="M818" s="264"/>
      <c r="N818" s="264"/>
      <c r="O818" s="264"/>
      <c r="P818" s="264"/>
      <c r="Q818" s="264"/>
      <c r="R818" s="264"/>
      <c r="S818" s="264"/>
      <c r="T818" s="264"/>
      <c r="U818" s="264"/>
      <c r="V818" s="264"/>
      <c r="W818" s="264"/>
      <c r="X818" s="264"/>
      <c r="Y818" s="264"/>
      <c r="Z818" s="264"/>
    </row>
    <row r="819" spans="1:26" ht="15.75" customHeight="1">
      <c r="A819" s="264"/>
      <c r="B819" s="264"/>
      <c r="C819" s="264"/>
      <c r="D819" s="264"/>
      <c r="E819" s="264"/>
      <c r="F819" s="264"/>
      <c r="G819" s="264"/>
      <c r="H819" s="264"/>
      <c r="I819" s="264"/>
      <c r="J819" s="264"/>
      <c r="K819" s="264"/>
      <c r="L819" s="264"/>
      <c r="M819" s="264"/>
      <c r="N819" s="264"/>
      <c r="O819" s="264"/>
      <c r="P819" s="264"/>
      <c r="Q819" s="264"/>
      <c r="R819" s="264"/>
      <c r="S819" s="264"/>
      <c r="T819" s="264"/>
      <c r="U819" s="264"/>
      <c r="V819" s="264"/>
      <c r="W819" s="264"/>
      <c r="X819" s="264"/>
      <c r="Y819" s="264"/>
      <c r="Z819" s="264"/>
    </row>
    <row r="820" spans="1:26" ht="15.75" customHeight="1">
      <c r="A820" s="264"/>
      <c r="B820" s="264"/>
      <c r="C820" s="264"/>
      <c r="D820" s="264"/>
      <c r="E820" s="264"/>
      <c r="F820" s="264"/>
      <c r="G820" s="264"/>
      <c r="H820" s="264"/>
      <c r="I820" s="264"/>
      <c r="J820" s="264"/>
      <c r="K820" s="264"/>
      <c r="L820" s="264"/>
      <c r="M820" s="264"/>
      <c r="N820" s="264"/>
      <c r="O820" s="264"/>
      <c r="P820" s="264"/>
      <c r="Q820" s="264"/>
      <c r="R820" s="264"/>
      <c r="S820" s="264"/>
      <c r="T820" s="264"/>
      <c r="U820" s="264"/>
      <c r="V820" s="264"/>
      <c r="W820" s="264"/>
      <c r="X820" s="264"/>
      <c r="Y820" s="264"/>
      <c r="Z820" s="264"/>
    </row>
    <row r="821" spans="1:26" ht="15.75" customHeight="1">
      <c r="A821" s="264"/>
      <c r="B821" s="264"/>
      <c r="C821" s="264"/>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row>
    <row r="822" spans="1:26" ht="15.75" customHeight="1">
      <c r="A822" s="264"/>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row>
    <row r="823" spans="1:26" ht="15.75" customHeight="1">
      <c r="A823" s="264"/>
      <c r="B823" s="264"/>
      <c r="C823" s="264"/>
      <c r="D823" s="264"/>
      <c r="E823" s="264"/>
      <c r="F823" s="264"/>
      <c r="G823" s="264"/>
      <c r="H823" s="264"/>
      <c r="I823" s="264"/>
      <c r="J823" s="264"/>
      <c r="K823" s="264"/>
      <c r="L823" s="264"/>
      <c r="M823" s="264"/>
      <c r="N823" s="264"/>
      <c r="O823" s="264"/>
      <c r="P823" s="264"/>
      <c r="Q823" s="264"/>
      <c r="R823" s="264"/>
      <c r="S823" s="264"/>
      <c r="T823" s="264"/>
      <c r="U823" s="264"/>
      <c r="V823" s="264"/>
      <c r="W823" s="264"/>
      <c r="X823" s="264"/>
      <c r="Y823" s="264"/>
      <c r="Z823" s="264"/>
    </row>
    <row r="824" spans="1:26" ht="15.75" customHeight="1">
      <c r="A824" s="264"/>
      <c r="B824" s="264"/>
      <c r="C824" s="264"/>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row>
    <row r="825" spans="1:26" ht="15.75" customHeight="1">
      <c r="A825" s="264"/>
      <c r="B825" s="264"/>
      <c r="C825" s="264"/>
      <c r="D825" s="264"/>
      <c r="E825" s="264"/>
      <c r="F825" s="264"/>
      <c r="G825" s="264"/>
      <c r="H825" s="264"/>
      <c r="I825" s="264"/>
      <c r="J825" s="264"/>
      <c r="K825" s="264"/>
      <c r="L825" s="264"/>
      <c r="M825" s="264"/>
      <c r="N825" s="264"/>
      <c r="O825" s="264"/>
      <c r="P825" s="264"/>
      <c r="Q825" s="264"/>
      <c r="R825" s="264"/>
      <c r="S825" s="264"/>
      <c r="T825" s="264"/>
      <c r="U825" s="264"/>
      <c r="V825" s="264"/>
      <c r="W825" s="264"/>
      <c r="X825" s="264"/>
      <c r="Y825" s="264"/>
      <c r="Z825" s="264"/>
    </row>
    <row r="826" spans="1:26" ht="15.75" customHeight="1">
      <c r="A826" s="264"/>
      <c r="B826" s="264"/>
      <c r="C826" s="264"/>
      <c r="D826" s="264"/>
      <c r="E826" s="264"/>
      <c r="F826" s="264"/>
      <c r="G826" s="264"/>
      <c r="H826" s="264"/>
      <c r="I826" s="264"/>
      <c r="J826" s="264"/>
      <c r="K826" s="264"/>
      <c r="L826" s="264"/>
      <c r="M826" s="264"/>
      <c r="N826" s="264"/>
      <c r="O826" s="264"/>
      <c r="P826" s="264"/>
      <c r="Q826" s="264"/>
      <c r="R826" s="264"/>
      <c r="S826" s="264"/>
      <c r="T826" s="264"/>
      <c r="U826" s="264"/>
      <c r="V826" s="264"/>
      <c r="W826" s="264"/>
      <c r="X826" s="264"/>
      <c r="Y826" s="264"/>
      <c r="Z826" s="264"/>
    </row>
    <row r="827" spans="1:26" ht="15.75" customHeight="1">
      <c r="A827" s="264"/>
      <c r="B827" s="264"/>
      <c r="C827" s="264"/>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row>
    <row r="828" spans="1:26" ht="15.75" customHeight="1">
      <c r="A828" s="264"/>
      <c r="B828" s="264"/>
      <c r="C828" s="264"/>
      <c r="D828" s="264"/>
      <c r="E828" s="264"/>
      <c r="F828" s="264"/>
      <c r="G828" s="264"/>
      <c r="H828" s="264"/>
      <c r="I828" s="264"/>
      <c r="J828" s="264"/>
      <c r="K828" s="264"/>
      <c r="L828" s="264"/>
      <c r="M828" s="264"/>
      <c r="N828" s="264"/>
      <c r="O828" s="264"/>
      <c r="P828" s="264"/>
      <c r="Q828" s="264"/>
      <c r="R828" s="264"/>
      <c r="S828" s="264"/>
      <c r="T828" s="264"/>
      <c r="U828" s="264"/>
      <c r="V828" s="264"/>
      <c r="W828" s="264"/>
      <c r="X828" s="264"/>
      <c r="Y828" s="264"/>
      <c r="Z828" s="264"/>
    </row>
    <row r="829" spans="1:26" ht="15.75" customHeight="1">
      <c r="A829" s="264"/>
      <c r="B829" s="264"/>
      <c r="C829" s="264"/>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row>
    <row r="830" spans="1:26" ht="15.75" customHeight="1">
      <c r="A830" s="264"/>
      <c r="B830" s="264"/>
      <c r="C830" s="264"/>
      <c r="D830" s="264"/>
      <c r="E830" s="264"/>
      <c r="F830" s="264"/>
      <c r="G830" s="264"/>
      <c r="H830" s="264"/>
      <c r="I830" s="264"/>
      <c r="J830" s="264"/>
      <c r="K830" s="264"/>
      <c r="L830" s="264"/>
      <c r="M830" s="264"/>
      <c r="N830" s="264"/>
      <c r="O830" s="264"/>
      <c r="P830" s="264"/>
      <c r="Q830" s="264"/>
      <c r="R830" s="264"/>
      <c r="S830" s="264"/>
      <c r="T830" s="264"/>
      <c r="U830" s="264"/>
      <c r="V830" s="264"/>
      <c r="W830" s="264"/>
      <c r="X830" s="264"/>
      <c r="Y830" s="264"/>
      <c r="Z830" s="264"/>
    </row>
    <row r="831" spans="1:26" ht="15.75" customHeight="1">
      <c r="A831" s="264"/>
      <c r="B831" s="264"/>
      <c r="C831" s="264"/>
      <c r="D831" s="264"/>
      <c r="E831" s="264"/>
      <c r="F831" s="264"/>
      <c r="G831" s="264"/>
      <c r="H831" s="264"/>
      <c r="I831" s="264"/>
      <c r="J831" s="264"/>
      <c r="K831" s="264"/>
      <c r="L831" s="264"/>
      <c r="M831" s="264"/>
      <c r="N831" s="264"/>
      <c r="O831" s="264"/>
      <c r="P831" s="264"/>
      <c r="Q831" s="264"/>
      <c r="R831" s="264"/>
      <c r="S831" s="264"/>
      <c r="T831" s="264"/>
      <c r="U831" s="264"/>
      <c r="V831" s="264"/>
      <c r="W831" s="264"/>
      <c r="X831" s="264"/>
      <c r="Y831" s="264"/>
      <c r="Z831" s="264"/>
    </row>
    <row r="832" spans="1:26" ht="15.75" customHeight="1">
      <c r="A832" s="264"/>
      <c r="B832" s="264"/>
      <c r="C832" s="264"/>
      <c r="D832" s="264"/>
      <c r="E832" s="264"/>
      <c r="F832" s="264"/>
      <c r="G832" s="264"/>
      <c r="H832" s="264"/>
      <c r="I832" s="264"/>
      <c r="J832" s="264"/>
      <c r="K832" s="264"/>
      <c r="L832" s="264"/>
      <c r="M832" s="264"/>
      <c r="N832" s="264"/>
      <c r="O832" s="264"/>
      <c r="P832" s="264"/>
      <c r="Q832" s="264"/>
      <c r="R832" s="264"/>
      <c r="S832" s="264"/>
      <c r="T832" s="264"/>
      <c r="U832" s="264"/>
      <c r="V832" s="264"/>
      <c r="W832" s="264"/>
      <c r="X832" s="264"/>
      <c r="Y832" s="264"/>
      <c r="Z832" s="264"/>
    </row>
    <row r="833" spans="1:26" ht="15.75" customHeight="1">
      <c r="A833" s="264"/>
      <c r="B833" s="264"/>
      <c r="C833" s="264"/>
      <c r="D833" s="264"/>
      <c r="E833" s="264"/>
      <c r="F833" s="264"/>
      <c r="G833" s="264"/>
      <c r="H833" s="264"/>
      <c r="I833" s="264"/>
      <c r="J833" s="264"/>
      <c r="K833" s="264"/>
      <c r="L833" s="264"/>
      <c r="M833" s="264"/>
      <c r="N833" s="264"/>
      <c r="O833" s="264"/>
      <c r="P833" s="264"/>
      <c r="Q833" s="264"/>
      <c r="R833" s="264"/>
      <c r="S833" s="264"/>
      <c r="T833" s="264"/>
      <c r="U833" s="264"/>
      <c r="V833" s="264"/>
      <c r="W833" s="264"/>
      <c r="X833" s="264"/>
      <c r="Y833" s="264"/>
      <c r="Z833" s="264"/>
    </row>
    <row r="834" spans="1:26" ht="15.75" customHeight="1">
      <c r="A834" s="264"/>
      <c r="B834" s="264"/>
      <c r="C834" s="264"/>
      <c r="D834" s="264"/>
      <c r="E834" s="264"/>
      <c r="F834" s="264"/>
      <c r="G834" s="264"/>
      <c r="H834" s="264"/>
      <c r="I834" s="264"/>
      <c r="J834" s="264"/>
      <c r="K834" s="264"/>
      <c r="L834" s="264"/>
      <c r="M834" s="264"/>
      <c r="N834" s="264"/>
      <c r="O834" s="264"/>
      <c r="P834" s="264"/>
      <c r="Q834" s="264"/>
      <c r="R834" s="264"/>
      <c r="S834" s="264"/>
      <c r="T834" s="264"/>
      <c r="U834" s="264"/>
      <c r="V834" s="264"/>
      <c r="W834" s="264"/>
      <c r="X834" s="264"/>
      <c r="Y834" s="264"/>
      <c r="Z834" s="264"/>
    </row>
    <row r="835" spans="1:26" ht="15.75" customHeight="1">
      <c r="A835" s="264"/>
      <c r="B835" s="264"/>
      <c r="C835" s="264"/>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row>
    <row r="836" spans="1:26" ht="15.75" customHeight="1">
      <c r="A836" s="264"/>
      <c r="B836" s="264"/>
      <c r="C836" s="264"/>
      <c r="D836" s="264"/>
      <c r="E836" s="264"/>
      <c r="F836" s="264"/>
      <c r="G836" s="264"/>
      <c r="H836" s="264"/>
      <c r="I836" s="264"/>
      <c r="J836" s="264"/>
      <c r="K836" s="264"/>
      <c r="L836" s="264"/>
      <c r="M836" s="264"/>
      <c r="N836" s="264"/>
      <c r="O836" s="264"/>
      <c r="P836" s="264"/>
      <c r="Q836" s="264"/>
      <c r="R836" s="264"/>
      <c r="S836" s="264"/>
      <c r="T836" s="264"/>
      <c r="U836" s="264"/>
      <c r="V836" s="264"/>
      <c r="W836" s="264"/>
      <c r="X836" s="264"/>
      <c r="Y836" s="264"/>
      <c r="Z836" s="264"/>
    </row>
    <row r="837" spans="1:26" ht="15.75" customHeight="1">
      <c r="A837" s="264"/>
      <c r="B837" s="264"/>
      <c r="C837" s="264"/>
      <c r="D837" s="264"/>
      <c r="E837" s="264"/>
      <c r="F837" s="264"/>
      <c r="G837" s="264"/>
      <c r="H837" s="264"/>
      <c r="I837" s="264"/>
      <c r="J837" s="264"/>
      <c r="K837" s="264"/>
      <c r="L837" s="264"/>
      <c r="M837" s="264"/>
      <c r="N837" s="264"/>
      <c r="O837" s="264"/>
      <c r="P837" s="264"/>
      <c r="Q837" s="264"/>
      <c r="R837" s="264"/>
      <c r="S837" s="264"/>
      <c r="T837" s="264"/>
      <c r="U837" s="264"/>
      <c r="V837" s="264"/>
      <c r="W837" s="264"/>
      <c r="X837" s="264"/>
      <c r="Y837" s="264"/>
      <c r="Z837" s="264"/>
    </row>
    <row r="838" spans="1:26" ht="15.75" customHeight="1">
      <c r="A838" s="264"/>
      <c r="B838" s="264"/>
      <c r="C838" s="264"/>
      <c r="D838" s="264"/>
      <c r="E838" s="264"/>
      <c r="F838" s="264"/>
      <c r="G838" s="264"/>
      <c r="H838" s="264"/>
      <c r="I838" s="264"/>
      <c r="J838" s="264"/>
      <c r="K838" s="264"/>
      <c r="L838" s="264"/>
      <c r="M838" s="264"/>
      <c r="N838" s="264"/>
      <c r="O838" s="264"/>
      <c r="P838" s="264"/>
      <c r="Q838" s="264"/>
      <c r="R838" s="264"/>
      <c r="S838" s="264"/>
      <c r="T838" s="264"/>
      <c r="U838" s="264"/>
      <c r="V838" s="264"/>
      <c r="W838" s="264"/>
      <c r="X838" s="264"/>
      <c r="Y838" s="264"/>
      <c r="Z838" s="264"/>
    </row>
    <row r="839" spans="1:26" ht="15.75" customHeight="1">
      <c r="A839" s="264"/>
      <c r="B839" s="264"/>
      <c r="C839" s="264"/>
      <c r="D839" s="264"/>
      <c r="E839" s="264"/>
      <c r="F839" s="264"/>
      <c r="G839" s="264"/>
      <c r="H839" s="264"/>
      <c r="I839" s="264"/>
      <c r="J839" s="264"/>
      <c r="K839" s="264"/>
      <c r="L839" s="264"/>
      <c r="M839" s="264"/>
      <c r="N839" s="264"/>
      <c r="O839" s="264"/>
      <c r="P839" s="264"/>
      <c r="Q839" s="264"/>
      <c r="R839" s="264"/>
      <c r="S839" s="264"/>
      <c r="T839" s="264"/>
      <c r="U839" s="264"/>
      <c r="V839" s="264"/>
      <c r="W839" s="264"/>
      <c r="X839" s="264"/>
      <c r="Y839" s="264"/>
      <c r="Z839" s="264"/>
    </row>
    <row r="840" spans="1:26" ht="15.75" customHeight="1">
      <c r="A840" s="264"/>
      <c r="B840" s="264"/>
      <c r="C840" s="264"/>
      <c r="D840" s="264"/>
      <c r="E840" s="264"/>
      <c r="F840" s="264"/>
      <c r="G840" s="264"/>
      <c r="H840" s="264"/>
      <c r="I840" s="264"/>
      <c r="J840" s="264"/>
      <c r="K840" s="264"/>
      <c r="L840" s="264"/>
      <c r="M840" s="264"/>
      <c r="N840" s="264"/>
      <c r="O840" s="264"/>
      <c r="P840" s="264"/>
      <c r="Q840" s="264"/>
      <c r="R840" s="264"/>
      <c r="S840" s="264"/>
      <c r="T840" s="264"/>
      <c r="U840" s="264"/>
      <c r="V840" s="264"/>
      <c r="W840" s="264"/>
      <c r="X840" s="264"/>
      <c r="Y840" s="264"/>
      <c r="Z840" s="264"/>
    </row>
    <row r="841" spans="1:26" ht="15.75" customHeight="1">
      <c r="A841" s="264"/>
      <c r="B841" s="264"/>
      <c r="C841" s="264"/>
      <c r="D841" s="264"/>
      <c r="E841" s="264"/>
      <c r="F841" s="264"/>
      <c r="G841" s="264"/>
      <c r="H841" s="264"/>
      <c r="I841" s="264"/>
      <c r="J841" s="264"/>
      <c r="K841" s="264"/>
      <c r="L841" s="264"/>
      <c r="M841" s="264"/>
      <c r="N841" s="264"/>
      <c r="O841" s="264"/>
      <c r="P841" s="264"/>
      <c r="Q841" s="264"/>
      <c r="R841" s="264"/>
      <c r="S841" s="264"/>
      <c r="T841" s="264"/>
      <c r="U841" s="264"/>
      <c r="V841" s="264"/>
      <c r="W841" s="264"/>
      <c r="X841" s="264"/>
      <c r="Y841" s="264"/>
      <c r="Z841" s="264"/>
    </row>
    <row r="842" spans="1:26" ht="15.75" customHeight="1">
      <c r="A842" s="264"/>
      <c r="B842" s="264"/>
      <c r="C842" s="264"/>
      <c r="D842" s="264"/>
      <c r="E842" s="264"/>
      <c r="F842" s="264"/>
      <c r="G842" s="264"/>
      <c r="H842" s="264"/>
      <c r="I842" s="264"/>
      <c r="J842" s="264"/>
      <c r="K842" s="264"/>
      <c r="L842" s="264"/>
      <c r="M842" s="264"/>
      <c r="N842" s="264"/>
      <c r="O842" s="264"/>
      <c r="P842" s="264"/>
      <c r="Q842" s="264"/>
      <c r="R842" s="264"/>
      <c r="S842" s="264"/>
      <c r="T842" s="264"/>
      <c r="U842" s="264"/>
      <c r="V842" s="264"/>
      <c r="W842" s="264"/>
      <c r="X842" s="264"/>
      <c r="Y842" s="264"/>
      <c r="Z842" s="264"/>
    </row>
    <row r="843" spans="1:26" ht="15.75" customHeight="1">
      <c r="A843" s="264"/>
      <c r="B843" s="264"/>
      <c r="C843" s="264"/>
      <c r="D843" s="264"/>
      <c r="E843" s="264"/>
      <c r="F843" s="264"/>
      <c r="G843" s="264"/>
      <c r="H843" s="264"/>
      <c r="I843" s="264"/>
      <c r="J843" s="264"/>
      <c r="K843" s="264"/>
      <c r="L843" s="264"/>
      <c r="M843" s="264"/>
      <c r="N843" s="264"/>
      <c r="O843" s="264"/>
      <c r="P843" s="264"/>
      <c r="Q843" s="264"/>
      <c r="R843" s="264"/>
      <c r="S843" s="264"/>
      <c r="T843" s="264"/>
      <c r="U843" s="264"/>
      <c r="V843" s="264"/>
      <c r="W843" s="264"/>
      <c r="X843" s="264"/>
      <c r="Y843" s="264"/>
      <c r="Z843" s="264"/>
    </row>
    <row r="844" spans="1:26" ht="15.75" customHeight="1">
      <c r="A844" s="264"/>
      <c r="B844" s="264"/>
      <c r="C844" s="264"/>
      <c r="D844" s="264"/>
      <c r="E844" s="264"/>
      <c r="F844" s="264"/>
      <c r="G844" s="264"/>
      <c r="H844" s="264"/>
      <c r="I844" s="264"/>
      <c r="J844" s="264"/>
      <c r="K844" s="264"/>
      <c r="L844" s="264"/>
      <c r="M844" s="264"/>
      <c r="N844" s="264"/>
      <c r="O844" s="264"/>
      <c r="P844" s="264"/>
      <c r="Q844" s="264"/>
      <c r="R844" s="264"/>
      <c r="S844" s="264"/>
      <c r="T844" s="264"/>
      <c r="U844" s="264"/>
      <c r="V844" s="264"/>
      <c r="W844" s="264"/>
      <c r="X844" s="264"/>
      <c r="Y844" s="264"/>
      <c r="Z844" s="264"/>
    </row>
    <row r="845" spans="1:26" ht="15.75" customHeight="1">
      <c r="A845" s="264"/>
      <c r="B845" s="264"/>
      <c r="C845" s="264"/>
      <c r="D845" s="264"/>
      <c r="E845" s="264"/>
      <c r="F845" s="264"/>
      <c r="G845" s="264"/>
      <c r="H845" s="264"/>
      <c r="I845" s="264"/>
      <c r="J845" s="264"/>
      <c r="K845" s="264"/>
      <c r="L845" s="264"/>
      <c r="M845" s="264"/>
      <c r="N845" s="264"/>
      <c r="O845" s="264"/>
      <c r="P845" s="264"/>
      <c r="Q845" s="264"/>
      <c r="R845" s="264"/>
      <c r="S845" s="264"/>
      <c r="T845" s="264"/>
      <c r="U845" s="264"/>
      <c r="V845" s="264"/>
      <c r="W845" s="264"/>
      <c r="X845" s="264"/>
      <c r="Y845" s="264"/>
      <c r="Z845" s="264"/>
    </row>
    <row r="846" spans="1:26" ht="15.75" customHeight="1">
      <c r="A846" s="264"/>
      <c r="B846" s="264"/>
      <c r="C846" s="264"/>
      <c r="D846" s="264"/>
      <c r="E846" s="264"/>
      <c r="F846" s="264"/>
      <c r="G846" s="264"/>
      <c r="H846" s="264"/>
      <c r="I846" s="264"/>
      <c r="J846" s="264"/>
      <c r="K846" s="264"/>
      <c r="L846" s="264"/>
      <c r="M846" s="264"/>
      <c r="N846" s="264"/>
      <c r="O846" s="264"/>
      <c r="P846" s="264"/>
      <c r="Q846" s="264"/>
      <c r="R846" s="264"/>
      <c r="S846" s="264"/>
      <c r="T846" s="264"/>
      <c r="U846" s="264"/>
      <c r="V846" s="264"/>
      <c r="W846" s="264"/>
      <c r="X846" s="264"/>
      <c r="Y846" s="264"/>
      <c r="Z846" s="264"/>
    </row>
    <row r="847" spans="1:26" ht="15.75" customHeight="1">
      <c r="A847" s="264"/>
      <c r="B847" s="264"/>
      <c r="C847" s="264"/>
      <c r="D847" s="264"/>
      <c r="E847" s="264"/>
      <c r="F847" s="264"/>
      <c r="G847" s="264"/>
      <c r="H847" s="264"/>
      <c r="I847" s="264"/>
      <c r="J847" s="264"/>
      <c r="K847" s="264"/>
      <c r="L847" s="264"/>
      <c r="M847" s="264"/>
      <c r="N847" s="264"/>
      <c r="O847" s="264"/>
      <c r="P847" s="264"/>
      <c r="Q847" s="264"/>
      <c r="R847" s="264"/>
      <c r="S847" s="264"/>
      <c r="T847" s="264"/>
      <c r="U847" s="264"/>
      <c r="V847" s="264"/>
      <c r="W847" s="264"/>
      <c r="X847" s="264"/>
      <c r="Y847" s="264"/>
      <c r="Z847" s="264"/>
    </row>
    <row r="848" spans="1:26" ht="15.75" customHeight="1">
      <c r="A848" s="264"/>
      <c r="B848" s="264"/>
      <c r="C848" s="264"/>
      <c r="D848" s="264"/>
      <c r="E848" s="264"/>
      <c r="F848" s="264"/>
      <c r="G848" s="264"/>
      <c r="H848" s="264"/>
      <c r="I848" s="264"/>
      <c r="J848" s="264"/>
      <c r="K848" s="264"/>
      <c r="L848" s="264"/>
      <c r="M848" s="264"/>
      <c r="N848" s="264"/>
      <c r="O848" s="264"/>
      <c r="P848" s="264"/>
      <c r="Q848" s="264"/>
      <c r="R848" s="264"/>
      <c r="S848" s="264"/>
      <c r="T848" s="264"/>
      <c r="U848" s="264"/>
      <c r="V848" s="264"/>
      <c r="W848" s="264"/>
      <c r="X848" s="264"/>
      <c r="Y848" s="264"/>
      <c r="Z848" s="264"/>
    </row>
    <row r="849" spans="1:26" ht="15.75" customHeight="1">
      <c r="A849" s="264"/>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row>
    <row r="850" spans="1:26" ht="15.75" customHeight="1">
      <c r="A850" s="264"/>
      <c r="B850" s="264"/>
      <c r="C850" s="264"/>
      <c r="D850" s="264"/>
      <c r="E850" s="264"/>
      <c r="F850" s="264"/>
      <c r="G850" s="264"/>
      <c r="H850" s="264"/>
      <c r="I850" s="264"/>
      <c r="J850" s="264"/>
      <c r="K850" s="264"/>
      <c r="L850" s="264"/>
      <c r="M850" s="264"/>
      <c r="N850" s="264"/>
      <c r="O850" s="264"/>
      <c r="P850" s="264"/>
      <c r="Q850" s="264"/>
      <c r="R850" s="264"/>
      <c r="S850" s="264"/>
      <c r="T850" s="264"/>
      <c r="U850" s="264"/>
      <c r="V850" s="264"/>
      <c r="W850" s="264"/>
      <c r="X850" s="264"/>
      <c r="Y850" s="264"/>
      <c r="Z850" s="264"/>
    </row>
    <row r="851" spans="1:26" ht="15.75" customHeight="1">
      <c r="A851" s="264"/>
      <c r="B851" s="264"/>
      <c r="C851" s="264"/>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row>
    <row r="852" spans="1:26" ht="15.75" customHeight="1">
      <c r="A852" s="264"/>
      <c r="B852" s="264"/>
      <c r="C852" s="264"/>
      <c r="D852" s="264"/>
      <c r="E852" s="264"/>
      <c r="F852" s="264"/>
      <c r="G852" s="264"/>
      <c r="H852" s="264"/>
      <c r="I852" s="264"/>
      <c r="J852" s="264"/>
      <c r="K852" s="264"/>
      <c r="L852" s="264"/>
      <c r="M852" s="264"/>
      <c r="N852" s="264"/>
      <c r="O852" s="264"/>
      <c r="P852" s="264"/>
      <c r="Q852" s="264"/>
      <c r="R852" s="264"/>
      <c r="S852" s="264"/>
      <c r="T852" s="264"/>
      <c r="U852" s="264"/>
      <c r="V852" s="264"/>
      <c r="W852" s="264"/>
      <c r="X852" s="264"/>
      <c r="Y852" s="264"/>
      <c r="Z852" s="264"/>
    </row>
    <row r="853" spans="1:26" ht="15.75" customHeight="1">
      <c r="A853" s="264"/>
      <c r="B853" s="264"/>
      <c r="C853" s="264"/>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row>
    <row r="854" spans="1:26" ht="15.75" customHeight="1">
      <c r="A854" s="264"/>
      <c r="B854" s="264"/>
      <c r="C854" s="264"/>
      <c r="D854" s="264"/>
      <c r="E854" s="264"/>
      <c r="F854" s="264"/>
      <c r="G854" s="264"/>
      <c r="H854" s="264"/>
      <c r="I854" s="264"/>
      <c r="J854" s="264"/>
      <c r="K854" s="264"/>
      <c r="L854" s="264"/>
      <c r="M854" s="264"/>
      <c r="N854" s="264"/>
      <c r="O854" s="264"/>
      <c r="P854" s="264"/>
      <c r="Q854" s="264"/>
      <c r="R854" s="264"/>
      <c r="S854" s="264"/>
      <c r="T854" s="264"/>
      <c r="U854" s="264"/>
      <c r="V854" s="264"/>
      <c r="W854" s="264"/>
      <c r="X854" s="264"/>
      <c r="Y854" s="264"/>
      <c r="Z854" s="264"/>
    </row>
    <row r="855" spans="1:26" ht="15.75" customHeight="1">
      <c r="A855" s="264"/>
      <c r="B855" s="264"/>
      <c r="C855" s="264"/>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row>
    <row r="856" spans="1:26" ht="15.75" customHeight="1">
      <c r="A856" s="264"/>
      <c r="B856" s="264"/>
      <c r="C856" s="264"/>
      <c r="D856" s="264"/>
      <c r="E856" s="264"/>
      <c r="F856" s="264"/>
      <c r="G856" s="264"/>
      <c r="H856" s="264"/>
      <c r="I856" s="264"/>
      <c r="J856" s="264"/>
      <c r="K856" s="264"/>
      <c r="L856" s="264"/>
      <c r="M856" s="264"/>
      <c r="N856" s="264"/>
      <c r="O856" s="264"/>
      <c r="P856" s="264"/>
      <c r="Q856" s="264"/>
      <c r="R856" s="264"/>
      <c r="S856" s="264"/>
      <c r="T856" s="264"/>
      <c r="U856" s="264"/>
      <c r="V856" s="264"/>
      <c r="W856" s="264"/>
      <c r="X856" s="264"/>
      <c r="Y856" s="264"/>
      <c r="Z856" s="264"/>
    </row>
    <row r="857" spans="1:26" ht="15.75" customHeight="1">
      <c r="A857" s="264"/>
      <c r="B857" s="264"/>
      <c r="C857" s="264"/>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row>
    <row r="858" spans="1:26" ht="15.75" customHeight="1">
      <c r="A858" s="264"/>
      <c r="B858" s="264"/>
      <c r="C858" s="264"/>
      <c r="D858" s="264"/>
      <c r="E858" s="264"/>
      <c r="F858" s="264"/>
      <c r="G858" s="264"/>
      <c r="H858" s="264"/>
      <c r="I858" s="264"/>
      <c r="J858" s="264"/>
      <c r="K858" s="264"/>
      <c r="L858" s="264"/>
      <c r="M858" s="264"/>
      <c r="N858" s="264"/>
      <c r="O858" s="264"/>
      <c r="P858" s="264"/>
      <c r="Q858" s="264"/>
      <c r="R858" s="264"/>
      <c r="S858" s="264"/>
      <c r="T858" s="264"/>
      <c r="U858" s="264"/>
      <c r="V858" s="264"/>
      <c r="W858" s="264"/>
      <c r="X858" s="264"/>
      <c r="Y858" s="264"/>
      <c r="Z858" s="264"/>
    </row>
    <row r="859" spans="1:26" ht="15.75" customHeight="1">
      <c r="A859" s="264"/>
      <c r="B859" s="264"/>
      <c r="C859" s="264"/>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row>
    <row r="860" spans="1:26" ht="15.75" customHeight="1">
      <c r="A860" s="264"/>
      <c r="B860" s="264"/>
      <c r="C860" s="264"/>
      <c r="D860" s="264"/>
      <c r="E860" s="264"/>
      <c r="F860" s="264"/>
      <c r="G860" s="264"/>
      <c r="H860" s="264"/>
      <c r="I860" s="264"/>
      <c r="J860" s="264"/>
      <c r="K860" s="264"/>
      <c r="L860" s="264"/>
      <c r="M860" s="264"/>
      <c r="N860" s="264"/>
      <c r="O860" s="264"/>
      <c r="P860" s="264"/>
      <c r="Q860" s="264"/>
      <c r="R860" s="264"/>
      <c r="S860" s="264"/>
      <c r="T860" s="264"/>
      <c r="U860" s="264"/>
      <c r="V860" s="264"/>
      <c r="W860" s="264"/>
      <c r="X860" s="264"/>
      <c r="Y860" s="264"/>
      <c r="Z860" s="264"/>
    </row>
    <row r="861" spans="1:26" ht="15.75" customHeight="1">
      <c r="A861" s="264"/>
      <c r="B861" s="264"/>
      <c r="C861" s="264"/>
      <c r="D861" s="264"/>
      <c r="E861" s="264"/>
      <c r="F861" s="264"/>
      <c r="G861" s="264"/>
      <c r="H861" s="264"/>
      <c r="I861" s="264"/>
      <c r="J861" s="264"/>
      <c r="K861" s="264"/>
      <c r="L861" s="264"/>
      <c r="M861" s="264"/>
      <c r="N861" s="264"/>
      <c r="O861" s="264"/>
      <c r="P861" s="264"/>
      <c r="Q861" s="264"/>
      <c r="R861" s="264"/>
      <c r="S861" s="264"/>
      <c r="T861" s="264"/>
      <c r="U861" s="264"/>
      <c r="V861" s="264"/>
      <c r="W861" s="264"/>
      <c r="X861" s="264"/>
      <c r="Y861" s="264"/>
      <c r="Z861" s="264"/>
    </row>
    <row r="862" spans="1:26" ht="15.75" customHeight="1">
      <c r="A862" s="264"/>
      <c r="B862" s="264"/>
      <c r="C862" s="264"/>
      <c r="D862" s="264"/>
      <c r="E862" s="264"/>
      <c r="F862" s="264"/>
      <c r="G862" s="264"/>
      <c r="H862" s="264"/>
      <c r="I862" s="264"/>
      <c r="J862" s="264"/>
      <c r="K862" s="264"/>
      <c r="L862" s="264"/>
      <c r="M862" s="264"/>
      <c r="N862" s="264"/>
      <c r="O862" s="264"/>
      <c r="P862" s="264"/>
      <c r="Q862" s="264"/>
      <c r="R862" s="264"/>
      <c r="S862" s="264"/>
      <c r="T862" s="264"/>
      <c r="U862" s="264"/>
      <c r="V862" s="264"/>
      <c r="W862" s="264"/>
      <c r="X862" s="264"/>
      <c r="Y862" s="264"/>
      <c r="Z862" s="264"/>
    </row>
    <row r="863" spans="1:26" ht="15.75" customHeight="1">
      <c r="A863" s="264"/>
      <c r="B863" s="264"/>
      <c r="C863" s="264"/>
      <c r="D863" s="264"/>
      <c r="E863" s="264"/>
      <c r="F863" s="264"/>
      <c r="G863" s="264"/>
      <c r="H863" s="264"/>
      <c r="I863" s="264"/>
      <c r="J863" s="264"/>
      <c r="K863" s="264"/>
      <c r="L863" s="264"/>
      <c r="M863" s="264"/>
      <c r="N863" s="264"/>
      <c r="O863" s="264"/>
      <c r="P863" s="264"/>
      <c r="Q863" s="264"/>
      <c r="R863" s="264"/>
      <c r="S863" s="264"/>
      <c r="T863" s="264"/>
      <c r="U863" s="264"/>
      <c r="V863" s="264"/>
      <c r="W863" s="264"/>
      <c r="X863" s="264"/>
      <c r="Y863" s="264"/>
      <c r="Z863" s="264"/>
    </row>
    <row r="864" spans="1:26" ht="15.75" customHeight="1">
      <c r="A864" s="264"/>
      <c r="B864" s="264"/>
      <c r="C864" s="264"/>
      <c r="D864" s="264"/>
      <c r="E864" s="264"/>
      <c r="F864" s="264"/>
      <c r="G864" s="264"/>
      <c r="H864" s="264"/>
      <c r="I864" s="264"/>
      <c r="J864" s="264"/>
      <c r="K864" s="264"/>
      <c r="L864" s="264"/>
      <c r="M864" s="264"/>
      <c r="N864" s="264"/>
      <c r="O864" s="264"/>
      <c r="P864" s="264"/>
      <c r="Q864" s="264"/>
      <c r="R864" s="264"/>
      <c r="S864" s="264"/>
      <c r="T864" s="264"/>
      <c r="U864" s="264"/>
      <c r="V864" s="264"/>
      <c r="W864" s="264"/>
      <c r="X864" s="264"/>
      <c r="Y864" s="264"/>
      <c r="Z864" s="264"/>
    </row>
    <row r="865" spans="1:26" ht="15.75" customHeight="1">
      <c r="A865" s="264"/>
      <c r="B865" s="264"/>
      <c r="C865" s="264"/>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row>
    <row r="866" spans="1:26" ht="15.75" customHeight="1">
      <c r="A866" s="264"/>
      <c r="B866" s="264"/>
      <c r="C866" s="264"/>
      <c r="D866" s="264"/>
      <c r="E866" s="264"/>
      <c r="F866" s="264"/>
      <c r="G866" s="264"/>
      <c r="H866" s="264"/>
      <c r="I866" s="264"/>
      <c r="J866" s="264"/>
      <c r="K866" s="264"/>
      <c r="L866" s="264"/>
      <c r="M866" s="264"/>
      <c r="N866" s="264"/>
      <c r="O866" s="264"/>
      <c r="P866" s="264"/>
      <c r="Q866" s="264"/>
      <c r="R866" s="264"/>
      <c r="S866" s="264"/>
      <c r="T866" s="264"/>
      <c r="U866" s="264"/>
      <c r="V866" s="264"/>
      <c r="W866" s="264"/>
      <c r="X866" s="264"/>
      <c r="Y866" s="264"/>
      <c r="Z866" s="264"/>
    </row>
    <row r="867" spans="1:26" ht="15.75" customHeight="1">
      <c r="A867" s="264"/>
      <c r="B867" s="264"/>
      <c r="C867" s="264"/>
      <c r="D867" s="264"/>
      <c r="E867" s="264"/>
      <c r="F867" s="264"/>
      <c r="G867" s="264"/>
      <c r="H867" s="264"/>
      <c r="I867" s="264"/>
      <c r="J867" s="264"/>
      <c r="K867" s="264"/>
      <c r="L867" s="264"/>
      <c r="M867" s="264"/>
      <c r="N867" s="264"/>
      <c r="O867" s="264"/>
      <c r="P867" s="264"/>
      <c r="Q867" s="264"/>
      <c r="R867" s="264"/>
      <c r="S867" s="264"/>
      <c r="T867" s="264"/>
      <c r="U867" s="264"/>
      <c r="V867" s="264"/>
      <c r="W867" s="264"/>
      <c r="X867" s="264"/>
      <c r="Y867" s="264"/>
      <c r="Z867" s="264"/>
    </row>
    <row r="868" spans="1:26" ht="15.75" customHeight="1">
      <c r="A868" s="264"/>
      <c r="B868" s="264"/>
      <c r="C868" s="264"/>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row>
    <row r="869" spans="1:26" ht="15.75" customHeight="1">
      <c r="A869" s="264"/>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row>
    <row r="870" spans="1:26" ht="15.75" customHeight="1">
      <c r="A870" s="264"/>
      <c r="B870" s="264"/>
      <c r="C870" s="264"/>
      <c r="D870" s="264"/>
      <c r="E870" s="264"/>
      <c r="F870" s="264"/>
      <c r="G870" s="264"/>
      <c r="H870" s="264"/>
      <c r="I870" s="264"/>
      <c r="J870" s="264"/>
      <c r="K870" s="264"/>
      <c r="L870" s="264"/>
      <c r="M870" s="264"/>
      <c r="N870" s="264"/>
      <c r="O870" s="264"/>
      <c r="P870" s="264"/>
      <c r="Q870" s="264"/>
      <c r="R870" s="264"/>
      <c r="S870" s="264"/>
      <c r="T870" s="264"/>
      <c r="U870" s="264"/>
      <c r="V870" s="264"/>
      <c r="W870" s="264"/>
      <c r="X870" s="264"/>
      <c r="Y870" s="264"/>
      <c r="Z870" s="264"/>
    </row>
    <row r="871" spans="1:26" ht="15.75" customHeight="1">
      <c r="A871" s="264"/>
      <c r="B871" s="264"/>
      <c r="C871" s="264"/>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row>
    <row r="872" spans="1:26" ht="15.75" customHeight="1">
      <c r="A872" s="264"/>
      <c r="B872" s="264"/>
      <c r="C872" s="264"/>
      <c r="D872" s="264"/>
      <c r="E872" s="264"/>
      <c r="F872" s="264"/>
      <c r="G872" s="264"/>
      <c r="H872" s="264"/>
      <c r="I872" s="264"/>
      <c r="J872" s="264"/>
      <c r="K872" s="264"/>
      <c r="L872" s="264"/>
      <c r="M872" s="264"/>
      <c r="N872" s="264"/>
      <c r="O872" s="264"/>
      <c r="P872" s="264"/>
      <c r="Q872" s="264"/>
      <c r="R872" s="264"/>
      <c r="S872" s="264"/>
      <c r="T872" s="264"/>
      <c r="U872" s="264"/>
      <c r="V872" s="264"/>
      <c r="W872" s="264"/>
      <c r="X872" s="264"/>
      <c r="Y872" s="264"/>
      <c r="Z872" s="264"/>
    </row>
    <row r="873" spans="1:26" ht="15.75" customHeight="1">
      <c r="A873" s="264"/>
      <c r="B873" s="264"/>
      <c r="C873" s="264"/>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row>
    <row r="874" spans="1:26" ht="15.75" customHeight="1">
      <c r="A874" s="264"/>
      <c r="B874" s="264"/>
      <c r="C874" s="264"/>
      <c r="D874" s="264"/>
      <c r="E874" s="264"/>
      <c r="F874" s="264"/>
      <c r="G874" s="264"/>
      <c r="H874" s="264"/>
      <c r="I874" s="264"/>
      <c r="J874" s="264"/>
      <c r="K874" s="264"/>
      <c r="L874" s="264"/>
      <c r="M874" s="264"/>
      <c r="N874" s="264"/>
      <c r="O874" s="264"/>
      <c r="P874" s="264"/>
      <c r="Q874" s="264"/>
      <c r="R874" s="264"/>
      <c r="S874" s="264"/>
      <c r="T874" s="264"/>
      <c r="U874" s="264"/>
      <c r="V874" s="264"/>
      <c r="W874" s="264"/>
      <c r="X874" s="264"/>
      <c r="Y874" s="264"/>
      <c r="Z874" s="264"/>
    </row>
    <row r="875" spans="1:26" ht="15.75" customHeight="1">
      <c r="A875" s="264"/>
      <c r="B875" s="264"/>
      <c r="C875" s="264"/>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row>
    <row r="876" spans="1:26" ht="15.75" customHeight="1">
      <c r="A876" s="264"/>
      <c r="B876" s="264"/>
      <c r="C876" s="264"/>
      <c r="D876" s="264"/>
      <c r="E876" s="264"/>
      <c r="F876" s="264"/>
      <c r="G876" s="264"/>
      <c r="H876" s="264"/>
      <c r="I876" s="264"/>
      <c r="J876" s="264"/>
      <c r="K876" s="264"/>
      <c r="L876" s="264"/>
      <c r="M876" s="264"/>
      <c r="N876" s="264"/>
      <c r="O876" s="264"/>
      <c r="P876" s="264"/>
      <c r="Q876" s="264"/>
      <c r="R876" s="264"/>
      <c r="S876" s="264"/>
      <c r="T876" s="264"/>
      <c r="U876" s="264"/>
      <c r="V876" s="264"/>
      <c r="W876" s="264"/>
      <c r="X876" s="264"/>
      <c r="Y876" s="264"/>
      <c r="Z876" s="264"/>
    </row>
    <row r="877" spans="1:26" ht="15.75" customHeight="1">
      <c r="A877" s="264"/>
      <c r="B877" s="264"/>
      <c r="C877" s="264"/>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row>
    <row r="878" spans="1:26" ht="15.75" customHeight="1">
      <c r="A878" s="264"/>
      <c r="B878" s="264"/>
      <c r="C878" s="264"/>
      <c r="D878" s="264"/>
      <c r="E878" s="264"/>
      <c r="F878" s="264"/>
      <c r="G878" s="264"/>
      <c r="H878" s="264"/>
      <c r="I878" s="264"/>
      <c r="J878" s="264"/>
      <c r="K878" s="264"/>
      <c r="L878" s="264"/>
      <c r="M878" s="264"/>
      <c r="N878" s="264"/>
      <c r="O878" s="264"/>
      <c r="P878" s="264"/>
      <c r="Q878" s="264"/>
      <c r="R878" s="264"/>
      <c r="S878" s="264"/>
      <c r="T878" s="264"/>
      <c r="U878" s="264"/>
      <c r="V878" s="264"/>
      <c r="W878" s="264"/>
      <c r="X878" s="264"/>
      <c r="Y878" s="264"/>
      <c r="Z878" s="264"/>
    </row>
    <row r="879" spans="1:26" ht="15.75" customHeight="1">
      <c r="A879" s="264"/>
      <c r="B879" s="264"/>
      <c r="C879" s="264"/>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row>
    <row r="880" spans="1:26" ht="15.75" customHeight="1">
      <c r="A880" s="264"/>
      <c r="B880" s="264"/>
      <c r="C880" s="264"/>
      <c r="D880" s="264"/>
      <c r="E880" s="264"/>
      <c r="F880" s="264"/>
      <c r="G880" s="264"/>
      <c r="H880" s="264"/>
      <c r="I880" s="264"/>
      <c r="J880" s="264"/>
      <c r="K880" s="264"/>
      <c r="L880" s="264"/>
      <c r="M880" s="264"/>
      <c r="N880" s="264"/>
      <c r="O880" s="264"/>
      <c r="P880" s="264"/>
      <c r="Q880" s="264"/>
      <c r="R880" s="264"/>
      <c r="S880" s="264"/>
      <c r="T880" s="264"/>
      <c r="U880" s="264"/>
      <c r="V880" s="264"/>
      <c r="W880" s="264"/>
      <c r="X880" s="264"/>
      <c r="Y880" s="264"/>
      <c r="Z880" s="264"/>
    </row>
    <row r="881" spans="1:26" ht="15.75" customHeight="1">
      <c r="A881" s="264"/>
      <c r="B881" s="264"/>
      <c r="C881" s="264"/>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row>
    <row r="882" spans="1:26" ht="15.75" customHeight="1">
      <c r="A882" s="264"/>
      <c r="B882" s="264"/>
      <c r="C882" s="264"/>
      <c r="D882" s="264"/>
      <c r="E882" s="264"/>
      <c r="F882" s="264"/>
      <c r="G882" s="264"/>
      <c r="H882" s="264"/>
      <c r="I882" s="264"/>
      <c r="J882" s="264"/>
      <c r="K882" s="264"/>
      <c r="L882" s="264"/>
      <c r="M882" s="264"/>
      <c r="N882" s="264"/>
      <c r="O882" s="264"/>
      <c r="P882" s="264"/>
      <c r="Q882" s="264"/>
      <c r="R882" s="264"/>
      <c r="S882" s="264"/>
      <c r="T882" s="264"/>
      <c r="U882" s="264"/>
      <c r="V882" s="264"/>
      <c r="W882" s="264"/>
      <c r="X882" s="264"/>
      <c r="Y882" s="264"/>
      <c r="Z882" s="264"/>
    </row>
    <row r="883" spans="1:26" ht="15.75" customHeight="1">
      <c r="A883" s="264"/>
      <c r="B883" s="264"/>
      <c r="C883" s="264"/>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row>
    <row r="884" spans="1:26" ht="15.75" customHeight="1">
      <c r="A884" s="264"/>
      <c r="B884" s="264"/>
      <c r="C884" s="264"/>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row>
    <row r="885" spans="1:26" ht="15.75" customHeight="1">
      <c r="A885" s="264"/>
      <c r="B885" s="264"/>
      <c r="C885" s="264"/>
      <c r="D885" s="264"/>
      <c r="E885" s="264"/>
      <c r="F885" s="264"/>
      <c r="G885" s="264"/>
      <c r="H885" s="264"/>
      <c r="I885" s="264"/>
      <c r="J885" s="264"/>
      <c r="K885" s="264"/>
      <c r="L885" s="264"/>
      <c r="M885" s="264"/>
      <c r="N885" s="264"/>
      <c r="O885" s="264"/>
      <c r="P885" s="264"/>
      <c r="Q885" s="264"/>
      <c r="R885" s="264"/>
      <c r="S885" s="264"/>
      <c r="T885" s="264"/>
      <c r="U885" s="264"/>
      <c r="V885" s="264"/>
      <c r="W885" s="264"/>
      <c r="X885" s="264"/>
      <c r="Y885" s="264"/>
      <c r="Z885" s="264"/>
    </row>
    <row r="886" spans="1:26" ht="15.75" customHeight="1">
      <c r="A886" s="264"/>
      <c r="B886" s="264"/>
      <c r="C886" s="264"/>
      <c r="D886" s="264"/>
      <c r="E886" s="264"/>
      <c r="F886" s="264"/>
      <c r="G886" s="264"/>
      <c r="H886" s="264"/>
      <c r="I886" s="264"/>
      <c r="J886" s="264"/>
      <c r="K886" s="264"/>
      <c r="L886" s="264"/>
      <c r="M886" s="264"/>
      <c r="N886" s="264"/>
      <c r="O886" s="264"/>
      <c r="P886" s="264"/>
      <c r="Q886" s="264"/>
      <c r="R886" s="264"/>
      <c r="S886" s="264"/>
      <c r="T886" s="264"/>
      <c r="U886" s="264"/>
      <c r="V886" s="264"/>
      <c r="W886" s="264"/>
      <c r="X886" s="264"/>
      <c r="Y886" s="264"/>
      <c r="Z886" s="264"/>
    </row>
    <row r="887" spans="1:26" ht="15.75" customHeight="1">
      <c r="A887" s="264"/>
      <c r="B887" s="264"/>
      <c r="C887" s="264"/>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row>
    <row r="888" spans="1:26" ht="15.75" customHeight="1">
      <c r="A888" s="264"/>
      <c r="B888" s="264"/>
      <c r="C888" s="264"/>
      <c r="D888" s="264"/>
      <c r="E888" s="264"/>
      <c r="F888" s="264"/>
      <c r="G888" s="264"/>
      <c r="H888" s="264"/>
      <c r="I888" s="264"/>
      <c r="J888" s="264"/>
      <c r="K888" s="264"/>
      <c r="L888" s="264"/>
      <c r="M888" s="264"/>
      <c r="N888" s="264"/>
      <c r="O888" s="264"/>
      <c r="P888" s="264"/>
      <c r="Q888" s="264"/>
      <c r="R888" s="264"/>
      <c r="S888" s="264"/>
      <c r="T888" s="264"/>
      <c r="U888" s="264"/>
      <c r="V888" s="264"/>
      <c r="W888" s="264"/>
      <c r="X888" s="264"/>
      <c r="Y888" s="264"/>
      <c r="Z888" s="264"/>
    </row>
    <row r="889" spans="1:26" ht="15.75" customHeight="1">
      <c r="A889" s="264"/>
      <c r="B889" s="264"/>
      <c r="C889" s="264"/>
      <c r="D889" s="264"/>
      <c r="E889" s="264"/>
      <c r="F889" s="264"/>
      <c r="G889" s="264"/>
      <c r="H889" s="264"/>
      <c r="I889" s="264"/>
      <c r="J889" s="264"/>
      <c r="K889" s="264"/>
      <c r="L889" s="264"/>
      <c r="M889" s="264"/>
      <c r="N889" s="264"/>
      <c r="O889" s="264"/>
      <c r="P889" s="264"/>
      <c r="Q889" s="264"/>
      <c r="R889" s="264"/>
      <c r="S889" s="264"/>
      <c r="T889" s="264"/>
      <c r="U889" s="264"/>
      <c r="V889" s="264"/>
      <c r="W889" s="264"/>
      <c r="X889" s="264"/>
      <c r="Y889" s="264"/>
      <c r="Z889" s="264"/>
    </row>
    <row r="890" spans="1:26" ht="15.75" customHeight="1">
      <c r="A890" s="264"/>
      <c r="B890" s="264"/>
      <c r="C890" s="264"/>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row>
    <row r="891" spans="1:26" ht="15.75" customHeight="1">
      <c r="A891" s="264"/>
      <c r="B891" s="264"/>
      <c r="C891" s="264"/>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row>
    <row r="892" spans="1:26" ht="15.75" customHeight="1">
      <c r="A892" s="264"/>
      <c r="B892" s="264"/>
      <c r="C892" s="264"/>
      <c r="D892" s="264"/>
      <c r="E892" s="264"/>
      <c r="F892" s="264"/>
      <c r="G892" s="264"/>
      <c r="H892" s="264"/>
      <c r="I892" s="264"/>
      <c r="J892" s="264"/>
      <c r="K892" s="264"/>
      <c r="L892" s="264"/>
      <c r="M892" s="264"/>
      <c r="N892" s="264"/>
      <c r="O892" s="264"/>
      <c r="P892" s="264"/>
      <c r="Q892" s="264"/>
      <c r="R892" s="264"/>
      <c r="S892" s="264"/>
      <c r="T892" s="264"/>
      <c r="U892" s="264"/>
      <c r="V892" s="264"/>
      <c r="W892" s="264"/>
      <c r="X892" s="264"/>
      <c r="Y892" s="264"/>
      <c r="Z892" s="264"/>
    </row>
    <row r="893" spans="1:26" ht="15.75" customHeight="1">
      <c r="A893" s="264"/>
      <c r="B893" s="264"/>
      <c r="C893" s="264"/>
      <c r="D893" s="264"/>
      <c r="E893" s="264"/>
      <c r="F893" s="264"/>
      <c r="G893" s="264"/>
      <c r="H893" s="264"/>
      <c r="I893" s="264"/>
      <c r="J893" s="264"/>
      <c r="K893" s="264"/>
      <c r="L893" s="264"/>
      <c r="M893" s="264"/>
      <c r="N893" s="264"/>
      <c r="O893" s="264"/>
      <c r="P893" s="264"/>
      <c r="Q893" s="264"/>
      <c r="R893" s="264"/>
      <c r="S893" s="264"/>
      <c r="T893" s="264"/>
      <c r="U893" s="264"/>
      <c r="V893" s="264"/>
      <c r="W893" s="264"/>
      <c r="X893" s="264"/>
      <c r="Y893" s="264"/>
      <c r="Z893" s="264"/>
    </row>
    <row r="894" spans="1:26" ht="15.75" customHeight="1">
      <c r="A894" s="264"/>
      <c r="B894" s="264"/>
      <c r="C894" s="264"/>
      <c r="D894" s="264"/>
      <c r="E894" s="264"/>
      <c r="F894" s="264"/>
      <c r="G894" s="264"/>
      <c r="H894" s="264"/>
      <c r="I894" s="264"/>
      <c r="J894" s="264"/>
      <c r="K894" s="264"/>
      <c r="L894" s="264"/>
      <c r="M894" s="264"/>
      <c r="N894" s="264"/>
      <c r="O894" s="264"/>
      <c r="P894" s="264"/>
      <c r="Q894" s="264"/>
      <c r="R894" s="264"/>
      <c r="S894" s="264"/>
      <c r="T894" s="264"/>
      <c r="U894" s="264"/>
      <c r="V894" s="264"/>
      <c r="W894" s="264"/>
      <c r="X894" s="264"/>
      <c r="Y894" s="264"/>
      <c r="Z894" s="264"/>
    </row>
    <row r="895" spans="1:26" ht="15.75" customHeight="1">
      <c r="A895" s="264"/>
      <c r="B895" s="264"/>
      <c r="C895" s="264"/>
      <c r="D895" s="264"/>
      <c r="E895" s="264"/>
      <c r="F895" s="264"/>
      <c r="G895" s="264"/>
      <c r="H895" s="264"/>
      <c r="I895" s="264"/>
      <c r="J895" s="264"/>
      <c r="K895" s="264"/>
      <c r="L895" s="264"/>
      <c r="M895" s="264"/>
      <c r="N895" s="264"/>
      <c r="O895" s="264"/>
      <c r="P895" s="264"/>
      <c r="Q895" s="264"/>
      <c r="R895" s="264"/>
      <c r="S895" s="264"/>
      <c r="T895" s="264"/>
      <c r="U895" s="264"/>
      <c r="V895" s="264"/>
      <c r="W895" s="264"/>
      <c r="X895" s="264"/>
      <c r="Y895" s="264"/>
      <c r="Z895" s="264"/>
    </row>
    <row r="896" spans="1:26" ht="15.75" customHeight="1">
      <c r="A896" s="264"/>
      <c r="B896" s="264"/>
      <c r="C896" s="264"/>
      <c r="D896" s="264"/>
      <c r="E896" s="264"/>
      <c r="F896" s="264"/>
      <c r="G896" s="264"/>
      <c r="H896" s="264"/>
      <c r="I896" s="264"/>
      <c r="J896" s="264"/>
      <c r="K896" s="264"/>
      <c r="L896" s="264"/>
      <c r="M896" s="264"/>
      <c r="N896" s="264"/>
      <c r="O896" s="264"/>
      <c r="P896" s="264"/>
      <c r="Q896" s="264"/>
      <c r="R896" s="264"/>
      <c r="S896" s="264"/>
      <c r="T896" s="264"/>
      <c r="U896" s="264"/>
      <c r="V896" s="264"/>
      <c r="W896" s="264"/>
      <c r="X896" s="264"/>
      <c r="Y896" s="264"/>
      <c r="Z896" s="264"/>
    </row>
    <row r="897" spans="1:26" ht="15.75" customHeight="1">
      <c r="A897" s="264"/>
      <c r="B897" s="264"/>
      <c r="C897" s="264"/>
      <c r="D897" s="264"/>
      <c r="E897" s="264"/>
      <c r="F897" s="264"/>
      <c r="G897" s="264"/>
      <c r="H897" s="264"/>
      <c r="I897" s="264"/>
      <c r="J897" s="264"/>
      <c r="K897" s="264"/>
      <c r="L897" s="264"/>
      <c r="M897" s="264"/>
      <c r="N897" s="264"/>
      <c r="O897" s="264"/>
      <c r="P897" s="264"/>
      <c r="Q897" s="264"/>
      <c r="R897" s="264"/>
      <c r="S897" s="264"/>
      <c r="T897" s="264"/>
      <c r="U897" s="264"/>
      <c r="V897" s="264"/>
      <c r="W897" s="264"/>
      <c r="X897" s="264"/>
      <c r="Y897" s="264"/>
      <c r="Z897" s="264"/>
    </row>
    <row r="898" spans="1:26" ht="15.75" customHeight="1">
      <c r="A898" s="264"/>
      <c r="B898" s="264"/>
      <c r="C898" s="264"/>
      <c r="D898" s="264"/>
      <c r="E898" s="264"/>
      <c r="F898" s="264"/>
      <c r="G898" s="264"/>
      <c r="H898" s="264"/>
      <c r="I898" s="264"/>
      <c r="J898" s="264"/>
      <c r="K898" s="264"/>
      <c r="L898" s="264"/>
      <c r="M898" s="264"/>
      <c r="N898" s="264"/>
      <c r="O898" s="264"/>
      <c r="P898" s="264"/>
      <c r="Q898" s="264"/>
      <c r="R898" s="264"/>
      <c r="S898" s="264"/>
      <c r="T898" s="264"/>
      <c r="U898" s="264"/>
      <c r="V898" s="264"/>
      <c r="W898" s="264"/>
      <c r="X898" s="264"/>
      <c r="Y898" s="264"/>
      <c r="Z898" s="264"/>
    </row>
    <row r="899" spans="1:26" ht="15.75" customHeight="1">
      <c r="A899" s="264"/>
      <c r="B899" s="264"/>
      <c r="C899" s="264"/>
      <c r="D899" s="264"/>
      <c r="E899" s="264"/>
      <c r="F899" s="264"/>
      <c r="G899" s="264"/>
      <c r="H899" s="264"/>
      <c r="I899" s="264"/>
      <c r="J899" s="264"/>
      <c r="K899" s="264"/>
      <c r="L899" s="264"/>
      <c r="M899" s="264"/>
      <c r="N899" s="264"/>
      <c r="O899" s="264"/>
      <c r="P899" s="264"/>
      <c r="Q899" s="264"/>
      <c r="R899" s="264"/>
      <c r="S899" s="264"/>
      <c r="T899" s="264"/>
      <c r="U899" s="264"/>
      <c r="V899" s="264"/>
      <c r="W899" s="264"/>
      <c r="X899" s="264"/>
      <c r="Y899" s="264"/>
      <c r="Z899" s="264"/>
    </row>
    <row r="900" spans="1:26" ht="15.75" customHeight="1">
      <c r="A900" s="264"/>
      <c r="B900" s="264"/>
      <c r="C900" s="264"/>
      <c r="D900" s="264"/>
      <c r="E900" s="264"/>
      <c r="F900" s="264"/>
      <c r="G900" s="264"/>
      <c r="H900" s="264"/>
      <c r="I900" s="264"/>
      <c r="J900" s="264"/>
      <c r="K900" s="264"/>
      <c r="L900" s="264"/>
      <c r="M900" s="264"/>
      <c r="N900" s="264"/>
      <c r="O900" s="264"/>
      <c r="P900" s="264"/>
      <c r="Q900" s="264"/>
      <c r="R900" s="264"/>
      <c r="S900" s="264"/>
      <c r="T900" s="264"/>
      <c r="U900" s="264"/>
      <c r="V900" s="264"/>
      <c r="W900" s="264"/>
      <c r="X900" s="264"/>
      <c r="Y900" s="264"/>
      <c r="Z900" s="264"/>
    </row>
    <row r="901" spans="1:26" ht="15.75" customHeight="1">
      <c r="A901" s="264"/>
      <c r="B901" s="264"/>
      <c r="C901" s="264"/>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row>
    <row r="902" spans="1:26" ht="15.75" customHeight="1">
      <c r="A902" s="264"/>
      <c r="B902" s="264"/>
      <c r="C902" s="264"/>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row>
    <row r="903" spans="1:26" ht="15.75" customHeight="1">
      <c r="A903" s="264"/>
      <c r="B903" s="264"/>
      <c r="C903" s="264"/>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row>
    <row r="904" spans="1:26" ht="15.75" customHeight="1">
      <c r="A904" s="264"/>
      <c r="B904" s="264"/>
      <c r="C904" s="264"/>
      <c r="D904" s="264"/>
      <c r="E904" s="264"/>
      <c r="F904" s="264"/>
      <c r="G904" s="264"/>
      <c r="H904" s="264"/>
      <c r="I904" s="264"/>
      <c r="J904" s="264"/>
      <c r="K904" s="264"/>
      <c r="L904" s="264"/>
      <c r="M904" s="264"/>
      <c r="N904" s="264"/>
      <c r="O904" s="264"/>
      <c r="P904" s="264"/>
      <c r="Q904" s="264"/>
      <c r="R904" s="264"/>
      <c r="S904" s="264"/>
      <c r="T904" s="264"/>
      <c r="U904" s="264"/>
      <c r="V904" s="264"/>
      <c r="W904" s="264"/>
      <c r="X904" s="264"/>
      <c r="Y904" s="264"/>
      <c r="Z904" s="264"/>
    </row>
    <row r="905" spans="1:26" ht="15.75" customHeight="1">
      <c r="A905" s="264"/>
      <c r="B905" s="264"/>
      <c r="C905" s="264"/>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row>
    <row r="906" spans="1:26" ht="15.75" customHeight="1">
      <c r="A906" s="264"/>
      <c r="B906" s="264"/>
      <c r="C906" s="264"/>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row>
    <row r="907" spans="1:26" ht="15.75" customHeight="1">
      <c r="A907" s="264"/>
      <c r="B907" s="264"/>
      <c r="C907" s="264"/>
      <c r="D907" s="264"/>
      <c r="E907" s="264"/>
      <c r="F907" s="264"/>
      <c r="G907" s="264"/>
      <c r="H907" s="264"/>
      <c r="I907" s="264"/>
      <c r="J907" s="264"/>
      <c r="K907" s="264"/>
      <c r="L907" s="264"/>
      <c r="M907" s="264"/>
      <c r="N907" s="264"/>
      <c r="O907" s="264"/>
      <c r="P907" s="264"/>
      <c r="Q907" s="264"/>
      <c r="R907" s="264"/>
      <c r="S907" s="264"/>
      <c r="T907" s="264"/>
      <c r="U907" s="264"/>
      <c r="V907" s="264"/>
      <c r="W907" s="264"/>
      <c r="X907" s="264"/>
      <c r="Y907" s="264"/>
      <c r="Z907" s="264"/>
    </row>
    <row r="908" spans="1:26" ht="15.75" customHeight="1">
      <c r="A908" s="264"/>
      <c r="B908" s="264"/>
      <c r="C908" s="264"/>
      <c r="D908" s="264"/>
      <c r="E908" s="264"/>
      <c r="F908" s="264"/>
      <c r="G908" s="264"/>
      <c r="H908" s="264"/>
      <c r="I908" s="264"/>
      <c r="J908" s="264"/>
      <c r="K908" s="264"/>
      <c r="L908" s="264"/>
      <c r="M908" s="264"/>
      <c r="N908" s="264"/>
      <c r="O908" s="264"/>
      <c r="P908" s="264"/>
      <c r="Q908" s="264"/>
      <c r="R908" s="264"/>
      <c r="S908" s="264"/>
      <c r="T908" s="264"/>
      <c r="U908" s="264"/>
      <c r="V908" s="264"/>
      <c r="W908" s="264"/>
      <c r="X908" s="264"/>
      <c r="Y908" s="264"/>
      <c r="Z908" s="264"/>
    </row>
    <row r="909" spans="1:26" ht="15.75" customHeight="1">
      <c r="A909" s="264"/>
      <c r="B909" s="264"/>
      <c r="C909" s="264"/>
      <c r="D909" s="264"/>
      <c r="E909" s="264"/>
      <c r="F909" s="264"/>
      <c r="G909" s="264"/>
      <c r="H909" s="264"/>
      <c r="I909" s="264"/>
      <c r="J909" s="264"/>
      <c r="K909" s="264"/>
      <c r="L909" s="264"/>
      <c r="M909" s="264"/>
      <c r="N909" s="264"/>
      <c r="O909" s="264"/>
      <c r="P909" s="264"/>
      <c r="Q909" s="264"/>
      <c r="R909" s="264"/>
      <c r="S909" s="264"/>
      <c r="T909" s="264"/>
      <c r="U909" s="264"/>
      <c r="V909" s="264"/>
      <c r="W909" s="264"/>
      <c r="X909" s="264"/>
      <c r="Y909" s="264"/>
      <c r="Z909" s="264"/>
    </row>
    <row r="910" spans="1:26" ht="15.75" customHeight="1">
      <c r="A910" s="264"/>
      <c r="B910" s="264"/>
      <c r="C910" s="264"/>
      <c r="D910" s="264"/>
      <c r="E910" s="264"/>
      <c r="F910" s="264"/>
      <c r="G910" s="264"/>
      <c r="H910" s="264"/>
      <c r="I910" s="264"/>
      <c r="J910" s="264"/>
      <c r="K910" s="264"/>
      <c r="L910" s="264"/>
      <c r="M910" s="264"/>
      <c r="N910" s="264"/>
      <c r="O910" s="264"/>
      <c r="P910" s="264"/>
      <c r="Q910" s="264"/>
      <c r="R910" s="264"/>
      <c r="S910" s="264"/>
      <c r="T910" s="264"/>
      <c r="U910" s="264"/>
      <c r="V910" s="264"/>
      <c r="W910" s="264"/>
      <c r="X910" s="264"/>
      <c r="Y910" s="264"/>
      <c r="Z910" s="264"/>
    </row>
    <row r="911" spans="1:26" ht="15.75" customHeight="1">
      <c r="A911" s="264"/>
      <c r="B911" s="264"/>
      <c r="C911" s="264"/>
      <c r="D911" s="264"/>
      <c r="E911" s="264"/>
      <c r="F911" s="264"/>
      <c r="G911" s="264"/>
      <c r="H911" s="264"/>
      <c r="I911" s="264"/>
      <c r="J911" s="264"/>
      <c r="K911" s="264"/>
      <c r="L911" s="264"/>
      <c r="M911" s="264"/>
      <c r="N911" s="264"/>
      <c r="O911" s="264"/>
      <c r="P911" s="264"/>
      <c r="Q911" s="264"/>
      <c r="R911" s="264"/>
      <c r="S911" s="264"/>
      <c r="T911" s="264"/>
      <c r="U911" s="264"/>
      <c r="V911" s="264"/>
      <c r="W911" s="264"/>
      <c r="X911" s="264"/>
      <c r="Y911" s="264"/>
      <c r="Z911" s="264"/>
    </row>
    <row r="912" spans="1:26" ht="15.75" customHeight="1">
      <c r="A912" s="264"/>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row>
    <row r="913" spans="1:26" ht="15.75" customHeight="1">
      <c r="A913" s="264"/>
      <c r="B913" s="264"/>
      <c r="C913" s="264"/>
      <c r="D913" s="264"/>
      <c r="E913" s="264"/>
      <c r="F913" s="264"/>
      <c r="G913" s="264"/>
      <c r="H913" s="264"/>
      <c r="I913" s="264"/>
      <c r="J913" s="264"/>
      <c r="K913" s="264"/>
      <c r="L913" s="264"/>
      <c r="M913" s="264"/>
      <c r="N913" s="264"/>
      <c r="O913" s="264"/>
      <c r="P913" s="264"/>
      <c r="Q913" s="264"/>
      <c r="R913" s="264"/>
      <c r="S913" s="264"/>
      <c r="T913" s="264"/>
      <c r="U913" s="264"/>
      <c r="V913" s="264"/>
      <c r="W913" s="264"/>
      <c r="X913" s="264"/>
      <c r="Y913" s="264"/>
      <c r="Z913" s="264"/>
    </row>
    <row r="914" spans="1:26" ht="15.75" customHeight="1">
      <c r="A914" s="264"/>
      <c r="B914" s="264"/>
      <c r="C914" s="264"/>
      <c r="D914" s="264"/>
      <c r="E914" s="264"/>
      <c r="F914" s="264"/>
      <c r="G914" s="264"/>
      <c r="H914" s="264"/>
      <c r="I914" s="264"/>
      <c r="J914" s="264"/>
      <c r="K914" s="264"/>
      <c r="L914" s="264"/>
      <c r="M914" s="264"/>
      <c r="N914" s="264"/>
      <c r="O914" s="264"/>
      <c r="P914" s="264"/>
      <c r="Q914" s="264"/>
      <c r="R914" s="264"/>
      <c r="S914" s="264"/>
      <c r="T914" s="264"/>
      <c r="U914" s="264"/>
      <c r="V914" s="264"/>
      <c r="W914" s="264"/>
      <c r="X914" s="264"/>
      <c r="Y914" s="264"/>
      <c r="Z914" s="264"/>
    </row>
    <row r="915" spans="1:26" ht="15.75" customHeight="1">
      <c r="A915" s="264"/>
      <c r="B915" s="264"/>
      <c r="C915" s="264"/>
      <c r="D915" s="264"/>
      <c r="E915" s="264"/>
      <c r="F915" s="264"/>
      <c r="G915" s="264"/>
      <c r="H915" s="264"/>
      <c r="I915" s="264"/>
      <c r="J915" s="264"/>
      <c r="K915" s="264"/>
      <c r="L915" s="264"/>
      <c r="M915" s="264"/>
      <c r="N915" s="264"/>
      <c r="O915" s="264"/>
      <c r="P915" s="264"/>
      <c r="Q915" s="264"/>
      <c r="R915" s="264"/>
      <c r="S915" s="264"/>
      <c r="T915" s="264"/>
      <c r="U915" s="264"/>
      <c r="V915" s="264"/>
      <c r="W915" s="264"/>
      <c r="X915" s="264"/>
      <c r="Y915" s="264"/>
      <c r="Z915" s="264"/>
    </row>
    <row r="916" spans="1:26" ht="15.75" customHeight="1">
      <c r="A916" s="264"/>
      <c r="B916" s="264"/>
      <c r="C916" s="264"/>
      <c r="D916" s="264"/>
      <c r="E916" s="264"/>
      <c r="F916" s="264"/>
      <c r="G916" s="264"/>
      <c r="H916" s="264"/>
      <c r="I916" s="264"/>
      <c r="J916" s="264"/>
      <c r="K916" s="264"/>
      <c r="L916" s="264"/>
      <c r="M916" s="264"/>
      <c r="N916" s="264"/>
      <c r="O916" s="264"/>
      <c r="P916" s="264"/>
      <c r="Q916" s="264"/>
      <c r="R916" s="264"/>
      <c r="S916" s="264"/>
      <c r="T916" s="264"/>
      <c r="U916" s="264"/>
      <c r="V916" s="264"/>
      <c r="W916" s="264"/>
      <c r="X916" s="264"/>
      <c r="Y916" s="264"/>
      <c r="Z916" s="264"/>
    </row>
    <row r="917" spans="1:26" ht="15.75" customHeight="1">
      <c r="A917" s="264"/>
      <c r="B917" s="264"/>
      <c r="C917" s="264"/>
      <c r="D917" s="264"/>
      <c r="E917" s="264"/>
      <c r="F917" s="264"/>
      <c r="G917" s="264"/>
      <c r="H917" s="264"/>
      <c r="I917" s="264"/>
      <c r="J917" s="264"/>
      <c r="K917" s="264"/>
      <c r="L917" s="264"/>
      <c r="M917" s="264"/>
      <c r="N917" s="264"/>
      <c r="O917" s="264"/>
      <c r="P917" s="264"/>
      <c r="Q917" s="264"/>
      <c r="R917" s="264"/>
      <c r="S917" s="264"/>
      <c r="T917" s="264"/>
      <c r="U917" s="264"/>
      <c r="V917" s="264"/>
      <c r="W917" s="264"/>
      <c r="X917" s="264"/>
      <c r="Y917" s="264"/>
      <c r="Z917" s="264"/>
    </row>
    <row r="918" spans="1:26" ht="15.75" customHeight="1">
      <c r="A918" s="264"/>
      <c r="B918" s="264"/>
      <c r="C918" s="264"/>
      <c r="D918" s="264"/>
      <c r="E918" s="264"/>
      <c r="F918" s="264"/>
      <c r="G918" s="264"/>
      <c r="H918" s="264"/>
      <c r="I918" s="264"/>
      <c r="J918" s="264"/>
      <c r="K918" s="264"/>
      <c r="L918" s="264"/>
      <c r="M918" s="264"/>
      <c r="N918" s="264"/>
      <c r="O918" s="264"/>
      <c r="P918" s="264"/>
      <c r="Q918" s="264"/>
      <c r="R918" s="264"/>
      <c r="S918" s="264"/>
      <c r="T918" s="264"/>
      <c r="U918" s="264"/>
      <c r="V918" s="264"/>
      <c r="W918" s="264"/>
      <c r="X918" s="264"/>
      <c r="Y918" s="264"/>
      <c r="Z918" s="264"/>
    </row>
    <row r="919" spans="1:26" ht="15.75" customHeight="1">
      <c r="A919" s="264"/>
      <c r="B919" s="264"/>
      <c r="C919" s="264"/>
      <c r="D919" s="264"/>
      <c r="E919" s="264"/>
      <c r="F919" s="264"/>
      <c r="G919" s="264"/>
      <c r="H919" s="264"/>
      <c r="I919" s="264"/>
      <c r="J919" s="264"/>
      <c r="K919" s="264"/>
      <c r="L919" s="264"/>
      <c r="M919" s="264"/>
      <c r="N919" s="264"/>
      <c r="O919" s="264"/>
      <c r="P919" s="264"/>
      <c r="Q919" s="264"/>
      <c r="R919" s="264"/>
      <c r="S919" s="264"/>
      <c r="T919" s="264"/>
      <c r="U919" s="264"/>
      <c r="V919" s="264"/>
      <c r="W919" s="264"/>
      <c r="X919" s="264"/>
      <c r="Y919" s="264"/>
      <c r="Z919" s="264"/>
    </row>
    <row r="920" spans="1:26" ht="15.75" customHeight="1">
      <c r="A920" s="264"/>
      <c r="B920" s="264"/>
      <c r="C920" s="264"/>
      <c r="D920" s="264"/>
      <c r="E920" s="264"/>
      <c r="F920" s="264"/>
      <c r="G920" s="264"/>
      <c r="H920" s="264"/>
      <c r="I920" s="264"/>
      <c r="J920" s="264"/>
      <c r="K920" s="264"/>
      <c r="L920" s="264"/>
      <c r="M920" s="264"/>
      <c r="N920" s="264"/>
      <c r="O920" s="264"/>
      <c r="P920" s="264"/>
      <c r="Q920" s="264"/>
      <c r="R920" s="264"/>
      <c r="S920" s="264"/>
      <c r="T920" s="264"/>
      <c r="U920" s="264"/>
      <c r="V920" s="264"/>
      <c r="W920" s="264"/>
      <c r="X920" s="264"/>
      <c r="Y920" s="264"/>
      <c r="Z920" s="264"/>
    </row>
    <row r="921" spans="1:26" ht="15.75" customHeight="1">
      <c r="A921" s="264"/>
      <c r="B921" s="264"/>
      <c r="C921" s="264"/>
      <c r="D921" s="264"/>
      <c r="E921" s="264"/>
      <c r="F921" s="264"/>
      <c r="G921" s="264"/>
      <c r="H921" s="264"/>
      <c r="I921" s="264"/>
      <c r="J921" s="264"/>
      <c r="K921" s="264"/>
      <c r="L921" s="264"/>
      <c r="M921" s="264"/>
      <c r="N921" s="264"/>
      <c r="O921" s="264"/>
      <c r="P921" s="264"/>
      <c r="Q921" s="264"/>
      <c r="R921" s="264"/>
      <c r="S921" s="264"/>
      <c r="T921" s="264"/>
      <c r="U921" s="264"/>
      <c r="V921" s="264"/>
      <c r="W921" s="264"/>
      <c r="X921" s="264"/>
      <c r="Y921" s="264"/>
      <c r="Z921" s="264"/>
    </row>
    <row r="922" spans="1:26" ht="15.75" customHeight="1">
      <c r="A922" s="264"/>
      <c r="B922" s="264"/>
      <c r="C922" s="264"/>
      <c r="D922" s="264"/>
      <c r="E922" s="264"/>
      <c r="F922" s="264"/>
      <c r="G922" s="264"/>
      <c r="H922" s="264"/>
      <c r="I922" s="264"/>
      <c r="J922" s="264"/>
      <c r="K922" s="264"/>
      <c r="L922" s="264"/>
      <c r="M922" s="264"/>
      <c r="N922" s="264"/>
      <c r="O922" s="264"/>
      <c r="P922" s="264"/>
      <c r="Q922" s="264"/>
      <c r="R922" s="264"/>
      <c r="S922" s="264"/>
      <c r="T922" s="264"/>
      <c r="U922" s="264"/>
      <c r="V922" s="264"/>
      <c r="W922" s="264"/>
      <c r="X922" s="264"/>
      <c r="Y922" s="264"/>
      <c r="Z922" s="264"/>
    </row>
    <row r="923" spans="1:26" ht="15.75" customHeight="1">
      <c r="A923" s="264"/>
      <c r="B923" s="264"/>
      <c r="C923" s="264"/>
      <c r="D923" s="264"/>
      <c r="E923" s="264"/>
      <c r="F923" s="264"/>
      <c r="G923" s="264"/>
      <c r="H923" s="264"/>
      <c r="I923" s="264"/>
      <c r="J923" s="264"/>
      <c r="K923" s="264"/>
      <c r="L923" s="264"/>
      <c r="M923" s="264"/>
      <c r="N923" s="264"/>
      <c r="O923" s="264"/>
      <c r="P923" s="264"/>
      <c r="Q923" s="264"/>
      <c r="R923" s="264"/>
      <c r="S923" s="264"/>
      <c r="T923" s="264"/>
      <c r="U923" s="264"/>
      <c r="V923" s="264"/>
      <c r="W923" s="264"/>
      <c r="X923" s="264"/>
      <c r="Y923" s="264"/>
      <c r="Z923" s="264"/>
    </row>
    <row r="924" spans="1:26" ht="15.75" customHeight="1">
      <c r="A924" s="264"/>
      <c r="B924" s="264"/>
      <c r="C924" s="264"/>
      <c r="D924" s="264"/>
      <c r="E924" s="264"/>
      <c r="F924" s="264"/>
      <c r="G924" s="264"/>
      <c r="H924" s="264"/>
      <c r="I924" s="264"/>
      <c r="J924" s="264"/>
      <c r="K924" s="264"/>
      <c r="L924" s="264"/>
      <c r="M924" s="264"/>
      <c r="N924" s="264"/>
      <c r="O924" s="264"/>
      <c r="P924" s="264"/>
      <c r="Q924" s="264"/>
      <c r="R924" s="264"/>
      <c r="S924" s="264"/>
      <c r="T924" s="264"/>
      <c r="U924" s="264"/>
      <c r="V924" s="264"/>
      <c r="W924" s="264"/>
      <c r="X924" s="264"/>
      <c r="Y924" s="264"/>
      <c r="Z924" s="264"/>
    </row>
    <row r="925" spans="1:26" ht="15.75" customHeight="1">
      <c r="A925" s="264"/>
      <c r="B925" s="264"/>
      <c r="C925" s="264"/>
      <c r="D925" s="264"/>
      <c r="E925" s="264"/>
      <c r="F925" s="264"/>
      <c r="G925" s="264"/>
      <c r="H925" s="264"/>
      <c r="I925" s="264"/>
      <c r="J925" s="264"/>
      <c r="K925" s="264"/>
      <c r="L925" s="264"/>
      <c r="M925" s="264"/>
      <c r="N925" s="264"/>
      <c r="O925" s="264"/>
      <c r="P925" s="264"/>
      <c r="Q925" s="264"/>
      <c r="R925" s="264"/>
      <c r="S925" s="264"/>
      <c r="T925" s="264"/>
      <c r="U925" s="264"/>
      <c r="V925" s="264"/>
      <c r="W925" s="264"/>
      <c r="X925" s="264"/>
      <c r="Y925" s="264"/>
      <c r="Z925" s="264"/>
    </row>
    <row r="926" spans="1:26" ht="15.75" customHeight="1">
      <c r="A926" s="264"/>
      <c r="B926" s="264"/>
      <c r="C926" s="264"/>
      <c r="D926" s="264"/>
      <c r="E926" s="264"/>
      <c r="F926" s="264"/>
      <c r="G926" s="264"/>
      <c r="H926" s="264"/>
      <c r="I926" s="264"/>
      <c r="J926" s="264"/>
      <c r="K926" s="264"/>
      <c r="L926" s="264"/>
      <c r="M926" s="264"/>
      <c r="N926" s="264"/>
      <c r="O926" s="264"/>
      <c r="P926" s="264"/>
      <c r="Q926" s="264"/>
      <c r="R926" s="264"/>
      <c r="S926" s="264"/>
      <c r="T926" s="264"/>
      <c r="U926" s="264"/>
      <c r="V926" s="264"/>
      <c r="W926" s="264"/>
      <c r="X926" s="264"/>
      <c r="Y926" s="264"/>
      <c r="Z926" s="264"/>
    </row>
    <row r="927" spans="1:26" ht="15.75" customHeight="1">
      <c r="A927" s="264"/>
      <c r="B927" s="264"/>
      <c r="C927" s="264"/>
      <c r="D927" s="264"/>
      <c r="E927" s="264"/>
      <c r="F927" s="264"/>
      <c r="G927" s="264"/>
      <c r="H927" s="264"/>
      <c r="I927" s="264"/>
      <c r="J927" s="264"/>
      <c r="K927" s="264"/>
      <c r="L927" s="264"/>
      <c r="M927" s="264"/>
      <c r="N927" s="264"/>
      <c r="O927" s="264"/>
      <c r="P927" s="264"/>
      <c r="Q927" s="264"/>
      <c r="R927" s="264"/>
      <c r="S927" s="264"/>
      <c r="T927" s="264"/>
      <c r="U927" s="264"/>
      <c r="V927" s="264"/>
      <c r="W927" s="264"/>
      <c r="X927" s="264"/>
      <c r="Y927" s="264"/>
      <c r="Z927" s="264"/>
    </row>
    <row r="928" spans="1:26" ht="15.75" customHeight="1">
      <c r="A928" s="264"/>
      <c r="B928" s="264"/>
      <c r="C928" s="264"/>
      <c r="D928" s="264"/>
      <c r="E928" s="264"/>
      <c r="F928" s="264"/>
      <c r="G928" s="264"/>
      <c r="H928" s="264"/>
      <c r="I928" s="264"/>
      <c r="J928" s="264"/>
      <c r="K928" s="264"/>
      <c r="L928" s="264"/>
      <c r="M928" s="264"/>
      <c r="N928" s="264"/>
      <c r="O928" s="264"/>
      <c r="P928" s="264"/>
      <c r="Q928" s="264"/>
      <c r="R928" s="264"/>
      <c r="S928" s="264"/>
      <c r="T928" s="264"/>
      <c r="U928" s="264"/>
      <c r="V928" s="264"/>
      <c r="W928" s="264"/>
      <c r="X928" s="264"/>
      <c r="Y928" s="264"/>
      <c r="Z928" s="264"/>
    </row>
    <row r="929" spans="1:26" ht="15.75" customHeight="1">
      <c r="A929" s="264"/>
      <c r="B929" s="264"/>
      <c r="C929" s="264"/>
      <c r="D929" s="264"/>
      <c r="E929" s="264"/>
      <c r="F929" s="264"/>
      <c r="G929" s="264"/>
      <c r="H929" s="264"/>
      <c r="I929" s="264"/>
      <c r="J929" s="264"/>
      <c r="K929" s="264"/>
      <c r="L929" s="264"/>
      <c r="M929" s="264"/>
      <c r="N929" s="264"/>
      <c r="O929" s="264"/>
      <c r="P929" s="264"/>
      <c r="Q929" s="264"/>
      <c r="R929" s="264"/>
      <c r="S929" s="264"/>
      <c r="T929" s="264"/>
      <c r="U929" s="264"/>
      <c r="V929" s="264"/>
      <c r="W929" s="264"/>
      <c r="X929" s="264"/>
      <c r="Y929" s="264"/>
      <c r="Z929" s="264"/>
    </row>
    <row r="930" spans="1:26" ht="15.75" customHeight="1">
      <c r="A930" s="264"/>
      <c r="B930" s="264"/>
      <c r="C930" s="264"/>
      <c r="D930" s="264"/>
      <c r="E930" s="264"/>
      <c r="F930" s="264"/>
      <c r="G930" s="264"/>
      <c r="H930" s="264"/>
      <c r="I930" s="264"/>
      <c r="J930" s="264"/>
      <c r="K930" s="264"/>
      <c r="L930" s="264"/>
      <c r="M930" s="264"/>
      <c r="N930" s="264"/>
      <c r="O930" s="264"/>
      <c r="P930" s="264"/>
      <c r="Q930" s="264"/>
      <c r="R930" s="264"/>
      <c r="S930" s="264"/>
      <c r="T930" s="264"/>
      <c r="U930" s="264"/>
      <c r="V930" s="264"/>
      <c r="W930" s="264"/>
      <c r="X930" s="264"/>
      <c r="Y930" s="264"/>
      <c r="Z930" s="264"/>
    </row>
    <row r="931" spans="1:26" ht="15.75" customHeight="1">
      <c r="A931" s="264"/>
      <c r="B931" s="264"/>
      <c r="C931" s="264"/>
      <c r="D931" s="264"/>
      <c r="E931" s="264"/>
      <c r="F931" s="264"/>
      <c r="G931" s="264"/>
      <c r="H931" s="264"/>
      <c r="I931" s="264"/>
      <c r="J931" s="264"/>
      <c r="K931" s="264"/>
      <c r="L931" s="264"/>
      <c r="M931" s="264"/>
      <c r="N931" s="264"/>
      <c r="O931" s="264"/>
      <c r="P931" s="264"/>
      <c r="Q931" s="264"/>
      <c r="R931" s="264"/>
      <c r="S931" s="264"/>
      <c r="T931" s="264"/>
      <c r="U931" s="264"/>
      <c r="V931" s="264"/>
      <c r="W931" s="264"/>
      <c r="X931" s="264"/>
      <c r="Y931" s="264"/>
      <c r="Z931" s="264"/>
    </row>
    <row r="932" spans="1:26" ht="15.75" customHeight="1">
      <c r="A932" s="264"/>
      <c r="B932" s="264"/>
      <c r="C932" s="264"/>
      <c r="D932" s="264"/>
      <c r="E932" s="264"/>
      <c r="F932" s="264"/>
      <c r="G932" s="264"/>
      <c r="H932" s="264"/>
      <c r="I932" s="264"/>
      <c r="J932" s="264"/>
      <c r="K932" s="264"/>
      <c r="L932" s="264"/>
      <c r="M932" s="264"/>
      <c r="N932" s="264"/>
      <c r="O932" s="264"/>
      <c r="P932" s="264"/>
      <c r="Q932" s="264"/>
      <c r="R932" s="264"/>
      <c r="S932" s="264"/>
      <c r="T932" s="264"/>
      <c r="U932" s="264"/>
      <c r="V932" s="264"/>
      <c r="W932" s="264"/>
      <c r="X932" s="264"/>
      <c r="Y932" s="264"/>
      <c r="Z932" s="264"/>
    </row>
    <row r="933" spans="1:26" ht="15.75" customHeight="1">
      <c r="A933" s="264"/>
      <c r="B933" s="264"/>
      <c r="C933" s="264"/>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row>
    <row r="934" spans="1:26" ht="15.75" customHeight="1">
      <c r="A934" s="264"/>
      <c r="B934" s="264"/>
      <c r="C934" s="264"/>
      <c r="D934" s="264"/>
      <c r="E934" s="264"/>
      <c r="F934" s="264"/>
      <c r="G934" s="264"/>
      <c r="H934" s="264"/>
      <c r="I934" s="264"/>
      <c r="J934" s="264"/>
      <c r="K934" s="264"/>
      <c r="L934" s="264"/>
      <c r="M934" s="264"/>
      <c r="N934" s="264"/>
      <c r="O934" s="264"/>
      <c r="P934" s="264"/>
      <c r="Q934" s="264"/>
      <c r="R934" s="264"/>
      <c r="S934" s="264"/>
      <c r="T934" s="264"/>
      <c r="U934" s="264"/>
      <c r="V934" s="264"/>
      <c r="W934" s="264"/>
      <c r="X934" s="264"/>
      <c r="Y934" s="264"/>
      <c r="Z934" s="264"/>
    </row>
    <row r="935" spans="1:26" ht="15.75" customHeight="1">
      <c r="A935" s="264"/>
      <c r="B935" s="264"/>
      <c r="C935" s="264"/>
      <c r="D935" s="264"/>
      <c r="E935" s="264"/>
      <c r="F935" s="264"/>
      <c r="G935" s="264"/>
      <c r="H935" s="264"/>
      <c r="I935" s="264"/>
      <c r="J935" s="264"/>
      <c r="K935" s="264"/>
      <c r="L935" s="264"/>
      <c r="M935" s="264"/>
      <c r="N935" s="264"/>
      <c r="O935" s="264"/>
      <c r="P935" s="264"/>
      <c r="Q935" s="264"/>
      <c r="R935" s="264"/>
      <c r="S935" s="264"/>
      <c r="T935" s="264"/>
      <c r="U935" s="264"/>
      <c r="V935" s="264"/>
      <c r="W935" s="264"/>
      <c r="X935" s="264"/>
      <c r="Y935" s="264"/>
      <c r="Z935" s="264"/>
    </row>
    <row r="936" spans="1:26" ht="15.75" customHeight="1">
      <c r="A936" s="264"/>
      <c r="B936" s="264"/>
      <c r="C936" s="264"/>
      <c r="D936" s="264"/>
      <c r="E936" s="264"/>
      <c r="F936" s="264"/>
      <c r="G936" s="264"/>
      <c r="H936" s="264"/>
      <c r="I936" s="264"/>
      <c r="J936" s="264"/>
      <c r="K936" s="264"/>
      <c r="L936" s="264"/>
      <c r="M936" s="264"/>
      <c r="N936" s="264"/>
      <c r="O936" s="264"/>
      <c r="P936" s="264"/>
      <c r="Q936" s="264"/>
      <c r="R936" s="264"/>
      <c r="S936" s="264"/>
      <c r="T936" s="264"/>
      <c r="U936" s="264"/>
      <c r="V936" s="264"/>
      <c r="W936" s="264"/>
      <c r="X936" s="264"/>
      <c r="Y936" s="264"/>
      <c r="Z936" s="264"/>
    </row>
    <row r="937" spans="1:26" ht="15.75" customHeight="1">
      <c r="A937" s="264"/>
      <c r="B937" s="264"/>
      <c r="C937" s="264"/>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row>
    <row r="938" spans="1:26" ht="15.75" customHeight="1">
      <c r="A938" s="264"/>
      <c r="B938" s="264"/>
      <c r="C938" s="264"/>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row>
    <row r="939" spans="1:26" ht="15.75" customHeight="1">
      <c r="A939" s="264"/>
      <c r="B939" s="264"/>
      <c r="C939" s="264"/>
      <c r="D939" s="264"/>
      <c r="E939" s="264"/>
      <c r="F939" s="264"/>
      <c r="G939" s="264"/>
      <c r="H939" s="264"/>
      <c r="I939" s="264"/>
      <c r="J939" s="264"/>
      <c r="K939" s="264"/>
      <c r="L939" s="264"/>
      <c r="M939" s="264"/>
      <c r="N939" s="264"/>
      <c r="O939" s="264"/>
      <c r="P939" s="264"/>
      <c r="Q939" s="264"/>
      <c r="R939" s="264"/>
      <c r="S939" s="264"/>
      <c r="T939" s="264"/>
      <c r="U939" s="264"/>
      <c r="V939" s="264"/>
      <c r="W939" s="264"/>
      <c r="X939" s="264"/>
      <c r="Y939" s="264"/>
      <c r="Z939" s="264"/>
    </row>
    <row r="940" spans="1:26" ht="15.75" customHeight="1">
      <c r="A940" s="264"/>
      <c r="B940" s="264"/>
      <c r="C940" s="264"/>
      <c r="D940" s="264"/>
      <c r="E940" s="264"/>
      <c r="F940" s="264"/>
      <c r="G940" s="264"/>
      <c r="H940" s="264"/>
      <c r="I940" s="264"/>
      <c r="J940" s="264"/>
      <c r="K940" s="264"/>
      <c r="L940" s="264"/>
      <c r="M940" s="264"/>
      <c r="N940" s="264"/>
      <c r="O940" s="264"/>
      <c r="P940" s="264"/>
      <c r="Q940" s="264"/>
      <c r="R940" s="264"/>
      <c r="S940" s="264"/>
      <c r="T940" s="264"/>
      <c r="U940" s="264"/>
      <c r="V940" s="264"/>
      <c r="W940" s="264"/>
      <c r="X940" s="264"/>
      <c r="Y940" s="264"/>
      <c r="Z940" s="264"/>
    </row>
    <row r="941" spans="1:26" ht="15.75" customHeight="1">
      <c r="A941" s="264"/>
      <c r="B941" s="264"/>
      <c r="C941" s="264"/>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row>
    <row r="942" spans="1:26" ht="15.75" customHeight="1">
      <c r="A942" s="264"/>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row>
    <row r="943" spans="1:26" ht="15.75" customHeight="1">
      <c r="A943" s="264"/>
      <c r="B943" s="264"/>
      <c r="C943" s="264"/>
      <c r="D943" s="264"/>
      <c r="E943" s="264"/>
      <c r="F943" s="264"/>
      <c r="G943" s="264"/>
      <c r="H943" s="264"/>
      <c r="I943" s="264"/>
      <c r="J943" s="264"/>
      <c r="K943" s="264"/>
      <c r="L943" s="264"/>
      <c r="M943" s="264"/>
      <c r="N943" s="264"/>
      <c r="O943" s="264"/>
      <c r="P943" s="264"/>
      <c r="Q943" s="264"/>
      <c r="R943" s="264"/>
      <c r="S943" s="264"/>
      <c r="T943" s="264"/>
      <c r="U943" s="264"/>
      <c r="V943" s="264"/>
      <c r="W943" s="264"/>
      <c r="X943" s="264"/>
      <c r="Y943" s="264"/>
      <c r="Z943" s="264"/>
    </row>
    <row r="944" spans="1:26" ht="15.75" customHeight="1">
      <c r="A944" s="264"/>
      <c r="B944" s="264"/>
      <c r="C944" s="264"/>
      <c r="D944" s="264"/>
      <c r="E944" s="264"/>
      <c r="F944" s="264"/>
      <c r="G944" s="264"/>
      <c r="H944" s="264"/>
      <c r="I944" s="264"/>
      <c r="J944" s="264"/>
      <c r="K944" s="264"/>
      <c r="L944" s="264"/>
      <c r="M944" s="264"/>
      <c r="N944" s="264"/>
      <c r="O944" s="264"/>
      <c r="P944" s="264"/>
      <c r="Q944" s="264"/>
      <c r="R944" s="264"/>
      <c r="S944" s="264"/>
      <c r="T944" s="264"/>
      <c r="U944" s="264"/>
      <c r="V944" s="264"/>
      <c r="W944" s="264"/>
      <c r="X944" s="264"/>
      <c r="Y944" s="264"/>
      <c r="Z944" s="264"/>
    </row>
    <row r="945" spans="1:26" ht="15.75" customHeight="1">
      <c r="A945" s="264"/>
      <c r="B945" s="264"/>
      <c r="C945" s="264"/>
      <c r="D945" s="264"/>
      <c r="E945" s="264"/>
      <c r="F945" s="264"/>
      <c r="G945" s="264"/>
      <c r="H945" s="264"/>
      <c r="I945" s="264"/>
      <c r="J945" s="264"/>
      <c r="K945" s="264"/>
      <c r="L945" s="264"/>
      <c r="M945" s="264"/>
      <c r="N945" s="264"/>
      <c r="O945" s="264"/>
      <c r="P945" s="264"/>
      <c r="Q945" s="264"/>
      <c r="R945" s="264"/>
      <c r="S945" s="264"/>
      <c r="T945" s="264"/>
      <c r="U945" s="264"/>
      <c r="V945" s="264"/>
      <c r="W945" s="264"/>
      <c r="X945" s="264"/>
      <c r="Y945" s="264"/>
      <c r="Z945" s="264"/>
    </row>
    <row r="946" spans="1:26" ht="15.75" customHeight="1">
      <c r="A946" s="264"/>
      <c r="B946" s="264"/>
      <c r="C946" s="264"/>
      <c r="D946" s="264"/>
      <c r="E946" s="264"/>
      <c r="F946" s="264"/>
      <c r="G946" s="264"/>
      <c r="H946" s="264"/>
      <c r="I946" s="264"/>
      <c r="J946" s="264"/>
      <c r="K946" s="264"/>
      <c r="L946" s="264"/>
      <c r="M946" s="264"/>
      <c r="N946" s="264"/>
      <c r="O946" s="264"/>
      <c r="P946" s="264"/>
      <c r="Q946" s="264"/>
      <c r="R946" s="264"/>
      <c r="S946" s="264"/>
      <c r="T946" s="264"/>
      <c r="U946" s="264"/>
      <c r="V946" s="264"/>
      <c r="W946" s="264"/>
      <c r="X946" s="264"/>
      <c r="Y946" s="264"/>
      <c r="Z946" s="264"/>
    </row>
    <row r="947" spans="1:26" ht="15.75" customHeight="1">
      <c r="A947" s="264"/>
      <c r="B947" s="264"/>
      <c r="C947" s="264"/>
      <c r="D947" s="264"/>
      <c r="E947" s="264"/>
      <c r="F947" s="264"/>
      <c r="G947" s="264"/>
      <c r="H947" s="264"/>
      <c r="I947" s="264"/>
      <c r="J947" s="264"/>
      <c r="K947" s="264"/>
      <c r="L947" s="264"/>
      <c r="M947" s="264"/>
      <c r="N947" s="264"/>
      <c r="O947" s="264"/>
      <c r="P947" s="264"/>
      <c r="Q947" s="264"/>
      <c r="R947" s="264"/>
      <c r="S947" s="264"/>
      <c r="T947" s="264"/>
      <c r="U947" s="264"/>
      <c r="V947" s="264"/>
      <c r="W947" s="264"/>
      <c r="X947" s="264"/>
      <c r="Y947" s="264"/>
      <c r="Z947" s="264"/>
    </row>
    <row r="948" spans="1:26" ht="15.75" customHeight="1">
      <c r="A948" s="264"/>
      <c r="B948" s="264"/>
      <c r="C948" s="264"/>
      <c r="D948" s="264"/>
      <c r="E948" s="264"/>
      <c r="F948" s="264"/>
      <c r="G948" s="264"/>
      <c r="H948" s="264"/>
      <c r="I948" s="264"/>
      <c r="J948" s="264"/>
      <c r="K948" s="264"/>
      <c r="L948" s="264"/>
      <c r="M948" s="264"/>
      <c r="N948" s="264"/>
      <c r="O948" s="264"/>
      <c r="P948" s="264"/>
      <c r="Q948" s="264"/>
      <c r="R948" s="264"/>
      <c r="S948" s="264"/>
      <c r="T948" s="264"/>
      <c r="U948" s="264"/>
      <c r="V948" s="264"/>
      <c r="W948" s="264"/>
      <c r="X948" s="264"/>
      <c r="Y948" s="264"/>
      <c r="Z948" s="264"/>
    </row>
    <row r="949" spans="1:26" ht="15.75" customHeight="1">
      <c r="A949" s="264"/>
      <c r="B949" s="264"/>
      <c r="C949" s="264"/>
      <c r="D949" s="264"/>
      <c r="E949" s="264"/>
      <c r="F949" s="264"/>
      <c r="G949" s="264"/>
      <c r="H949" s="264"/>
      <c r="I949" s="264"/>
      <c r="J949" s="264"/>
      <c r="K949" s="264"/>
      <c r="L949" s="264"/>
      <c r="M949" s="264"/>
      <c r="N949" s="264"/>
      <c r="O949" s="264"/>
      <c r="P949" s="264"/>
      <c r="Q949" s="264"/>
      <c r="R949" s="264"/>
      <c r="S949" s="264"/>
      <c r="T949" s="264"/>
      <c r="U949" s="264"/>
      <c r="V949" s="264"/>
      <c r="W949" s="264"/>
      <c r="X949" s="264"/>
      <c r="Y949" s="264"/>
      <c r="Z949" s="264"/>
    </row>
    <row r="950" spans="1:26" ht="15.75" customHeight="1">
      <c r="A950" s="264"/>
      <c r="B950" s="264"/>
      <c r="C950" s="264"/>
      <c r="D950" s="264"/>
      <c r="E950" s="264"/>
      <c r="F950" s="264"/>
      <c r="G950" s="264"/>
      <c r="H950" s="264"/>
      <c r="I950" s="264"/>
      <c r="J950" s="264"/>
      <c r="K950" s="264"/>
      <c r="L950" s="264"/>
      <c r="M950" s="264"/>
      <c r="N950" s="264"/>
      <c r="O950" s="264"/>
      <c r="P950" s="264"/>
      <c r="Q950" s="264"/>
      <c r="R950" s="264"/>
      <c r="S950" s="264"/>
      <c r="T950" s="264"/>
      <c r="U950" s="264"/>
      <c r="V950" s="264"/>
      <c r="W950" s="264"/>
      <c r="X950" s="264"/>
      <c r="Y950" s="264"/>
      <c r="Z950" s="264"/>
    </row>
    <row r="951" spans="1:26" ht="15.75" customHeight="1">
      <c r="A951" s="264"/>
      <c r="B951" s="264"/>
      <c r="C951" s="264"/>
      <c r="D951" s="264"/>
      <c r="E951" s="264"/>
      <c r="F951" s="264"/>
      <c r="G951" s="264"/>
      <c r="H951" s="264"/>
      <c r="I951" s="264"/>
      <c r="J951" s="264"/>
      <c r="K951" s="264"/>
      <c r="L951" s="264"/>
      <c r="M951" s="264"/>
      <c r="N951" s="264"/>
      <c r="O951" s="264"/>
      <c r="P951" s="264"/>
      <c r="Q951" s="264"/>
      <c r="R951" s="264"/>
      <c r="S951" s="264"/>
      <c r="T951" s="264"/>
      <c r="U951" s="264"/>
      <c r="V951" s="264"/>
      <c r="W951" s="264"/>
      <c r="X951" s="264"/>
      <c r="Y951" s="264"/>
      <c r="Z951" s="264"/>
    </row>
    <row r="952" spans="1:26" ht="15.75" customHeight="1">
      <c r="A952" s="264"/>
      <c r="B952" s="264"/>
      <c r="C952" s="264"/>
      <c r="D952" s="264"/>
      <c r="E952" s="264"/>
      <c r="F952" s="264"/>
      <c r="G952" s="264"/>
      <c r="H952" s="264"/>
      <c r="I952" s="264"/>
      <c r="J952" s="264"/>
      <c r="K952" s="264"/>
      <c r="L952" s="264"/>
      <c r="M952" s="264"/>
      <c r="N952" s="264"/>
      <c r="O952" s="264"/>
      <c r="P952" s="264"/>
      <c r="Q952" s="264"/>
      <c r="R952" s="264"/>
      <c r="S952" s="264"/>
      <c r="T952" s="264"/>
      <c r="U952" s="264"/>
      <c r="V952" s="264"/>
      <c r="W952" s="264"/>
      <c r="X952" s="264"/>
      <c r="Y952" s="264"/>
      <c r="Z952" s="264"/>
    </row>
    <row r="953" spans="1:26" ht="15.75" customHeight="1">
      <c r="A953" s="264"/>
      <c r="B953" s="264"/>
      <c r="C953" s="264"/>
      <c r="D953" s="264"/>
      <c r="E953" s="264"/>
      <c r="F953" s="264"/>
      <c r="G953" s="264"/>
      <c r="H953" s="264"/>
      <c r="I953" s="264"/>
      <c r="J953" s="264"/>
      <c r="K953" s="264"/>
      <c r="L953" s="264"/>
      <c r="M953" s="264"/>
      <c r="N953" s="264"/>
      <c r="O953" s="264"/>
      <c r="P953" s="264"/>
      <c r="Q953" s="264"/>
      <c r="R953" s="264"/>
      <c r="S953" s="264"/>
      <c r="T953" s="264"/>
      <c r="U953" s="264"/>
      <c r="V953" s="264"/>
      <c r="W953" s="264"/>
      <c r="X953" s="264"/>
      <c r="Y953" s="264"/>
      <c r="Z953" s="264"/>
    </row>
    <row r="954" spans="1:26" ht="15.75" customHeight="1">
      <c r="A954" s="264"/>
      <c r="B954" s="264"/>
      <c r="C954" s="264"/>
      <c r="D954" s="264"/>
      <c r="E954" s="264"/>
      <c r="F954" s="264"/>
      <c r="G954" s="264"/>
      <c r="H954" s="264"/>
      <c r="I954" s="264"/>
      <c r="J954" s="264"/>
      <c r="K954" s="264"/>
      <c r="L954" s="264"/>
      <c r="M954" s="264"/>
      <c r="N954" s="264"/>
      <c r="O954" s="264"/>
      <c r="P954" s="264"/>
      <c r="Q954" s="264"/>
      <c r="R954" s="264"/>
      <c r="S954" s="264"/>
      <c r="T954" s="264"/>
      <c r="U954" s="264"/>
      <c r="V954" s="264"/>
      <c r="W954" s="264"/>
      <c r="X954" s="264"/>
      <c r="Y954" s="264"/>
      <c r="Z954" s="264"/>
    </row>
    <row r="955" spans="1:26" ht="15.75" customHeight="1">
      <c r="A955" s="264"/>
      <c r="B955" s="264"/>
      <c r="C955" s="264"/>
      <c r="D955" s="264"/>
      <c r="E955" s="264"/>
      <c r="F955" s="264"/>
      <c r="G955" s="264"/>
      <c r="H955" s="264"/>
      <c r="I955" s="264"/>
      <c r="J955" s="264"/>
      <c r="K955" s="264"/>
      <c r="L955" s="264"/>
      <c r="M955" s="264"/>
      <c r="N955" s="264"/>
      <c r="O955" s="264"/>
      <c r="P955" s="264"/>
      <c r="Q955" s="264"/>
      <c r="R955" s="264"/>
      <c r="S955" s="264"/>
      <c r="T955" s="264"/>
      <c r="U955" s="264"/>
      <c r="V955" s="264"/>
      <c r="W955" s="264"/>
      <c r="X955" s="264"/>
      <c r="Y955" s="264"/>
      <c r="Z955" s="264"/>
    </row>
    <row r="956" spans="1:26" ht="15.75" customHeight="1">
      <c r="A956" s="264"/>
      <c r="B956" s="264"/>
      <c r="C956" s="264"/>
      <c r="D956" s="264"/>
      <c r="E956" s="264"/>
      <c r="F956" s="264"/>
      <c r="G956" s="264"/>
      <c r="H956" s="264"/>
      <c r="I956" s="264"/>
      <c r="J956" s="264"/>
      <c r="K956" s="264"/>
      <c r="L956" s="264"/>
      <c r="M956" s="264"/>
      <c r="N956" s="264"/>
      <c r="O956" s="264"/>
      <c r="P956" s="264"/>
      <c r="Q956" s="264"/>
      <c r="R956" s="264"/>
      <c r="S956" s="264"/>
      <c r="T956" s="264"/>
      <c r="U956" s="264"/>
      <c r="V956" s="264"/>
      <c r="W956" s="264"/>
      <c r="X956" s="264"/>
      <c r="Y956" s="264"/>
      <c r="Z956" s="264"/>
    </row>
    <row r="957" spans="1:26" ht="15.75" customHeight="1">
      <c r="A957" s="264"/>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64"/>
      <c r="X957" s="264"/>
      <c r="Y957" s="264"/>
      <c r="Z957" s="264"/>
    </row>
    <row r="958" spans="1:26" ht="15.75" customHeight="1">
      <c r="A958" s="264"/>
      <c r="B958" s="264"/>
      <c r="C958" s="264"/>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row>
    <row r="959" spans="1:26" ht="15.75" customHeight="1">
      <c r="A959" s="264"/>
      <c r="B959" s="264"/>
      <c r="C959" s="264"/>
      <c r="D959" s="264"/>
      <c r="E959" s="264"/>
      <c r="F959" s="264"/>
      <c r="G959" s="264"/>
      <c r="H959" s="264"/>
      <c r="I959" s="264"/>
      <c r="J959" s="264"/>
      <c r="K959" s="264"/>
      <c r="L959" s="264"/>
      <c r="M959" s="264"/>
      <c r="N959" s="264"/>
      <c r="O959" s="264"/>
      <c r="P959" s="264"/>
      <c r="Q959" s="264"/>
      <c r="R959" s="264"/>
      <c r="S959" s="264"/>
      <c r="T959" s="264"/>
      <c r="U959" s="264"/>
      <c r="V959" s="264"/>
      <c r="W959" s="264"/>
      <c r="X959" s="264"/>
      <c r="Y959" s="264"/>
      <c r="Z959" s="264"/>
    </row>
    <row r="960" spans="1:26" ht="15.75" customHeight="1">
      <c r="A960" s="264"/>
      <c r="B960" s="264"/>
      <c r="C960" s="264"/>
      <c r="D960" s="264"/>
      <c r="E960" s="264"/>
      <c r="F960" s="264"/>
      <c r="G960" s="264"/>
      <c r="H960" s="264"/>
      <c r="I960" s="264"/>
      <c r="J960" s="264"/>
      <c r="K960" s="264"/>
      <c r="L960" s="264"/>
      <c r="M960" s="264"/>
      <c r="N960" s="264"/>
      <c r="O960" s="264"/>
      <c r="P960" s="264"/>
      <c r="Q960" s="264"/>
      <c r="R960" s="264"/>
      <c r="S960" s="264"/>
      <c r="T960" s="264"/>
      <c r="U960" s="264"/>
      <c r="V960" s="264"/>
      <c r="W960" s="264"/>
      <c r="X960" s="264"/>
      <c r="Y960" s="264"/>
      <c r="Z960" s="264"/>
    </row>
    <row r="961" spans="1:26" ht="15.75" customHeight="1">
      <c r="A961" s="264"/>
      <c r="B961" s="264"/>
      <c r="C961" s="264"/>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row>
    <row r="962" spans="1:26" ht="15.75" customHeight="1">
      <c r="A962" s="264"/>
      <c r="B962" s="264"/>
      <c r="C962" s="264"/>
      <c r="D962" s="264"/>
      <c r="E962" s="264"/>
      <c r="F962" s="264"/>
      <c r="G962" s="264"/>
      <c r="H962" s="264"/>
      <c r="I962" s="264"/>
      <c r="J962" s="264"/>
      <c r="K962" s="264"/>
      <c r="L962" s="264"/>
      <c r="M962" s="264"/>
      <c r="N962" s="264"/>
      <c r="O962" s="264"/>
      <c r="P962" s="264"/>
      <c r="Q962" s="264"/>
      <c r="R962" s="264"/>
      <c r="S962" s="264"/>
      <c r="T962" s="264"/>
      <c r="U962" s="264"/>
      <c r="V962" s="264"/>
      <c r="W962" s="264"/>
      <c r="X962" s="264"/>
      <c r="Y962" s="264"/>
      <c r="Z962" s="264"/>
    </row>
    <row r="963" spans="1:26" ht="15.75" customHeight="1">
      <c r="A963" s="264"/>
      <c r="B963" s="264"/>
      <c r="C963" s="264"/>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row>
    <row r="964" spans="1:26" ht="15.75" customHeight="1">
      <c r="A964" s="264"/>
      <c r="B964" s="264"/>
      <c r="C964" s="264"/>
      <c r="D964" s="264"/>
      <c r="E964" s="264"/>
      <c r="F964" s="264"/>
      <c r="G964" s="264"/>
      <c r="H964" s="264"/>
      <c r="I964" s="264"/>
      <c r="J964" s="264"/>
      <c r="K964" s="264"/>
      <c r="L964" s="264"/>
      <c r="M964" s="264"/>
      <c r="N964" s="264"/>
      <c r="O964" s="264"/>
      <c r="P964" s="264"/>
      <c r="Q964" s="264"/>
      <c r="R964" s="264"/>
      <c r="S964" s="264"/>
      <c r="T964" s="264"/>
      <c r="U964" s="264"/>
      <c r="V964" s="264"/>
      <c r="W964" s="264"/>
      <c r="X964" s="264"/>
      <c r="Y964" s="264"/>
      <c r="Z964" s="264"/>
    </row>
    <row r="965" spans="1:26" ht="15.75" customHeight="1">
      <c r="A965" s="264"/>
      <c r="B965" s="264"/>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row>
    <row r="966" spans="1:26" ht="15.75" customHeight="1">
      <c r="A966" s="264"/>
      <c r="B966" s="264"/>
      <c r="C966" s="264"/>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row>
    <row r="967" spans="1:26" ht="15.75" customHeight="1">
      <c r="A967" s="264"/>
      <c r="B967" s="264"/>
      <c r="C967" s="264"/>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row>
    <row r="968" spans="1:26" ht="15.75" customHeight="1">
      <c r="A968" s="264"/>
      <c r="B968" s="264"/>
      <c r="C968" s="264"/>
      <c r="D968" s="264"/>
      <c r="E968" s="264"/>
      <c r="F968" s="264"/>
      <c r="G968" s="264"/>
      <c r="H968" s="264"/>
      <c r="I968" s="264"/>
      <c r="J968" s="264"/>
      <c r="K968" s="264"/>
      <c r="L968" s="264"/>
      <c r="M968" s="264"/>
      <c r="N968" s="264"/>
      <c r="O968" s="264"/>
      <c r="P968" s="264"/>
      <c r="Q968" s="264"/>
      <c r="R968" s="264"/>
      <c r="S968" s="264"/>
      <c r="T968" s="264"/>
      <c r="U968" s="264"/>
      <c r="V968" s="264"/>
      <c r="W968" s="264"/>
      <c r="X968" s="264"/>
      <c r="Y968" s="264"/>
      <c r="Z968" s="264"/>
    </row>
    <row r="969" spans="1:26" ht="15.75" customHeight="1">
      <c r="A969" s="264"/>
      <c r="B969" s="264"/>
      <c r="C969" s="264"/>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row>
    <row r="970" spans="1:26" ht="15.75" customHeight="1">
      <c r="A970" s="264"/>
      <c r="B970" s="264"/>
      <c r="C970" s="264"/>
      <c r="D970" s="264"/>
      <c r="E970" s="264"/>
      <c r="F970" s="264"/>
      <c r="G970" s="264"/>
      <c r="H970" s="264"/>
      <c r="I970" s="264"/>
      <c r="J970" s="264"/>
      <c r="K970" s="264"/>
      <c r="L970" s="264"/>
      <c r="M970" s="264"/>
      <c r="N970" s="264"/>
      <c r="O970" s="264"/>
      <c r="P970" s="264"/>
      <c r="Q970" s="264"/>
      <c r="R970" s="264"/>
      <c r="S970" s="264"/>
      <c r="T970" s="264"/>
      <c r="U970" s="264"/>
      <c r="V970" s="264"/>
      <c r="W970" s="264"/>
      <c r="X970" s="264"/>
      <c r="Y970" s="264"/>
      <c r="Z970" s="264"/>
    </row>
    <row r="971" spans="1:26" ht="15.75" customHeight="1">
      <c r="A971" s="264"/>
      <c r="B971" s="264"/>
      <c r="C971" s="264"/>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row>
    <row r="972" spans="1:26" ht="15.75" customHeight="1">
      <c r="A972" s="264"/>
      <c r="B972" s="264"/>
      <c r="C972" s="264"/>
      <c r="D972" s="264"/>
      <c r="E972" s="264"/>
      <c r="F972" s="264"/>
      <c r="G972" s="264"/>
      <c r="H972" s="264"/>
      <c r="I972" s="264"/>
      <c r="J972" s="264"/>
      <c r="K972" s="264"/>
      <c r="L972" s="264"/>
      <c r="M972" s="264"/>
      <c r="N972" s="264"/>
      <c r="O972" s="264"/>
      <c r="P972" s="264"/>
      <c r="Q972" s="264"/>
      <c r="R972" s="264"/>
      <c r="S972" s="264"/>
      <c r="T972" s="264"/>
      <c r="U972" s="264"/>
      <c r="V972" s="264"/>
      <c r="W972" s="264"/>
      <c r="X972" s="264"/>
      <c r="Y972" s="264"/>
      <c r="Z972" s="264"/>
    </row>
    <row r="973" spans="1:26" ht="15.75" customHeight="1">
      <c r="A973" s="264"/>
      <c r="B973" s="264"/>
      <c r="C973" s="264"/>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row>
    <row r="974" spans="1:26" ht="15.75" customHeight="1">
      <c r="A974" s="264"/>
      <c r="B974" s="264"/>
      <c r="C974" s="264"/>
      <c r="D974" s="264"/>
      <c r="E974" s="264"/>
      <c r="F974" s="264"/>
      <c r="G974" s="264"/>
      <c r="H974" s="264"/>
      <c r="I974" s="264"/>
      <c r="J974" s="264"/>
      <c r="K974" s="264"/>
      <c r="L974" s="264"/>
      <c r="M974" s="264"/>
      <c r="N974" s="264"/>
      <c r="O974" s="264"/>
      <c r="P974" s="264"/>
      <c r="Q974" s="264"/>
      <c r="R974" s="264"/>
      <c r="S974" s="264"/>
      <c r="T974" s="264"/>
      <c r="U974" s="264"/>
      <c r="V974" s="264"/>
      <c r="W974" s="264"/>
      <c r="X974" s="264"/>
      <c r="Y974" s="264"/>
      <c r="Z974" s="264"/>
    </row>
    <row r="975" spans="1:26" ht="15.75" customHeight="1">
      <c r="A975" s="264"/>
      <c r="B975" s="264"/>
      <c r="C975" s="264"/>
      <c r="D975" s="264"/>
      <c r="E975" s="264"/>
      <c r="F975" s="264"/>
      <c r="G975" s="264"/>
      <c r="H975" s="264"/>
      <c r="I975" s="264"/>
      <c r="J975" s="264"/>
      <c r="K975" s="264"/>
      <c r="L975" s="264"/>
      <c r="M975" s="264"/>
      <c r="N975" s="264"/>
      <c r="O975" s="264"/>
      <c r="P975" s="264"/>
      <c r="Q975" s="264"/>
      <c r="R975" s="264"/>
      <c r="S975" s="264"/>
      <c r="T975" s="264"/>
      <c r="U975" s="264"/>
      <c r="V975" s="264"/>
      <c r="W975" s="264"/>
      <c r="X975" s="264"/>
      <c r="Y975" s="264"/>
      <c r="Z975" s="264"/>
    </row>
    <row r="976" spans="1:26" ht="15.75" customHeight="1">
      <c r="A976" s="264"/>
      <c r="B976" s="264"/>
      <c r="C976" s="264"/>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row>
    <row r="977" spans="1:26" ht="15.75" customHeight="1">
      <c r="A977" s="264"/>
      <c r="B977" s="264"/>
      <c r="C977" s="264"/>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row>
    <row r="978" spans="1:26" ht="15.75" customHeight="1">
      <c r="A978" s="264"/>
      <c r="B978" s="264"/>
      <c r="C978" s="264"/>
      <c r="D978" s="264"/>
      <c r="E978" s="264"/>
      <c r="F978" s="264"/>
      <c r="G978" s="264"/>
      <c r="H978" s="264"/>
      <c r="I978" s="264"/>
      <c r="J978" s="264"/>
      <c r="K978" s="264"/>
      <c r="L978" s="264"/>
      <c r="M978" s="264"/>
      <c r="N978" s="264"/>
      <c r="O978" s="264"/>
      <c r="P978" s="264"/>
      <c r="Q978" s="264"/>
      <c r="R978" s="264"/>
      <c r="S978" s="264"/>
      <c r="T978" s="264"/>
      <c r="U978" s="264"/>
      <c r="V978" s="264"/>
      <c r="W978" s="264"/>
      <c r="X978" s="264"/>
      <c r="Y978" s="264"/>
      <c r="Z978" s="264"/>
    </row>
    <row r="979" spans="1:26" ht="15.75" customHeight="1">
      <c r="A979" s="264"/>
      <c r="B979" s="264"/>
      <c r="C979" s="264"/>
      <c r="D979" s="264"/>
      <c r="E979" s="264"/>
      <c r="F979" s="264"/>
      <c r="G979" s="264"/>
      <c r="H979" s="264"/>
      <c r="I979" s="264"/>
      <c r="J979" s="264"/>
      <c r="K979" s="264"/>
      <c r="L979" s="264"/>
      <c r="M979" s="264"/>
      <c r="N979" s="264"/>
      <c r="O979" s="264"/>
      <c r="P979" s="264"/>
      <c r="Q979" s="264"/>
      <c r="R979" s="264"/>
      <c r="S979" s="264"/>
      <c r="T979" s="264"/>
      <c r="U979" s="264"/>
      <c r="V979" s="264"/>
      <c r="W979" s="264"/>
      <c r="X979" s="264"/>
      <c r="Y979" s="264"/>
      <c r="Z979" s="264"/>
    </row>
    <row r="980" spans="1:26" ht="15.75" customHeight="1">
      <c r="A980" s="264"/>
      <c r="B980" s="264"/>
      <c r="C980" s="264"/>
      <c r="D980" s="264"/>
      <c r="E980" s="264"/>
      <c r="F980" s="264"/>
      <c r="G980" s="264"/>
      <c r="H980" s="264"/>
      <c r="I980" s="264"/>
      <c r="J980" s="264"/>
      <c r="K980" s="264"/>
      <c r="L980" s="264"/>
      <c r="M980" s="264"/>
      <c r="N980" s="264"/>
      <c r="O980" s="264"/>
      <c r="P980" s="264"/>
      <c r="Q980" s="264"/>
      <c r="R980" s="264"/>
      <c r="S980" s="264"/>
      <c r="T980" s="264"/>
      <c r="U980" s="264"/>
      <c r="V980" s="264"/>
      <c r="W980" s="264"/>
      <c r="X980" s="264"/>
      <c r="Y980" s="264"/>
      <c r="Z980" s="264"/>
    </row>
    <row r="981" spans="1:26" ht="15.75" customHeight="1">
      <c r="A981" s="264"/>
      <c r="B981" s="264"/>
      <c r="C981" s="264"/>
      <c r="D981" s="264"/>
      <c r="E981" s="264"/>
      <c r="F981" s="264"/>
      <c r="G981" s="264"/>
      <c r="H981" s="264"/>
      <c r="I981" s="264"/>
      <c r="J981" s="264"/>
      <c r="K981" s="264"/>
      <c r="L981" s="264"/>
      <c r="M981" s="264"/>
      <c r="N981" s="264"/>
      <c r="O981" s="264"/>
      <c r="P981" s="264"/>
      <c r="Q981" s="264"/>
      <c r="R981" s="264"/>
      <c r="S981" s="264"/>
      <c r="T981" s="264"/>
      <c r="U981" s="264"/>
      <c r="V981" s="264"/>
      <c r="W981" s="264"/>
      <c r="X981" s="264"/>
      <c r="Y981" s="264"/>
      <c r="Z981" s="264"/>
    </row>
    <row r="982" spans="1:26" ht="15.75" customHeight="1">
      <c r="A982" s="264"/>
      <c r="B982" s="264"/>
      <c r="C982" s="264"/>
      <c r="D982" s="264"/>
      <c r="E982" s="264"/>
      <c r="F982" s="264"/>
      <c r="G982" s="264"/>
      <c r="H982" s="264"/>
      <c r="I982" s="264"/>
      <c r="J982" s="264"/>
      <c r="K982" s="264"/>
      <c r="L982" s="264"/>
      <c r="M982" s="264"/>
      <c r="N982" s="264"/>
      <c r="O982" s="264"/>
      <c r="P982" s="264"/>
      <c r="Q982" s="264"/>
      <c r="R982" s="264"/>
      <c r="S982" s="264"/>
      <c r="T982" s="264"/>
      <c r="U982" s="264"/>
      <c r="V982" s="264"/>
      <c r="W982" s="264"/>
      <c r="X982" s="264"/>
      <c r="Y982" s="264"/>
      <c r="Z982" s="264"/>
    </row>
    <row r="983" spans="1:26" ht="15.75" customHeight="1">
      <c r="A983" s="264"/>
      <c r="B983" s="264"/>
      <c r="C983" s="264"/>
      <c r="D983" s="264"/>
      <c r="E983" s="264"/>
      <c r="F983" s="264"/>
      <c r="G983" s="264"/>
      <c r="H983" s="264"/>
      <c r="I983" s="264"/>
      <c r="J983" s="264"/>
      <c r="K983" s="264"/>
      <c r="L983" s="264"/>
      <c r="M983" s="264"/>
      <c r="N983" s="264"/>
      <c r="O983" s="264"/>
      <c r="P983" s="264"/>
      <c r="Q983" s="264"/>
      <c r="R983" s="264"/>
      <c r="S983" s="264"/>
      <c r="T983" s="264"/>
      <c r="U983" s="264"/>
      <c r="V983" s="264"/>
      <c r="W983" s="264"/>
      <c r="X983" s="264"/>
      <c r="Y983" s="264"/>
      <c r="Z983" s="264"/>
    </row>
    <row r="984" spans="1:26" ht="15.75" customHeight="1">
      <c r="A984" s="264"/>
      <c r="B984" s="264"/>
      <c r="C984" s="264"/>
      <c r="D984" s="264"/>
      <c r="E984" s="264"/>
      <c r="F984" s="264"/>
      <c r="G984" s="264"/>
      <c r="H984" s="264"/>
      <c r="I984" s="264"/>
      <c r="J984" s="264"/>
      <c r="K984" s="264"/>
      <c r="L984" s="264"/>
      <c r="M984" s="264"/>
      <c r="N984" s="264"/>
      <c r="O984" s="264"/>
      <c r="P984" s="264"/>
      <c r="Q984" s="264"/>
      <c r="R984" s="264"/>
      <c r="S984" s="264"/>
      <c r="T984" s="264"/>
      <c r="U984" s="264"/>
      <c r="V984" s="264"/>
      <c r="W984" s="264"/>
      <c r="X984" s="264"/>
      <c r="Y984" s="264"/>
      <c r="Z984" s="264"/>
    </row>
    <row r="985" spans="1:26" ht="15.75" customHeight="1">
      <c r="A985" s="264"/>
      <c r="B985" s="264"/>
      <c r="C985" s="264"/>
      <c r="D985" s="264"/>
      <c r="E985" s="264"/>
      <c r="F985" s="264"/>
      <c r="G985" s="264"/>
      <c r="H985" s="264"/>
      <c r="I985" s="264"/>
      <c r="J985" s="264"/>
      <c r="K985" s="264"/>
      <c r="L985" s="264"/>
      <c r="M985" s="264"/>
      <c r="N985" s="264"/>
      <c r="O985" s="264"/>
      <c r="P985" s="264"/>
      <c r="Q985" s="264"/>
      <c r="R985" s="264"/>
      <c r="S985" s="264"/>
      <c r="T985" s="264"/>
      <c r="U985" s="264"/>
      <c r="V985" s="264"/>
      <c r="W985" s="264"/>
      <c r="X985" s="264"/>
      <c r="Y985" s="264"/>
      <c r="Z985" s="264"/>
    </row>
    <row r="986" spans="1:26" ht="15.75" customHeight="1">
      <c r="A986" s="264"/>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row>
    <row r="987" spans="1:26" ht="15.75" customHeight="1">
      <c r="A987" s="264"/>
      <c r="B987" s="264"/>
      <c r="C987" s="264"/>
      <c r="D987" s="264"/>
      <c r="E987" s="264"/>
      <c r="F987" s="264"/>
      <c r="G987" s="264"/>
      <c r="H987" s="264"/>
      <c r="I987" s="264"/>
      <c r="J987" s="264"/>
      <c r="K987" s="264"/>
      <c r="L987" s="264"/>
      <c r="M987" s="264"/>
      <c r="N987" s="264"/>
      <c r="O987" s="264"/>
      <c r="P987" s="264"/>
      <c r="Q987" s="264"/>
      <c r="R987" s="264"/>
      <c r="S987" s="264"/>
      <c r="T987" s="264"/>
      <c r="U987" s="264"/>
      <c r="V987" s="264"/>
      <c r="W987" s="264"/>
      <c r="X987" s="264"/>
      <c r="Y987" s="264"/>
      <c r="Z987" s="264"/>
    </row>
    <row r="988" spans="1:26" ht="15.75" customHeight="1">
      <c r="A988" s="264"/>
      <c r="B988" s="264"/>
      <c r="C988" s="264"/>
      <c r="D988" s="264"/>
      <c r="E988" s="264"/>
      <c r="F988" s="264"/>
      <c r="G988" s="264"/>
      <c r="H988" s="264"/>
      <c r="I988" s="264"/>
      <c r="J988" s="264"/>
      <c r="K988" s="264"/>
      <c r="L988" s="264"/>
      <c r="M988" s="264"/>
      <c r="N988" s="264"/>
      <c r="O988" s="264"/>
      <c r="P988" s="264"/>
      <c r="Q988" s="264"/>
      <c r="R988" s="264"/>
      <c r="S988" s="264"/>
      <c r="T988" s="264"/>
      <c r="U988" s="264"/>
      <c r="V988" s="264"/>
      <c r="W988" s="264"/>
      <c r="X988" s="264"/>
      <c r="Y988" s="264"/>
      <c r="Z988" s="264"/>
    </row>
    <row r="989" spans="1:26" ht="15.75" customHeight="1">
      <c r="A989" s="264"/>
      <c r="B989" s="264"/>
      <c r="C989" s="264"/>
      <c r="D989" s="264"/>
      <c r="E989" s="264"/>
      <c r="F989" s="264"/>
      <c r="G989" s="264"/>
      <c r="H989" s="264"/>
      <c r="I989" s="264"/>
      <c r="J989" s="264"/>
      <c r="K989" s="264"/>
      <c r="L989" s="264"/>
      <c r="M989" s="264"/>
      <c r="N989" s="264"/>
      <c r="O989" s="264"/>
      <c r="P989" s="264"/>
      <c r="Q989" s="264"/>
      <c r="R989" s="264"/>
      <c r="S989" s="264"/>
      <c r="T989" s="264"/>
      <c r="U989" s="264"/>
      <c r="V989" s="264"/>
      <c r="W989" s="264"/>
      <c r="X989" s="264"/>
      <c r="Y989" s="264"/>
      <c r="Z989" s="264"/>
    </row>
    <row r="990" spans="1:26" ht="15.75" customHeight="1">
      <c r="A990" s="264"/>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row>
    <row r="991" spans="1:26" ht="15.75" customHeight="1">
      <c r="A991" s="264"/>
      <c r="B991" s="264"/>
      <c r="C991" s="264"/>
      <c r="D991" s="264"/>
      <c r="E991" s="264"/>
      <c r="F991" s="264"/>
      <c r="G991" s="264"/>
      <c r="H991" s="264"/>
      <c r="I991" s="264"/>
      <c r="J991" s="264"/>
      <c r="K991" s="264"/>
      <c r="L991" s="264"/>
      <c r="M991" s="264"/>
      <c r="N991" s="264"/>
      <c r="O991" s="264"/>
      <c r="P991" s="264"/>
      <c r="Q991" s="264"/>
      <c r="R991" s="264"/>
      <c r="S991" s="264"/>
      <c r="T991" s="264"/>
      <c r="U991" s="264"/>
      <c r="V991" s="264"/>
      <c r="W991" s="264"/>
      <c r="X991" s="264"/>
      <c r="Y991" s="264"/>
      <c r="Z991" s="264"/>
    </row>
    <row r="992" spans="1:26" ht="15.75" customHeight="1">
      <c r="A992" s="264"/>
      <c r="B992" s="264"/>
      <c r="C992" s="264"/>
      <c r="D992" s="264"/>
      <c r="E992" s="264"/>
      <c r="F992" s="264"/>
      <c r="G992" s="264"/>
      <c r="H992" s="264"/>
      <c r="I992" s="264"/>
      <c r="J992" s="264"/>
      <c r="K992" s="264"/>
      <c r="L992" s="264"/>
      <c r="M992" s="264"/>
      <c r="N992" s="264"/>
      <c r="O992" s="264"/>
      <c r="P992" s="264"/>
      <c r="Q992" s="264"/>
      <c r="R992" s="264"/>
      <c r="S992" s="264"/>
      <c r="T992" s="264"/>
      <c r="U992" s="264"/>
      <c r="V992" s="264"/>
      <c r="W992" s="264"/>
      <c r="X992" s="264"/>
      <c r="Y992" s="264"/>
      <c r="Z992" s="264"/>
    </row>
    <row r="993" spans="1:26" ht="15.75" customHeight="1">
      <c r="A993" s="264"/>
      <c r="B993" s="264"/>
      <c r="C993" s="264"/>
      <c r="D993" s="264"/>
      <c r="E993" s="264"/>
      <c r="F993" s="264"/>
      <c r="G993" s="264"/>
      <c r="H993" s="264"/>
      <c r="I993" s="264"/>
      <c r="J993" s="264"/>
      <c r="K993" s="264"/>
      <c r="L993" s="264"/>
      <c r="M993" s="264"/>
      <c r="N993" s="264"/>
      <c r="O993" s="264"/>
      <c r="P993" s="264"/>
      <c r="Q993" s="264"/>
      <c r="R993" s="264"/>
      <c r="S993" s="264"/>
      <c r="T993" s="264"/>
      <c r="U993" s="264"/>
      <c r="V993" s="264"/>
      <c r="W993" s="264"/>
      <c r="X993" s="264"/>
      <c r="Y993" s="264"/>
      <c r="Z993" s="264"/>
    </row>
    <row r="994" spans="1:26" ht="15.75" customHeight="1">
      <c r="A994" s="264"/>
      <c r="B994" s="264"/>
      <c r="C994" s="264"/>
      <c r="D994" s="264"/>
      <c r="E994" s="264"/>
      <c r="F994" s="264"/>
      <c r="G994" s="264"/>
      <c r="H994" s="264"/>
      <c r="I994" s="264"/>
      <c r="J994" s="264"/>
      <c r="K994" s="264"/>
      <c r="L994" s="264"/>
      <c r="M994" s="264"/>
      <c r="N994" s="264"/>
      <c r="O994" s="264"/>
      <c r="P994" s="264"/>
      <c r="Q994" s="264"/>
      <c r="R994" s="264"/>
      <c r="S994" s="264"/>
      <c r="T994" s="264"/>
      <c r="U994" s="264"/>
      <c r="V994" s="264"/>
      <c r="W994" s="264"/>
      <c r="X994" s="264"/>
      <c r="Y994" s="264"/>
      <c r="Z994" s="264"/>
    </row>
    <row r="995" spans="1:26" ht="15.75" customHeight="1">
      <c r="A995" s="264"/>
      <c r="B995" s="264"/>
      <c r="C995" s="264"/>
      <c r="D995" s="264"/>
      <c r="E995" s="264"/>
      <c r="F995" s="264"/>
      <c r="G995" s="264"/>
      <c r="H995" s="264"/>
      <c r="I995" s="264"/>
      <c r="J995" s="264"/>
      <c r="K995" s="264"/>
      <c r="L995" s="264"/>
      <c r="M995" s="264"/>
      <c r="N995" s="264"/>
      <c r="O995" s="264"/>
      <c r="P995" s="264"/>
      <c r="Q995" s="264"/>
      <c r="R995" s="264"/>
      <c r="S995" s="264"/>
      <c r="T995" s="264"/>
      <c r="U995" s="264"/>
      <c r="V995" s="264"/>
      <c r="W995" s="264"/>
      <c r="X995" s="264"/>
      <c r="Y995" s="264"/>
      <c r="Z995" s="264"/>
    </row>
    <row r="996" spans="1:26" ht="15.75" customHeight="1">
      <c r="A996" s="264"/>
      <c r="B996" s="264"/>
      <c r="C996" s="264"/>
      <c r="D996" s="264"/>
      <c r="E996" s="264"/>
      <c r="F996" s="264"/>
      <c r="G996" s="264"/>
      <c r="H996" s="264"/>
      <c r="I996" s="264"/>
      <c r="J996" s="264"/>
      <c r="K996" s="264"/>
      <c r="L996" s="264"/>
      <c r="M996" s="264"/>
      <c r="N996" s="264"/>
      <c r="O996" s="264"/>
      <c r="P996" s="264"/>
      <c r="Q996" s="264"/>
      <c r="R996" s="264"/>
      <c r="S996" s="264"/>
      <c r="T996" s="264"/>
      <c r="U996" s="264"/>
      <c r="V996" s="264"/>
      <c r="W996" s="264"/>
      <c r="X996" s="264"/>
      <c r="Y996" s="264"/>
      <c r="Z996" s="264"/>
    </row>
    <row r="997" spans="1:26" ht="15.75" customHeight="1">
      <c r="A997" s="264"/>
      <c r="B997" s="264"/>
      <c r="C997" s="264"/>
      <c r="D997" s="264"/>
      <c r="E997" s="264"/>
      <c r="F997" s="264"/>
      <c r="G997" s="264"/>
      <c r="H997" s="264"/>
      <c r="I997" s="264"/>
      <c r="J997" s="264"/>
      <c r="K997" s="264"/>
      <c r="L997" s="264"/>
      <c r="M997" s="264"/>
      <c r="N997" s="264"/>
      <c r="O997" s="264"/>
      <c r="P997" s="264"/>
      <c r="Q997" s="264"/>
      <c r="R997" s="264"/>
      <c r="S997" s="264"/>
      <c r="T997" s="264"/>
      <c r="U997" s="264"/>
      <c r="V997" s="264"/>
      <c r="W997" s="264"/>
      <c r="X997" s="264"/>
      <c r="Y997" s="264"/>
      <c r="Z997" s="264"/>
    </row>
    <row r="998" spans="1:26" ht="15.75" customHeight="1">
      <c r="A998" s="264"/>
      <c r="B998" s="264"/>
      <c r="C998" s="264"/>
      <c r="D998" s="264"/>
      <c r="E998" s="264"/>
      <c r="F998" s="264"/>
      <c r="G998" s="264"/>
      <c r="H998" s="264"/>
      <c r="I998" s="264"/>
      <c r="J998" s="264"/>
      <c r="K998" s="264"/>
      <c r="L998" s="264"/>
      <c r="M998" s="264"/>
      <c r="N998" s="264"/>
      <c r="O998" s="264"/>
      <c r="P998" s="264"/>
      <c r="Q998" s="264"/>
      <c r="R998" s="264"/>
      <c r="S998" s="264"/>
      <c r="T998" s="264"/>
      <c r="U998" s="264"/>
      <c r="V998" s="264"/>
      <c r="W998" s="264"/>
      <c r="X998" s="264"/>
      <c r="Y998" s="264"/>
      <c r="Z998" s="264"/>
    </row>
    <row r="999" spans="1:26" ht="15.75" customHeight="1">
      <c r="A999" s="264"/>
      <c r="B999" s="264"/>
      <c r="C999" s="264"/>
      <c r="D999" s="264"/>
      <c r="E999" s="264"/>
      <c r="F999" s="264"/>
      <c r="G999" s="264"/>
      <c r="H999" s="264"/>
      <c r="I999" s="264"/>
      <c r="J999" s="264"/>
      <c r="K999" s="264"/>
      <c r="L999" s="264"/>
      <c r="M999" s="264"/>
      <c r="N999" s="264"/>
      <c r="O999" s="264"/>
      <c r="P999" s="264"/>
      <c r="Q999" s="264"/>
      <c r="R999" s="264"/>
      <c r="S999" s="264"/>
      <c r="T999" s="264"/>
      <c r="U999" s="264"/>
      <c r="V999" s="264"/>
      <c r="W999" s="264"/>
      <c r="X999" s="264"/>
      <c r="Y999" s="264"/>
      <c r="Z999" s="264"/>
    </row>
    <row r="1000" spans="1:26" ht="15.75" customHeight="1">
      <c r="A1000" s="264"/>
      <c r="B1000" s="264"/>
      <c r="C1000" s="264"/>
      <c r="D1000" s="264"/>
      <c r="E1000" s="264"/>
      <c r="F1000" s="264"/>
      <c r="G1000" s="264"/>
      <c r="H1000" s="264"/>
      <c r="I1000" s="264"/>
      <c r="J1000" s="264"/>
      <c r="K1000" s="264"/>
      <c r="L1000" s="264"/>
      <c r="M1000" s="264"/>
      <c r="N1000" s="264"/>
      <c r="O1000" s="264"/>
      <c r="P1000" s="264"/>
      <c r="Q1000" s="264"/>
      <c r="R1000" s="264"/>
      <c r="S1000" s="264"/>
      <c r="T1000" s="264"/>
      <c r="U1000" s="264"/>
      <c r="V1000" s="264"/>
      <c r="W1000" s="264"/>
      <c r="X1000" s="264"/>
      <c r="Y1000" s="264"/>
      <c r="Z1000" s="264"/>
    </row>
  </sheetData>
  <mergeCells count="181">
    <mergeCell ref="B512:C512"/>
    <mergeCell ref="D512:D513"/>
    <mergeCell ref="B519:D519"/>
    <mergeCell ref="B520:D522"/>
    <mergeCell ref="B523:C523"/>
    <mergeCell ref="D523:D524"/>
    <mergeCell ref="B491:D491"/>
    <mergeCell ref="B492:D494"/>
    <mergeCell ref="B495:C495"/>
    <mergeCell ref="D495:D496"/>
    <mergeCell ref="B506:D506"/>
    <mergeCell ref="B508:D508"/>
    <mergeCell ref="B509:D511"/>
    <mergeCell ref="D372:D373"/>
    <mergeCell ref="B384:D384"/>
    <mergeCell ref="B385:D387"/>
    <mergeCell ref="B388:C388"/>
    <mergeCell ref="D388:D389"/>
    <mergeCell ref="B395:D395"/>
    <mergeCell ref="B396:D398"/>
    <mergeCell ref="B399:C399"/>
    <mergeCell ref="D399:D400"/>
    <mergeCell ref="B469:C469"/>
    <mergeCell ref="D469:D470"/>
    <mergeCell ref="B476:D476"/>
    <mergeCell ref="B477:D479"/>
    <mergeCell ref="B480:C480"/>
    <mergeCell ref="D480:D481"/>
    <mergeCell ref="B269:C269"/>
    <mergeCell ref="D269:D270"/>
    <mergeCell ref="B279:D279"/>
    <mergeCell ref="B280:D280"/>
    <mergeCell ref="B281:D281"/>
    <mergeCell ref="B283:D283"/>
    <mergeCell ref="B284:D286"/>
    <mergeCell ref="B287:C287"/>
    <mergeCell ref="D287:D288"/>
    <mergeCell ref="B298:C298"/>
    <mergeCell ref="B301:D301"/>
    <mergeCell ref="B302:D304"/>
    <mergeCell ref="B305:C305"/>
    <mergeCell ref="D305:D306"/>
    <mergeCell ref="B314:D314"/>
    <mergeCell ref="B315:D317"/>
    <mergeCell ref="B318:C318"/>
    <mergeCell ref="D318:D319"/>
    <mergeCell ref="B444:D446"/>
    <mergeCell ref="B447:C447"/>
    <mergeCell ref="D447:D448"/>
    <mergeCell ref="B453:D453"/>
    <mergeCell ref="B454:D456"/>
    <mergeCell ref="B457:C457"/>
    <mergeCell ref="D457:D458"/>
    <mergeCell ref="B465:D465"/>
    <mergeCell ref="B466:D468"/>
    <mergeCell ref="B420:D420"/>
    <mergeCell ref="B421:D423"/>
    <mergeCell ref="B424:C424"/>
    <mergeCell ref="D424:D425"/>
    <mergeCell ref="B431:D431"/>
    <mergeCell ref="B432:D434"/>
    <mergeCell ref="B435:C435"/>
    <mergeCell ref="D435:D436"/>
    <mergeCell ref="B443:D443"/>
    <mergeCell ref="B252:D254"/>
    <mergeCell ref="B255:C255"/>
    <mergeCell ref="D255:D256"/>
    <mergeCell ref="B265:D265"/>
    <mergeCell ref="B266:D268"/>
    <mergeCell ref="B406:D406"/>
    <mergeCell ref="B407:D409"/>
    <mergeCell ref="B410:C410"/>
    <mergeCell ref="D410:D411"/>
    <mergeCell ref="B327:D327"/>
    <mergeCell ref="B328:D330"/>
    <mergeCell ref="B331:C331"/>
    <mergeCell ref="D331:D332"/>
    <mergeCell ref="B344:D344"/>
    <mergeCell ref="B345:D347"/>
    <mergeCell ref="B348:C348"/>
    <mergeCell ref="D348:D349"/>
    <mergeCell ref="B357:D357"/>
    <mergeCell ref="B358:D360"/>
    <mergeCell ref="B361:C361"/>
    <mergeCell ref="D361:D362"/>
    <mergeCell ref="B368:D368"/>
    <mergeCell ref="B369:D371"/>
    <mergeCell ref="B372:C372"/>
    <mergeCell ref="B231:D231"/>
    <mergeCell ref="B232:D234"/>
    <mergeCell ref="B235:C235"/>
    <mergeCell ref="D235:D236"/>
    <mergeCell ref="B241:D241"/>
    <mergeCell ref="B242:D244"/>
    <mergeCell ref="B245:C245"/>
    <mergeCell ref="D245:D246"/>
    <mergeCell ref="B251:D251"/>
    <mergeCell ref="B201:D201"/>
    <mergeCell ref="B202:D204"/>
    <mergeCell ref="B205:C205"/>
    <mergeCell ref="D205:D206"/>
    <mergeCell ref="B213:D213"/>
    <mergeCell ref="B214:D216"/>
    <mergeCell ref="B217:C217"/>
    <mergeCell ref="D217:D218"/>
    <mergeCell ref="B229:D229"/>
    <mergeCell ref="B175:D175"/>
    <mergeCell ref="B177:D177"/>
    <mergeCell ref="B178:D180"/>
    <mergeCell ref="B181:C181"/>
    <mergeCell ref="D181:D182"/>
    <mergeCell ref="B191:D191"/>
    <mergeCell ref="B192:D194"/>
    <mergeCell ref="B195:C195"/>
    <mergeCell ref="D195:D196"/>
    <mergeCell ref="B148:D148"/>
    <mergeCell ref="B149:D151"/>
    <mergeCell ref="B152:C152"/>
    <mergeCell ref="D152:D153"/>
    <mergeCell ref="B161:D161"/>
    <mergeCell ref="B162:D164"/>
    <mergeCell ref="B165:C165"/>
    <mergeCell ref="D165:D166"/>
    <mergeCell ref="B174:D174"/>
    <mergeCell ref="B124:D124"/>
    <mergeCell ref="B125:D127"/>
    <mergeCell ref="B128:C128"/>
    <mergeCell ref="D128:D129"/>
    <mergeCell ref="B135:D135"/>
    <mergeCell ref="B136:D136"/>
    <mergeCell ref="B138:D138"/>
    <mergeCell ref="B139:D141"/>
    <mergeCell ref="B142:C142"/>
    <mergeCell ref="D142:D143"/>
    <mergeCell ref="B101:D101"/>
    <mergeCell ref="B103:D103"/>
    <mergeCell ref="B104:D106"/>
    <mergeCell ref="B107:C107"/>
    <mergeCell ref="D107:D108"/>
    <mergeCell ref="B112:D112"/>
    <mergeCell ref="B113:D115"/>
    <mergeCell ref="B116:C116"/>
    <mergeCell ref="D116:D117"/>
    <mergeCell ref="B77:C77"/>
    <mergeCell ref="D77:D78"/>
    <mergeCell ref="B83:D83"/>
    <mergeCell ref="B84:D86"/>
    <mergeCell ref="B87:C87"/>
    <mergeCell ref="D87:D88"/>
    <mergeCell ref="B92:D92"/>
    <mergeCell ref="B93:D95"/>
    <mergeCell ref="B96:C96"/>
    <mergeCell ref="D96:D97"/>
    <mergeCell ref="B54:D56"/>
    <mergeCell ref="B57:C57"/>
    <mergeCell ref="D57:D58"/>
    <mergeCell ref="B63:D63"/>
    <mergeCell ref="B64:D66"/>
    <mergeCell ref="B67:C67"/>
    <mergeCell ref="D67:D68"/>
    <mergeCell ref="B73:D73"/>
    <mergeCell ref="B74:D76"/>
    <mergeCell ref="B31:D31"/>
    <mergeCell ref="B32:D34"/>
    <mergeCell ref="B35:C35"/>
    <mergeCell ref="D35:D36"/>
    <mergeCell ref="B41:D41"/>
    <mergeCell ref="B42:D44"/>
    <mergeCell ref="B45:C45"/>
    <mergeCell ref="D45:D46"/>
    <mergeCell ref="B53:D53"/>
    <mergeCell ref="B1:D1"/>
    <mergeCell ref="B2:D2"/>
    <mergeCell ref="B4:D4"/>
    <mergeCell ref="B5:D7"/>
    <mergeCell ref="B8:C8"/>
    <mergeCell ref="D8:D9"/>
    <mergeCell ref="B21:D21"/>
    <mergeCell ref="B22:D24"/>
    <mergeCell ref="B25:C25"/>
    <mergeCell ref="D25:D26"/>
  </mergeCells>
  <pageMargins left="0.511811024" right="0.511811024" top="0.78740157499999996" bottom="0.78740157499999996"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57"/>
  <sheetViews>
    <sheetView topLeftCell="A97" workbookViewId="0">
      <selection activeCell="F94" sqref="F94:F108"/>
    </sheetView>
  </sheetViews>
  <sheetFormatPr defaultColWidth="14.42578125" defaultRowHeight="15" customHeight="1"/>
  <cols>
    <col min="1" max="1" width="51.7109375" customWidth="1"/>
    <col min="2" max="2" width="22.5703125" customWidth="1"/>
    <col min="3" max="3" width="23" customWidth="1"/>
    <col min="4" max="4" width="25.42578125" customWidth="1"/>
    <col min="5" max="5" width="19" customWidth="1"/>
    <col min="6" max="6" width="14.5703125" customWidth="1"/>
    <col min="7" max="7" width="17.140625" customWidth="1"/>
    <col min="8" max="26" width="8.7109375" customWidth="1"/>
  </cols>
  <sheetData>
    <row r="1" spans="1:7">
      <c r="A1" s="1092" t="s">
        <v>1134</v>
      </c>
      <c r="B1" s="1091"/>
      <c r="C1" s="1091"/>
      <c r="D1" s="1091"/>
      <c r="E1" s="1091"/>
      <c r="F1" s="1091"/>
      <c r="G1" s="1091"/>
    </row>
    <row r="2" spans="1:7" ht="15.75" thickBot="1">
      <c r="A2" s="771"/>
      <c r="B2" s="772"/>
      <c r="C2" s="763"/>
    </row>
    <row r="3" spans="1:7">
      <c r="A3" s="767" t="s">
        <v>1087</v>
      </c>
      <c r="B3" s="769" t="str">
        <f>'Entradas Rebanho'!C3</f>
        <v>Fazenda Teste</v>
      </c>
      <c r="C3" s="763"/>
    </row>
    <row r="4" spans="1:7">
      <c r="A4" s="768" t="s">
        <v>1</v>
      </c>
      <c r="B4" s="769" t="str">
        <f>'Entradas Rebanho'!C4</f>
        <v>São Paulo (SP)</v>
      </c>
      <c r="C4" s="763"/>
    </row>
    <row r="5" spans="1:7">
      <c r="A5" s="767" t="s">
        <v>980</v>
      </c>
      <c r="B5" s="769" t="str">
        <f>'Entradas Rebanho'!C5</f>
        <v>São Carlos</v>
      </c>
      <c r="C5" s="763"/>
    </row>
    <row r="6" spans="1:7">
      <c r="A6" s="767" t="s">
        <v>4</v>
      </c>
      <c r="B6" s="769" t="str">
        <f>'Entradas Rebanho'!C7</f>
        <v>Integração - Lavoura - Pecuária</v>
      </c>
      <c r="C6" s="763"/>
    </row>
    <row r="7" spans="1:7">
      <c r="A7" s="768" t="s">
        <v>1155</v>
      </c>
      <c r="B7" s="770" t="str">
        <f>'Entradas Rebanho'!D8</f>
        <v>01/01/2022</v>
      </c>
      <c r="C7" s="763"/>
    </row>
    <row r="8" spans="1:7">
      <c r="A8" s="767" t="s">
        <v>1141</v>
      </c>
      <c r="B8" s="770" t="str">
        <f>'Entradas Rebanho'!D9</f>
        <v>01/02/2022</v>
      </c>
      <c r="C8" s="763"/>
    </row>
    <row r="9" spans="1:7">
      <c r="A9" s="767" t="s">
        <v>1133</v>
      </c>
      <c r="B9" s="770">
        <f>'Entradas Rebanho'!D10</f>
        <v>31</v>
      </c>
      <c r="C9" s="763"/>
    </row>
    <row r="10" spans="1:7">
      <c r="A10" s="768" t="s">
        <v>6</v>
      </c>
      <c r="B10" s="769">
        <f>'Entradas Rebanho'!C10</f>
        <v>100</v>
      </c>
      <c r="C10" s="763"/>
    </row>
    <row r="11" spans="1:7" ht="15.75" thickBot="1">
      <c r="A11" s="773" t="s">
        <v>14</v>
      </c>
      <c r="B11" s="774" t="str">
        <f>'Entradas Rebanho'!C17</f>
        <v>Canchim</v>
      </c>
      <c r="C11" s="763"/>
    </row>
    <row r="12" spans="1:7">
      <c r="A12" s="766"/>
      <c r="B12" s="763"/>
      <c r="C12" s="763"/>
    </row>
    <row r="13" spans="1:7">
      <c r="A13" s="1093" t="s">
        <v>978</v>
      </c>
      <c r="B13" s="1094"/>
      <c r="C13" s="1094"/>
      <c r="D13" s="1094"/>
      <c r="E13" s="1094"/>
      <c r="F13" s="1094"/>
      <c r="G13" s="1094"/>
    </row>
    <row r="14" spans="1:7" ht="15.75" thickBot="1">
      <c r="A14" s="249"/>
      <c r="B14" s="364"/>
      <c r="C14" s="365"/>
      <c r="D14" s="366"/>
    </row>
    <row r="15" spans="1:7">
      <c r="A15" s="367" t="s">
        <v>296</v>
      </c>
      <c r="B15" s="368" t="s">
        <v>235</v>
      </c>
      <c r="D15" s="366"/>
    </row>
    <row r="16" spans="1:7">
      <c r="A16" s="369" t="s">
        <v>1156</v>
      </c>
      <c r="B16" s="371">
        <f>Cálculos!C249</f>
        <v>3027.4679999999998</v>
      </c>
    </row>
    <row r="17" spans="1:3">
      <c r="A17" s="369" t="s">
        <v>1157</v>
      </c>
      <c r="B17" s="371">
        <f>Cálculos!C320</f>
        <v>140.67400000000001</v>
      </c>
    </row>
    <row r="18" spans="1:3">
      <c r="A18" s="369" t="s">
        <v>1158</v>
      </c>
      <c r="B18" s="371">
        <f>Cálculos!C634</f>
        <v>58.685000000000002</v>
      </c>
    </row>
    <row r="19" spans="1:3">
      <c r="A19" s="372" t="s">
        <v>1159</v>
      </c>
      <c r="B19" s="373">
        <f>Cálculos!C656</f>
        <v>39.365000000000002</v>
      </c>
    </row>
    <row r="21" spans="1:3" ht="15" customHeight="1" thickBot="1"/>
    <row r="22" spans="1:3" ht="30.75" thickBot="1">
      <c r="A22" s="367" t="s">
        <v>296</v>
      </c>
      <c r="B22" s="374" t="s">
        <v>235</v>
      </c>
      <c r="C22" s="375" t="s">
        <v>1160</v>
      </c>
    </row>
    <row r="23" spans="1:3">
      <c r="A23" s="369" t="s">
        <v>1161</v>
      </c>
      <c r="B23" s="371">
        <f>B16*27</f>
        <v>81741.635999999999</v>
      </c>
      <c r="C23" s="371">
        <f t="shared" ref="C23:C25" si="0">B23/1000</f>
        <v>81.741636</v>
      </c>
    </row>
    <row r="24" spans="1:3">
      <c r="A24" s="369" t="s">
        <v>1162</v>
      </c>
      <c r="B24" s="370">
        <f>(B17*27)+((B18+B19)*273)</f>
        <v>30565.848000000002</v>
      </c>
      <c r="C24" s="371">
        <f t="shared" si="0"/>
        <v>30.565848000000003</v>
      </c>
    </row>
    <row r="25" spans="1:3" ht="15.75" thickBot="1">
      <c r="A25" s="376" t="s">
        <v>1163</v>
      </c>
      <c r="B25" s="377">
        <f>Cálculos!D677</f>
        <v>697091.57097</v>
      </c>
      <c r="C25" s="377">
        <f t="shared" si="0"/>
        <v>697.09157097000002</v>
      </c>
    </row>
    <row r="27" spans="1:3" ht="15" customHeight="1" thickBot="1"/>
    <row r="28" spans="1:3" ht="32.25" customHeight="1" thickBot="1">
      <c r="A28" s="367" t="s">
        <v>296</v>
      </c>
      <c r="B28" s="374" t="s">
        <v>235</v>
      </c>
      <c r="C28" s="375" t="s">
        <v>1160</v>
      </c>
    </row>
    <row r="29" spans="1:3" ht="15" customHeight="1">
      <c r="A29" s="369" t="s">
        <v>1164</v>
      </c>
      <c r="B29" s="371">
        <f>B23+B24+B25</f>
        <v>809399.05496999994</v>
      </c>
      <c r="C29" s="371">
        <f>B29/1000</f>
        <v>809.39905496999995</v>
      </c>
    </row>
    <row r="30" spans="1:3" ht="15" customHeight="1">
      <c r="A30" s="369" t="s">
        <v>1165</v>
      </c>
      <c r="B30" s="370">
        <f>C30*1000</f>
        <v>16275.679452054796</v>
      </c>
      <c r="C30" s="371">
        <f>Cálculos!E704</f>
        <v>16.275679452054796</v>
      </c>
    </row>
    <row r="31" spans="1:3" ht="15" customHeight="1" thickBot="1">
      <c r="A31" s="376" t="s">
        <v>1166</v>
      </c>
      <c r="B31" s="125">
        <f>B29-B30</f>
        <v>793123.37551794515</v>
      </c>
      <c r="C31" s="377">
        <f>B31/1000</f>
        <v>793.12337551794519</v>
      </c>
    </row>
    <row r="33" spans="1:6" ht="15" customHeight="1" thickBot="1">
      <c r="A33" s="747"/>
      <c r="B33" s="747"/>
      <c r="C33" s="747"/>
      <c r="D33" s="747"/>
    </row>
    <row r="34" spans="1:6" ht="31.5" customHeight="1" thickBot="1">
      <c r="A34" s="746" t="s">
        <v>296</v>
      </c>
      <c r="B34" s="739" t="s">
        <v>1131</v>
      </c>
      <c r="C34" s="740" t="s">
        <v>1130</v>
      </c>
      <c r="D34" s="740" t="s">
        <v>175</v>
      </c>
    </row>
    <row r="35" spans="1:6" ht="15" customHeight="1" thickBot="1">
      <c r="A35" s="729" t="s">
        <v>1088</v>
      </c>
      <c r="B35" s="743">
        <f>'Entradas Rebanho'!B75</f>
        <v>300</v>
      </c>
      <c r="C35" s="748">
        <f>AVERAGE('Entradas Rebanho'!D21:D23)</f>
        <v>250</v>
      </c>
      <c r="D35" s="743">
        <f>B35*C35</f>
        <v>75000</v>
      </c>
      <c r="E35" s="731"/>
      <c r="F35" s="732"/>
    </row>
    <row r="36" spans="1:6" ht="15" customHeight="1" thickBot="1">
      <c r="A36" s="729" t="s">
        <v>1089</v>
      </c>
      <c r="B36" s="743">
        <f>'Entradas Rebanho'!B76</f>
        <v>400</v>
      </c>
      <c r="C36" s="748">
        <f>AVERAGE('Entradas Rebanho'!D24:D26)</f>
        <v>300</v>
      </c>
      <c r="D36" s="743">
        <f>B36*C36</f>
        <v>120000</v>
      </c>
      <c r="E36" s="731"/>
      <c r="F36" s="732"/>
    </row>
    <row r="37" spans="1:6" ht="15" customHeight="1" thickBot="1">
      <c r="A37" s="729" t="s">
        <v>1090</v>
      </c>
      <c r="B37" s="743">
        <f>'Entradas Rebanho'!B77</f>
        <v>500</v>
      </c>
      <c r="C37" s="748">
        <f>AVERAGE('Entradas Rebanho'!D27:D32)</f>
        <v>475</v>
      </c>
      <c r="D37" s="743">
        <f t="shared" ref="D37:D39" si="1">B37*C37</f>
        <v>237500</v>
      </c>
      <c r="E37" s="731"/>
      <c r="F37" s="732"/>
    </row>
    <row r="38" spans="1:6" ht="15" customHeight="1" thickBot="1">
      <c r="A38" s="729" t="s">
        <v>1092</v>
      </c>
      <c r="B38" s="743">
        <f>'Entradas Rebanho'!B78</f>
        <v>20</v>
      </c>
      <c r="C38" s="748">
        <f>AVERAGE('Entradas Rebanho'!D33:D34)</f>
        <v>600</v>
      </c>
      <c r="D38" s="743">
        <f t="shared" si="1"/>
        <v>12000</v>
      </c>
      <c r="E38" s="731"/>
      <c r="F38" s="732"/>
    </row>
    <row r="39" spans="1:6" ht="15" customHeight="1" thickBot="1">
      <c r="A39" s="738" t="s">
        <v>1093</v>
      </c>
      <c r="B39" s="745">
        <f>'Entradas Rebanho'!B79</f>
        <v>12</v>
      </c>
      <c r="C39" s="754">
        <f>AVERAGE('Entradas Rebanho'!D35)</f>
        <v>650</v>
      </c>
      <c r="D39" s="750">
        <f t="shared" si="1"/>
        <v>7800</v>
      </c>
      <c r="E39" s="731"/>
      <c r="F39" s="732"/>
    </row>
    <row r="40" spans="1:6" ht="15" customHeight="1" thickBot="1">
      <c r="A40" s="730" t="s">
        <v>1094</v>
      </c>
      <c r="B40" s="744">
        <f>'Entradas Rebanho'!B80</f>
        <v>3000</v>
      </c>
      <c r="C40" s="744"/>
      <c r="D40" s="749"/>
      <c r="E40" s="731"/>
      <c r="F40" s="732"/>
    </row>
    <row r="41" spans="1:6" ht="15" customHeight="1" thickBot="1">
      <c r="A41" s="738" t="s">
        <v>1095</v>
      </c>
      <c r="B41" s="745">
        <f>'Entradas Rebanho'!B81</f>
        <v>6000</v>
      </c>
      <c r="C41" s="745"/>
      <c r="D41" s="750"/>
      <c r="E41" s="731"/>
      <c r="F41" s="732"/>
    </row>
    <row r="42" spans="1:6" ht="15" customHeight="1" thickBot="1">
      <c r="A42" s="741" t="s">
        <v>1129</v>
      </c>
      <c r="B42" s="751"/>
      <c r="C42" s="751"/>
      <c r="D42" s="751">
        <f>SUM(D35:D39)</f>
        <v>452300</v>
      </c>
      <c r="E42" s="731"/>
      <c r="F42" s="732"/>
    </row>
    <row r="43" spans="1:6" ht="15" customHeight="1" thickBot="1">
      <c r="A43" s="742" t="s">
        <v>1128</v>
      </c>
      <c r="B43" s="752"/>
      <c r="C43" s="752"/>
      <c r="D43" s="753">
        <f>SUM(B40:B41)</f>
        <v>9000</v>
      </c>
      <c r="E43" s="731"/>
      <c r="F43" s="732"/>
    </row>
    <row r="44" spans="1:6" ht="15" customHeight="1" thickBot="1">
      <c r="E44" s="733"/>
      <c r="F44" s="732"/>
    </row>
    <row r="45" spans="1:6" ht="15" customHeight="1" thickBot="1">
      <c r="E45" s="734"/>
      <c r="F45" s="735"/>
    </row>
    <row r="46" spans="1:6" ht="30.75" thickBot="1">
      <c r="A46" s="367" t="s">
        <v>296</v>
      </c>
      <c r="B46" s="375" t="s">
        <v>1023</v>
      </c>
      <c r="C46" s="375" t="s">
        <v>1024</v>
      </c>
      <c r="D46" s="375" t="s">
        <v>1025</v>
      </c>
      <c r="E46" s="736"/>
      <c r="F46" s="737"/>
    </row>
    <row r="47" spans="1:6">
      <c r="A47" s="369" t="s">
        <v>1026</v>
      </c>
      <c r="B47" s="371">
        <f>B23/D43</f>
        <v>9.0824040000000004</v>
      </c>
      <c r="C47" s="371">
        <f>B23/D42</f>
        <v>0.18072437762546981</v>
      </c>
      <c r="D47" s="371">
        <f>B23/'Entradas Rebanho'!C10</f>
        <v>817.41635999999994</v>
      </c>
    </row>
    <row r="48" spans="1:6">
      <c r="A48" s="369" t="s">
        <v>1027</v>
      </c>
      <c r="B48" s="371">
        <f>B24/D43</f>
        <v>3.3962053333333335</v>
      </c>
      <c r="C48" s="371">
        <f>B24/D42</f>
        <v>6.7578704399734693E-2</v>
      </c>
      <c r="D48" s="371">
        <f>B24/'Entradas Rebanho'!C10</f>
        <v>305.65848</v>
      </c>
    </row>
    <row r="49" spans="1:7" ht="15.75" customHeight="1" thickBot="1">
      <c r="A49" s="376" t="s">
        <v>979</v>
      </c>
      <c r="B49" s="376">
        <f>B25/D43</f>
        <v>77.454618996666667</v>
      </c>
      <c r="C49" s="376">
        <f>B25/D42</f>
        <v>1.5412150585231041</v>
      </c>
      <c r="D49" s="377">
        <f>B25/'Entradas Rebanho'!C10</f>
        <v>6970.9157096999998</v>
      </c>
    </row>
    <row r="50" spans="1:7" ht="15.75" customHeight="1"/>
    <row r="51" spans="1:7" ht="15.75" customHeight="1" thickBot="1"/>
    <row r="52" spans="1:7" ht="30.75" thickBot="1">
      <c r="A52" s="367" t="s">
        <v>296</v>
      </c>
      <c r="B52" s="375" t="s">
        <v>1023</v>
      </c>
      <c r="C52" s="375" t="s">
        <v>1024</v>
      </c>
      <c r="D52" s="375" t="s">
        <v>1025</v>
      </c>
    </row>
    <row r="53" spans="1:7">
      <c r="A53" s="369" t="s">
        <v>1028</v>
      </c>
      <c r="B53" s="371">
        <f>B29/D43</f>
        <v>89.933228329999992</v>
      </c>
      <c r="C53" s="371">
        <f>B29/D42</f>
        <v>1.7895181405483085</v>
      </c>
      <c r="D53" s="371">
        <f>B29/'Entradas Rebanho'!C10</f>
        <v>8093.9905496999991</v>
      </c>
    </row>
    <row r="54" spans="1:7">
      <c r="A54" s="369" t="s">
        <v>1029</v>
      </c>
      <c r="B54" s="371">
        <f>B30/D43</f>
        <v>1.8084088280060884</v>
      </c>
      <c r="C54" s="371">
        <f>B30/D42</f>
        <v>3.5984257024220201E-2</v>
      </c>
      <c r="D54" s="371">
        <f>B30/'Entradas Rebanho'!C11</f>
        <v>325.51358904109588</v>
      </c>
    </row>
    <row r="55" spans="1:7" ht="15.75" customHeight="1" thickBot="1">
      <c r="A55" s="376" t="s">
        <v>1030</v>
      </c>
      <c r="B55" s="376">
        <f>B31/D43</f>
        <v>88.124819501993912</v>
      </c>
      <c r="C55" s="376">
        <f>B31/D42</f>
        <v>1.7535338835240883</v>
      </c>
      <c r="D55" s="671">
        <f>D53-D54</f>
        <v>7768.4769606589034</v>
      </c>
    </row>
    <row r="56" spans="1:7" ht="15.75" customHeight="1"/>
    <row r="57" spans="1:7" ht="15.75" customHeight="1">
      <c r="A57" s="1090" t="s">
        <v>1135</v>
      </c>
      <c r="B57" s="1091"/>
      <c r="C57" s="1091"/>
      <c r="D57" s="1091"/>
      <c r="E57" s="1091"/>
      <c r="F57" s="1091"/>
      <c r="G57" s="1091"/>
    </row>
    <row r="58" spans="1:7" ht="15.75" customHeight="1" thickBot="1"/>
    <row r="59" spans="1:7" ht="54.75" customHeight="1" thickBot="1">
      <c r="A59" s="777" t="s">
        <v>1136</v>
      </c>
      <c r="B59" s="778" t="s">
        <v>1167</v>
      </c>
      <c r="C59" s="778" t="s">
        <v>1168</v>
      </c>
      <c r="D59" s="779" t="s">
        <v>1169</v>
      </c>
    </row>
    <row r="60" spans="1:7" ht="15.75" customHeight="1">
      <c r="A60" s="780" t="s">
        <v>177</v>
      </c>
      <c r="B60" s="743">
        <f>Cálculos!C191</f>
        <v>2.77</v>
      </c>
      <c r="C60" s="782">
        <f>Cálculos!C280</f>
        <v>1.0999999999999999E-2</v>
      </c>
      <c r="D60" s="782">
        <f>Cálculos!C373</f>
        <v>3.9060000000000001</v>
      </c>
    </row>
    <row r="61" spans="1:7" ht="15.75" customHeight="1">
      <c r="A61" s="780" t="s">
        <v>179</v>
      </c>
      <c r="B61" s="743">
        <f>Cálculos!C192</f>
        <v>2.859</v>
      </c>
      <c r="C61" s="782">
        <f>Cálculos!C281</f>
        <v>1.0999999999999999E-2</v>
      </c>
      <c r="D61" s="782">
        <f>Cálculos!C374</f>
        <v>4.0919999999999996</v>
      </c>
    </row>
    <row r="62" spans="1:7" ht="15.75" customHeight="1">
      <c r="A62" s="780" t="s">
        <v>180</v>
      </c>
      <c r="B62" s="743">
        <f>Cálculos!C193</f>
        <v>3.036</v>
      </c>
      <c r="C62" s="782">
        <f>Cálculos!C282</f>
        <v>1.2E-2</v>
      </c>
      <c r="D62" s="782">
        <f>Cálculos!C375</f>
        <v>4.4329999999999998</v>
      </c>
    </row>
    <row r="63" spans="1:7" ht="15.75" customHeight="1">
      <c r="A63" s="781" t="s">
        <v>181</v>
      </c>
      <c r="B63" s="743">
        <f>Cálculos!C194</f>
        <v>3.1760000000000002</v>
      </c>
      <c r="C63" s="782">
        <f>Cálculos!C283</f>
        <v>1.2E-2</v>
      </c>
      <c r="D63" s="782">
        <f>Cálculos!C376</f>
        <v>4.6189999999999998</v>
      </c>
    </row>
    <row r="64" spans="1:7" ht="15.75" customHeight="1">
      <c r="A64" s="781" t="s">
        <v>182</v>
      </c>
      <c r="B64" s="743">
        <f>Cálculos!C195</f>
        <v>3.278</v>
      </c>
      <c r="C64" s="782">
        <f>Cálculos!C284</f>
        <v>1.2999999999999999E-2</v>
      </c>
      <c r="D64" s="782">
        <f>Cálculos!C377</f>
        <v>4.8049999999999997</v>
      </c>
    </row>
    <row r="65" spans="1:5" ht="15.75" customHeight="1">
      <c r="A65" s="781" t="s">
        <v>183</v>
      </c>
      <c r="B65" s="743">
        <f>Cálculos!C196</f>
        <v>3.4809999999999999</v>
      </c>
      <c r="C65" s="782">
        <f>Cálculos!C285</f>
        <v>1.4E-2</v>
      </c>
      <c r="D65" s="782">
        <f>Cálculos!C378</f>
        <v>5.1769999999999996</v>
      </c>
    </row>
    <row r="66" spans="1:5" ht="15.75" customHeight="1">
      <c r="A66" s="781" t="s">
        <v>184</v>
      </c>
      <c r="B66" s="743">
        <f>Cálculos!C197</f>
        <v>4.0529999999999999</v>
      </c>
      <c r="C66" s="782">
        <f>Cálculos!C286</f>
        <v>1.7000000000000001E-2</v>
      </c>
      <c r="D66" s="782">
        <f>Cálculos!C379</f>
        <v>5.5490000000000004</v>
      </c>
    </row>
    <row r="67" spans="1:5" ht="15.75" customHeight="1">
      <c r="A67" s="781" t="s">
        <v>185</v>
      </c>
      <c r="B67" s="743">
        <f>Cálculos!C198</f>
        <v>4.1840000000000002</v>
      </c>
      <c r="C67" s="782">
        <f>Cálculos!C287</f>
        <v>1.7000000000000001E-2</v>
      </c>
      <c r="D67" s="782">
        <f>Cálculos!C380</f>
        <v>5.766</v>
      </c>
    </row>
    <row r="68" spans="1:5" ht="15.75" customHeight="1">
      <c r="A68" s="781" t="s">
        <v>186</v>
      </c>
      <c r="B68" s="743">
        <f>Cálculos!C199</f>
        <v>4.4450000000000003</v>
      </c>
      <c r="C68" s="782">
        <f>Cálculos!C288</f>
        <v>1.7999999999999999E-2</v>
      </c>
      <c r="D68" s="782">
        <f>Cálculos!C381</f>
        <v>6.2309999999999999</v>
      </c>
    </row>
    <row r="69" spans="1:5" ht="15.75" customHeight="1">
      <c r="A69" s="781" t="s">
        <v>187</v>
      </c>
      <c r="B69" s="743">
        <f>Cálculos!C200</f>
        <v>2.673</v>
      </c>
      <c r="C69" s="782">
        <f>Cálculos!C289</f>
        <v>0.30099999999999999</v>
      </c>
      <c r="D69" s="782">
        <f>Cálculos!C382</f>
        <v>6.0449999999999999</v>
      </c>
    </row>
    <row r="70" spans="1:5" ht="15.75" customHeight="1">
      <c r="A70" s="781" t="s">
        <v>188</v>
      </c>
      <c r="B70" s="743">
        <f>Cálculos!C201</f>
        <v>2.7709999999999999</v>
      </c>
      <c r="C70" s="782">
        <f>Cálculos!C290</f>
        <v>0.312</v>
      </c>
      <c r="D70" s="782">
        <f>Cálculos!C383</f>
        <v>6.3239999999999998</v>
      </c>
    </row>
    <row r="71" spans="1:5" ht="15.75" customHeight="1">
      <c r="A71" s="781" t="s">
        <v>189</v>
      </c>
      <c r="B71" s="743">
        <f>Cálculos!C202</f>
        <v>2.9670000000000001</v>
      </c>
      <c r="C71" s="782">
        <f>Cálculos!C291</f>
        <v>0.33400000000000002</v>
      </c>
      <c r="D71" s="782">
        <f>Cálculos!C384</f>
        <v>6.851</v>
      </c>
    </row>
    <row r="72" spans="1:5" ht="15.75" customHeight="1">
      <c r="A72" s="781" t="s">
        <v>190</v>
      </c>
      <c r="B72" s="743">
        <f>Cálculos!C203</f>
        <v>4.5949999999999998</v>
      </c>
      <c r="C72" s="782">
        <f>Cálculos!C292</f>
        <v>1.9E-2</v>
      </c>
      <c r="D72" s="782">
        <f>Cálculos!C385</f>
        <v>7.0679999999999996</v>
      </c>
    </row>
    <row r="73" spans="1:5" ht="15.75" customHeight="1">
      <c r="A73" s="781" t="s">
        <v>191</v>
      </c>
      <c r="B73" s="744">
        <f>Cálculos!C204</f>
        <v>6.2949999999999999</v>
      </c>
      <c r="C73" s="783">
        <f>Cálculos!C293</f>
        <v>2.7E-2</v>
      </c>
      <c r="D73" s="783">
        <f>Cálculos!C386</f>
        <v>9.641</v>
      </c>
    </row>
    <row r="74" spans="1:5" ht="15.75" customHeight="1" thickBot="1">
      <c r="A74" s="784" t="s">
        <v>192</v>
      </c>
      <c r="B74" s="786">
        <f>Cálculos!C205</f>
        <v>5.4480000000000004</v>
      </c>
      <c r="C74" s="785">
        <f>Cálculos!C294</f>
        <v>2.5000000000000001E-2</v>
      </c>
      <c r="D74" s="785">
        <f>Cálculos!C387</f>
        <v>7.0369999999999999</v>
      </c>
    </row>
    <row r="75" spans="1:5" ht="15.75" customHeight="1"/>
    <row r="76" spans="1:5" ht="46.5" customHeight="1" thickBot="1">
      <c r="A76" s="787" t="s">
        <v>1136</v>
      </c>
      <c r="B76" s="788" t="s">
        <v>1170</v>
      </c>
      <c r="C76" s="789" t="s">
        <v>1171</v>
      </c>
      <c r="D76" s="789" t="s">
        <v>1172</v>
      </c>
      <c r="E76" s="789" t="s">
        <v>1173</v>
      </c>
    </row>
    <row r="77" spans="1:5" ht="15.75" customHeight="1">
      <c r="A77" s="780" t="s">
        <v>177</v>
      </c>
      <c r="B77" s="743">
        <f>Cálculos!C227</f>
        <v>138.5</v>
      </c>
      <c r="C77" s="782">
        <f>Cálculos!C300</f>
        <v>0.55000000000000004</v>
      </c>
      <c r="D77" s="782">
        <f>Cálculos!C619</f>
        <v>1.228</v>
      </c>
      <c r="E77" s="782">
        <f>Cálculos!C641</f>
        <v>1.454</v>
      </c>
    </row>
    <row r="78" spans="1:5" ht="15.75" customHeight="1">
      <c r="A78" s="780" t="s">
        <v>179</v>
      </c>
      <c r="B78" s="743">
        <f>Cálculos!C228</f>
        <v>28.59</v>
      </c>
      <c r="C78" s="782">
        <f>Cálculos!C301</f>
        <v>0.11</v>
      </c>
      <c r="D78" s="782">
        <f>Cálculos!C620</f>
        <v>0.25700000000000001</v>
      </c>
      <c r="E78" s="782">
        <f>Cálculos!C642</f>
        <v>0.30499999999999999</v>
      </c>
    </row>
    <row r="79" spans="1:5" ht="15.75" customHeight="1">
      <c r="A79" s="780" t="s">
        <v>180</v>
      </c>
      <c r="B79" s="743">
        <f>Cálculos!C229</f>
        <v>15.18</v>
      </c>
      <c r="C79" s="782">
        <f>Cálculos!C302</f>
        <v>0.06</v>
      </c>
      <c r="D79" s="782">
        <f>Cálculos!C621</f>
        <v>0.13900000000000001</v>
      </c>
      <c r="E79" s="782">
        <f>Cálculos!C643</f>
        <v>0.16500000000000001</v>
      </c>
    </row>
    <row r="80" spans="1:5" ht="15.75" customHeight="1">
      <c r="A80" s="781" t="s">
        <v>181</v>
      </c>
      <c r="B80" s="743">
        <f>Cálculos!C230</f>
        <v>317.60000000000002</v>
      </c>
      <c r="C80" s="782">
        <f>Cálculos!C303</f>
        <v>1.2</v>
      </c>
      <c r="D80" s="782">
        <f>Cálculos!C622</f>
        <v>2.903</v>
      </c>
      <c r="E80" s="782">
        <f>Cálculos!C644</f>
        <v>3.44</v>
      </c>
    </row>
    <row r="81" spans="1:7" ht="15.75" customHeight="1">
      <c r="A81" s="781" t="s">
        <v>182</v>
      </c>
      <c r="B81" s="743">
        <f>Cálculos!C231</f>
        <v>131.12</v>
      </c>
      <c r="C81" s="782">
        <f>Cálculos!C304</f>
        <v>0.52</v>
      </c>
      <c r="D81" s="782">
        <f>Cálculos!C623</f>
        <v>1.208</v>
      </c>
      <c r="E81" s="782">
        <f>Cálculos!C645</f>
        <v>1.431</v>
      </c>
    </row>
    <row r="82" spans="1:7" ht="15.75" customHeight="1">
      <c r="A82" s="781" t="s">
        <v>183</v>
      </c>
      <c r="B82" s="743">
        <f>Cálculos!C232</f>
        <v>34.81</v>
      </c>
      <c r="C82" s="782">
        <f>Cálculos!C305</f>
        <v>0.14000000000000001</v>
      </c>
      <c r="D82" s="782">
        <f>Cálculos!C624</f>
        <v>0.32500000000000001</v>
      </c>
      <c r="E82" s="782">
        <f>Cálculos!C646</f>
        <v>0.38600000000000001</v>
      </c>
    </row>
    <row r="83" spans="1:7" ht="15.75" customHeight="1">
      <c r="A83" s="781" t="s">
        <v>184</v>
      </c>
      <c r="B83" s="743">
        <f>Cálculos!C233</f>
        <v>810.6</v>
      </c>
      <c r="C83" s="782">
        <f>Cálculos!C306</f>
        <v>3.4</v>
      </c>
      <c r="D83" s="782">
        <f>Cálculos!C625</f>
        <v>6.976</v>
      </c>
      <c r="E83" s="782">
        <f>Cálculos!C647</f>
        <v>8.266</v>
      </c>
    </row>
    <row r="84" spans="1:7" ht="15.75" customHeight="1">
      <c r="A84" s="781" t="s">
        <v>185</v>
      </c>
      <c r="B84" s="743">
        <f>Cálculos!C234</f>
        <v>209.2</v>
      </c>
      <c r="C84" s="782">
        <f>Cálculos!C307</f>
        <v>0.85</v>
      </c>
      <c r="D84" s="782">
        <f>Cálculos!C626</f>
        <v>1.8120000000000001</v>
      </c>
      <c r="E84" s="782">
        <f>Cálculos!C648</f>
        <v>2.1469999999999998</v>
      </c>
    </row>
    <row r="85" spans="1:7" ht="15.75" customHeight="1">
      <c r="A85" s="781" t="s">
        <v>186</v>
      </c>
      <c r="B85" s="743">
        <f>Cálculos!C235</f>
        <v>13.335000000000001</v>
      </c>
      <c r="C85" s="782">
        <f>Cálculos!C308</f>
        <v>5.3999999999999999E-2</v>
      </c>
      <c r="D85" s="782">
        <f>Cálculos!C627</f>
        <v>0.11700000000000001</v>
      </c>
      <c r="E85" s="782">
        <f>Cálculos!C649</f>
        <v>0.14000000000000001</v>
      </c>
    </row>
    <row r="86" spans="1:7" ht="15.75" customHeight="1">
      <c r="A86" s="781" t="s">
        <v>187</v>
      </c>
      <c r="B86" s="743">
        <f>Cálculos!C236</f>
        <v>400.95</v>
      </c>
      <c r="C86" s="782">
        <f>Cálculos!C309</f>
        <v>45.15</v>
      </c>
      <c r="D86" s="782">
        <f>Cálculos!C628</f>
        <v>14.249000000000001</v>
      </c>
      <c r="E86" s="782">
        <f>Cálculos!C650</f>
        <v>6.7249999999999996</v>
      </c>
    </row>
    <row r="87" spans="1:7" ht="15.75" customHeight="1">
      <c r="A87" s="781" t="s">
        <v>188</v>
      </c>
      <c r="B87" s="743">
        <f>Cálculos!C237</f>
        <v>692.75</v>
      </c>
      <c r="C87" s="782">
        <f>Cálculos!C310</f>
        <v>78</v>
      </c>
      <c r="D87" s="782">
        <f>Cálculos!C629</f>
        <v>24.844000000000001</v>
      </c>
      <c r="E87" s="782">
        <f>Cálculos!C651</f>
        <v>11.727</v>
      </c>
    </row>
    <row r="88" spans="1:7" ht="15.75" customHeight="1">
      <c r="A88" s="781" t="s">
        <v>189</v>
      </c>
      <c r="B88" s="743">
        <f>Cálculos!C238</f>
        <v>89.01</v>
      </c>
      <c r="C88" s="782">
        <f>Cálculos!C311</f>
        <v>10.02</v>
      </c>
      <c r="D88" s="782">
        <f>Cálculos!C630</f>
        <v>3.23</v>
      </c>
      <c r="E88" s="782">
        <f>Cálculos!C652</f>
        <v>1.524</v>
      </c>
    </row>
    <row r="89" spans="1:7" ht="15.75" customHeight="1">
      <c r="A89" s="781" t="s">
        <v>190</v>
      </c>
      <c r="B89" s="743">
        <f>Cálculos!C239</f>
        <v>45.95</v>
      </c>
      <c r="C89" s="782">
        <f>Cálculos!C312</f>
        <v>0.19</v>
      </c>
      <c r="D89" s="782">
        <f>Cálculos!C631</f>
        <v>0.44400000000000001</v>
      </c>
      <c r="E89" s="782">
        <f>Cálculos!C653</f>
        <v>0.52600000000000002</v>
      </c>
    </row>
    <row r="90" spans="1:7" ht="15.75" customHeight="1">
      <c r="A90" s="781" t="s">
        <v>191</v>
      </c>
      <c r="B90" s="743">
        <f>Cálculos!C240</f>
        <v>94.424999999999997</v>
      </c>
      <c r="C90" s="782">
        <f>Cálculos!C313</f>
        <v>0.40500000000000003</v>
      </c>
      <c r="D90" s="782">
        <f>Cálculos!C632</f>
        <v>0.90900000000000003</v>
      </c>
      <c r="E90" s="782">
        <f>Cálculos!C654</f>
        <v>1.077</v>
      </c>
    </row>
    <row r="91" spans="1:7" ht="15.75" customHeight="1" thickBot="1">
      <c r="A91" s="784" t="s">
        <v>192</v>
      </c>
      <c r="B91" s="786">
        <f>Cálculos!C241</f>
        <v>5.4480000000000004</v>
      </c>
      <c r="C91" s="785">
        <f>Cálculos!C314</f>
        <v>2.5000000000000001E-2</v>
      </c>
      <c r="D91" s="785">
        <f>Cálculos!C633</f>
        <v>4.3999999999999997E-2</v>
      </c>
      <c r="E91" s="785">
        <f>Cálculos!C655</f>
        <v>5.1999999999999998E-2</v>
      </c>
    </row>
    <row r="92" spans="1:7" ht="15.75" customHeight="1" thickBot="1">
      <c r="A92" s="747"/>
      <c r="B92" s="747"/>
      <c r="C92" s="747"/>
      <c r="D92" s="747"/>
      <c r="E92" s="747"/>
      <c r="F92" s="747"/>
      <c r="G92" s="803"/>
    </row>
    <row r="93" spans="1:7" ht="36.75" customHeight="1" thickBot="1">
      <c r="A93" s="787" t="s">
        <v>1136</v>
      </c>
      <c r="B93" s="804" t="s">
        <v>1139</v>
      </c>
      <c r="C93" s="788" t="s">
        <v>70</v>
      </c>
      <c r="D93" s="788" t="s">
        <v>71</v>
      </c>
      <c r="E93" s="788" t="s">
        <v>1137</v>
      </c>
      <c r="F93" s="802" t="s">
        <v>1138</v>
      </c>
    </row>
    <row r="94" spans="1:7" ht="15.75" customHeight="1">
      <c r="A94" s="780" t="s">
        <v>177</v>
      </c>
      <c r="B94" s="805">
        <f>'Entradas Alimentação'!C36</f>
        <v>11.95</v>
      </c>
      <c r="C94" s="806">
        <f>'Entradas Alimentação'!E36</f>
        <v>23.29</v>
      </c>
      <c r="D94" s="806">
        <f>'Entradas Alimentação'!F36</f>
        <v>78.040000000000006</v>
      </c>
      <c r="E94" s="782">
        <f>'Entradas Alimentação'!G36</f>
        <v>1.0471200000000001</v>
      </c>
      <c r="F94" s="782">
        <f>Cálculos!D662</f>
        <v>625.65419999999995</v>
      </c>
    </row>
    <row r="95" spans="1:7" ht="15.75" customHeight="1">
      <c r="A95" s="780" t="s">
        <v>179</v>
      </c>
      <c r="B95" s="805">
        <f>'Entradas Alimentação'!I36</f>
        <v>11.95</v>
      </c>
      <c r="C95" s="806">
        <f>'Entradas Alimentação'!K36</f>
        <v>23.29</v>
      </c>
      <c r="D95" s="806">
        <f>'Entradas Alimentação'!L36</f>
        <v>78.040000000000006</v>
      </c>
      <c r="E95" s="782">
        <f>'Entradas Alimentação'!M36</f>
        <v>1.0471200000000001</v>
      </c>
      <c r="F95" s="782">
        <f>Cálculos!D663</f>
        <v>125.13084000000001</v>
      </c>
    </row>
    <row r="96" spans="1:7" ht="15.75" customHeight="1">
      <c r="A96" s="780" t="s">
        <v>180</v>
      </c>
      <c r="B96" s="805">
        <f>'Entradas Alimentação'!O36</f>
        <v>11.95</v>
      </c>
      <c r="C96" s="806">
        <f>'Entradas Alimentação'!Q36</f>
        <v>23.29</v>
      </c>
      <c r="D96" s="806">
        <f>'Entradas Alimentação'!R36</f>
        <v>78.040000000000006</v>
      </c>
      <c r="E96" s="782">
        <f>'Entradas Alimentação'!S36</f>
        <v>1.0471200000000001</v>
      </c>
      <c r="F96" s="782">
        <f>Cálculos!D664</f>
        <v>62.565420000000003</v>
      </c>
    </row>
    <row r="97" spans="1:7" ht="15.75" customHeight="1">
      <c r="A97" s="781" t="s">
        <v>181</v>
      </c>
      <c r="B97" s="805">
        <f>'Entradas Alimentação'!U36</f>
        <v>23.9</v>
      </c>
      <c r="C97" s="806">
        <f>'Entradas Alimentação'!W36</f>
        <v>23.29</v>
      </c>
      <c r="D97" s="806">
        <f>'Entradas Alimentação'!X36</f>
        <v>78.040000000000006</v>
      </c>
      <c r="E97" s="782">
        <f>'Entradas Alimentação'!Y36</f>
        <v>1.0471200000000001</v>
      </c>
      <c r="F97" s="782">
        <f>Cálculos!D665</f>
        <v>2502.6167999999998</v>
      </c>
    </row>
    <row r="98" spans="1:7" ht="15.75" customHeight="1">
      <c r="A98" s="781" t="s">
        <v>182</v>
      </c>
      <c r="B98" s="805">
        <f>'Entradas Alimentação'!AA36</f>
        <v>23.9</v>
      </c>
      <c r="C98" s="806">
        <f>'Entradas Alimentação'!AC36</f>
        <v>23.29</v>
      </c>
      <c r="D98" s="806">
        <f>'Entradas Alimentação'!AD36</f>
        <v>78.040000000000006</v>
      </c>
      <c r="E98" s="782">
        <f>'Entradas Alimentação'!AE36</f>
        <v>1.0471200000000001</v>
      </c>
      <c r="F98" s="782">
        <f>Cálculos!D666</f>
        <v>1001.0467200000001</v>
      </c>
    </row>
    <row r="99" spans="1:7" ht="15.75" customHeight="1">
      <c r="A99" s="781" t="s">
        <v>183</v>
      </c>
      <c r="B99" s="805">
        <f>'Entradas Alimentação'!AG36</f>
        <v>23.9</v>
      </c>
      <c r="C99" s="806">
        <f>'Entradas Alimentação'!AI36</f>
        <v>23.29</v>
      </c>
      <c r="D99" s="806">
        <f>'Entradas Alimentação'!AJ36</f>
        <v>78.040000000000006</v>
      </c>
      <c r="E99" s="782">
        <f>'Entradas Alimentação'!AK36</f>
        <v>1.0471200000000001</v>
      </c>
      <c r="F99" s="782">
        <f>Cálculos!D667</f>
        <v>250.26168000000001</v>
      </c>
    </row>
    <row r="100" spans="1:7" ht="15.75" customHeight="1">
      <c r="A100" s="781" t="s">
        <v>184</v>
      </c>
      <c r="B100" s="805">
        <f>'Entradas Alimentação'!AM36</f>
        <v>27.02</v>
      </c>
      <c r="C100" s="806">
        <f>'Entradas Alimentação'!AO36</f>
        <v>21.43</v>
      </c>
      <c r="D100" s="806">
        <f>'Entradas Alimentação'!AP36</f>
        <v>76.38</v>
      </c>
      <c r="E100" s="782">
        <f>'Entradas Alimentação'!AQ36</f>
        <v>0.93240000000000001</v>
      </c>
      <c r="F100" s="782">
        <f>Cálculos!D668</f>
        <v>5038.6895999999997</v>
      </c>
    </row>
    <row r="101" spans="1:7" ht="15.75" customHeight="1">
      <c r="A101" s="781" t="s">
        <v>185</v>
      </c>
      <c r="B101" s="805">
        <f>'Entradas Alimentação'!AS36</f>
        <v>27.02</v>
      </c>
      <c r="C101" s="806">
        <f>'Entradas Alimentação'!AU36</f>
        <v>21.43</v>
      </c>
      <c r="D101" s="806">
        <f>'Entradas Alimentação'!AV36</f>
        <v>76.38</v>
      </c>
      <c r="E101" s="782">
        <f>'Entradas Alimentação'!AW36</f>
        <v>0.93240000000000001</v>
      </c>
      <c r="F101" s="782">
        <f>Cálculos!D669</f>
        <v>1259.6723999999999</v>
      </c>
    </row>
    <row r="102" spans="1:7" ht="15.75" customHeight="1">
      <c r="A102" s="781" t="s">
        <v>186</v>
      </c>
      <c r="B102" s="805">
        <f>'Entradas Alimentação'!AY36</f>
        <v>27.02</v>
      </c>
      <c r="C102" s="806">
        <f>'Entradas Alimentação'!BA36</f>
        <v>21.43</v>
      </c>
      <c r="D102" s="806">
        <f>'Entradas Alimentação'!BB36</f>
        <v>76.38</v>
      </c>
      <c r="E102" s="782">
        <f>'Entradas Alimentação'!BC36</f>
        <v>0.93240000000000001</v>
      </c>
      <c r="F102" s="782">
        <f>Cálculos!D670</f>
        <v>75.580340000000007</v>
      </c>
    </row>
    <row r="103" spans="1:7" ht="15.75" customHeight="1">
      <c r="A103" s="781" t="s">
        <v>187</v>
      </c>
      <c r="B103" s="805">
        <f>'Entradas Alimentação'!BE36</f>
        <v>30.14</v>
      </c>
      <c r="C103" s="806">
        <f>'Entradas Alimentação'!BG36</f>
        <v>19.95</v>
      </c>
      <c r="D103" s="806">
        <f>'Entradas Alimentação'!BH36</f>
        <v>75.06</v>
      </c>
      <c r="E103" s="782">
        <f>'Entradas Alimentação'!BI36</f>
        <v>0.84143000000000001</v>
      </c>
      <c r="F103" s="782">
        <f>Cálculos!D671</f>
        <v>3804.1050300000002</v>
      </c>
    </row>
    <row r="104" spans="1:7" ht="15.75" customHeight="1">
      <c r="A104" s="781" t="s">
        <v>188</v>
      </c>
      <c r="B104" s="805">
        <f>'Entradas Alimentação'!BK36</f>
        <v>30.14</v>
      </c>
      <c r="C104" s="806">
        <f>'Entradas Alimentação'!BM36</f>
        <v>19.95</v>
      </c>
      <c r="D104" s="806">
        <f>'Entradas Alimentação'!BN36</f>
        <v>75.06</v>
      </c>
      <c r="E104" s="782">
        <f>'Entradas Alimentação'!BO36</f>
        <v>0.84143000000000001</v>
      </c>
      <c r="F104" s="782">
        <f>Cálculos!D672</f>
        <v>6340.1750499999998</v>
      </c>
    </row>
    <row r="105" spans="1:7" ht="15.75" customHeight="1">
      <c r="A105" s="781" t="s">
        <v>189</v>
      </c>
      <c r="B105" s="805">
        <f>'Entradas Alimentação'!BQ36</f>
        <v>30.14</v>
      </c>
      <c r="C105" s="806">
        <f>'Entradas Alimentação'!BS36</f>
        <v>19.95</v>
      </c>
      <c r="D105" s="806">
        <f>'Entradas Alimentação'!BT36</f>
        <v>75.06</v>
      </c>
      <c r="E105" s="782">
        <f>'Entradas Alimentação'!BU36</f>
        <v>0.84143000000000001</v>
      </c>
      <c r="F105" s="782">
        <f>Cálculos!D673</f>
        <v>760.82101</v>
      </c>
    </row>
    <row r="106" spans="1:7" ht="15.75" customHeight="1">
      <c r="A106" s="781" t="s">
        <v>190</v>
      </c>
      <c r="B106" s="805">
        <f>'Entradas Alimentação'!BW36</f>
        <v>25.46</v>
      </c>
      <c r="C106" s="806">
        <f>'Entradas Alimentação'!BY36</f>
        <v>22.3</v>
      </c>
      <c r="D106" s="806">
        <f>'Entradas Alimentação'!BZ36</f>
        <v>77.16</v>
      </c>
      <c r="E106" s="782">
        <f>'Entradas Alimentação'!CA36</f>
        <v>0.98624000000000001</v>
      </c>
      <c r="F106" s="782">
        <f>Cálculos!D674</f>
        <v>251.0967</v>
      </c>
    </row>
    <row r="107" spans="1:7" ht="15.75" customHeight="1">
      <c r="A107" s="781" t="s">
        <v>191</v>
      </c>
      <c r="B107" s="805">
        <f>'Entradas Alimentação'!CC36</f>
        <v>25.46</v>
      </c>
      <c r="C107" s="806">
        <f>'Entradas Alimentação'!CE36</f>
        <v>22.3</v>
      </c>
      <c r="D107" s="806">
        <f>'Entradas Alimentação'!CF36</f>
        <v>77.16</v>
      </c>
      <c r="E107" s="782">
        <f>'Entradas Alimentação'!CG36</f>
        <v>0.98624000000000001</v>
      </c>
      <c r="F107" s="782">
        <f>Cálculos!D675</f>
        <v>376.64506</v>
      </c>
    </row>
    <row r="108" spans="1:7" ht="15.75" customHeight="1" thickBot="1">
      <c r="A108" s="784" t="s">
        <v>192</v>
      </c>
      <c r="B108" s="807">
        <f>'Entradas Alimentação'!CI36</f>
        <v>16.63</v>
      </c>
      <c r="C108" s="808">
        <f>'Entradas Alimentação'!CK36</f>
        <v>18.75</v>
      </c>
      <c r="D108" s="808">
        <f>'Entradas Alimentação'!CL36</f>
        <v>73.98</v>
      </c>
      <c r="E108" s="785">
        <f>'Entradas Alimentação'!CM36</f>
        <v>0.76753000000000005</v>
      </c>
      <c r="F108" s="785">
        <f>Cálculos!D676</f>
        <v>12.76402</v>
      </c>
    </row>
    <row r="109" spans="1:7" ht="15.75" customHeight="1" thickBot="1"/>
    <row r="110" spans="1:7" ht="15.75" customHeight="1" thickBot="1">
      <c r="A110" s="1088" t="s">
        <v>1174</v>
      </c>
      <c r="B110" s="1089"/>
      <c r="C110" s="1089"/>
      <c r="D110" s="1089"/>
      <c r="E110" s="1089"/>
      <c r="F110" s="809">
        <f>Cálculos!D677</f>
        <v>697091.57097</v>
      </c>
    </row>
    <row r="111" spans="1:7" ht="15.75" customHeight="1"/>
    <row r="112" spans="1:7" ht="15.75" customHeight="1">
      <c r="A112" s="1090" t="s">
        <v>1135</v>
      </c>
      <c r="B112" s="1091"/>
      <c r="C112" s="1091"/>
      <c r="D112" s="1091"/>
      <c r="E112" s="1091"/>
      <c r="F112" s="1091"/>
      <c r="G112" s="1091"/>
    </row>
    <row r="113" spans="1:2" ht="15.75" customHeight="1" thickBot="1"/>
    <row r="114" spans="1:2" ht="15.75" customHeight="1" thickBot="1">
      <c r="A114" s="810"/>
      <c r="B114" s="811" t="s">
        <v>1140</v>
      </c>
    </row>
    <row r="115" spans="1:2" ht="15.75" customHeight="1">
      <c r="A115" s="812" t="s">
        <v>1175</v>
      </c>
      <c r="B115" s="813">
        <f>Cálculos!E692</f>
        <v>10.890172602739726</v>
      </c>
    </row>
    <row r="116" spans="1:2" ht="15.75" customHeight="1">
      <c r="A116" s="814" t="s">
        <v>1153</v>
      </c>
      <c r="B116" s="815">
        <f>Cálculos!E703</f>
        <v>5.3855068493150684</v>
      </c>
    </row>
    <row r="117" spans="1:2" ht="15.75" customHeight="1" thickBot="1">
      <c r="A117" s="816" t="s">
        <v>1176</v>
      </c>
      <c r="B117" s="817">
        <f>Cálculos!E704</f>
        <v>16.275679452054796</v>
      </c>
    </row>
    <row r="118" spans="1:2" ht="15.75" customHeight="1"/>
    <row r="119" spans="1:2" ht="15.75" customHeight="1"/>
    <row r="120" spans="1:2" ht="15.75" customHeight="1"/>
    <row r="121" spans="1:2" ht="15.75" customHeight="1"/>
    <row r="122" spans="1:2" ht="15.75" customHeight="1"/>
    <row r="123" spans="1:2" ht="15.75" customHeight="1"/>
    <row r="124" spans="1:2" ht="15.75" customHeight="1"/>
    <row r="125" spans="1:2" ht="15.75" customHeight="1"/>
    <row r="126" spans="1:2" ht="15.75" customHeight="1"/>
    <row r="127" spans="1:2" ht="15.75" customHeight="1"/>
    <row r="128" spans="1:2"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sheetData>
  <mergeCells count="5">
    <mergeCell ref="A110:E110"/>
    <mergeCell ref="A112:G112"/>
    <mergeCell ref="A1:G1"/>
    <mergeCell ref="A13:G13"/>
    <mergeCell ref="A57:G57"/>
  </mergeCells>
  <dataValidations count="3">
    <dataValidation type="custom" allowBlank="1" showInputMessage="1" showErrorMessage="1" sqref="F42:F43" xr:uid="{AFDD1BD5-2BE4-4010-9105-3E3D10270B2A}">
      <formula1>ISNUMBER(F42:F47)</formula1>
    </dataValidation>
    <dataValidation type="custom" allowBlank="1" showInputMessage="1" showErrorMessage="1" sqref="F35:F40" xr:uid="{C0343BA8-0C62-494F-A83D-1AEAFA08E080}">
      <formula1>ISNUMBER(F35:F46)</formula1>
    </dataValidation>
    <dataValidation type="custom" allowBlank="1" showInputMessage="1" showErrorMessage="1" sqref="F41" xr:uid="{4CA6FD5A-E259-4A7A-AE46-0B7DEDD10443}">
      <formula1>ISNUMBER(F41:F47)</formula1>
    </dataValidation>
  </dataValidations>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Entradas Rebanho</vt:lpstr>
      <vt:lpstr>Entradas Alimentação</vt:lpstr>
      <vt:lpstr>Lista Suspensa</vt:lpstr>
      <vt:lpstr>Cálculos</vt:lpstr>
      <vt:lpstr>Default</vt:lpstr>
      <vt:lpstr>Equações</vt:lpstr>
      <vt:lpstr>Saídas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Alves</dc:creator>
  <cp:lastModifiedBy>Sophia Chamilete</cp:lastModifiedBy>
  <dcterms:created xsi:type="dcterms:W3CDTF">2024-02-07T18:44:46Z</dcterms:created>
  <dcterms:modified xsi:type="dcterms:W3CDTF">2024-10-21T18:43:38Z</dcterms:modified>
</cp:coreProperties>
</file>